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ll" sheetId="1" r:id="rId4"/>
    <sheet state="visible" name="Info" sheetId="2" r:id="rId5"/>
  </sheets>
  <definedNames>
    <definedName name="HuvudrummetsNamn">Mall!$E$2:$H$2</definedName>
    <definedName name="RummensNamn">Mall!$E$4:$X$4</definedName>
    <definedName name="AllaGrenar">Info!$A$2:$A$20</definedName>
    <definedName name="AndraAktiviteter">Info!$A$22:$A$35</definedName>
    <definedName name="AllaAktiviteter">Info!$A$2:$A$35</definedName>
  </definedNames>
  <calcPr/>
  <extLst>
    <ext uri="GoogleSheetsCustomDataVersion2">
      <go:sheetsCustomData xmlns:go="http://customooxmlschemas.google.com/" r:id="rId6" roundtripDataChecksum="pNId3qjiwoqvk+jwBX2L44/64K5L4m6TluGffxQMgSI="/>
    </ext>
  </extLst>
</workbook>
</file>

<file path=xl/comments1.xml><?xml version="1.0" encoding="utf-8"?>
<comments xmlns:r="http://schemas.openxmlformats.org/officeDocument/2006/relationships" xmlns="http://schemas.openxmlformats.org/spreadsheetml/2006/main">
  <authors>
    <author/>
  </authors>
  <commentList>
    <comment authorId="0" ref="E30">
      <text>
        <t xml:space="preserve">======
ID#AAAA-Ru_8LQ
    (2023-10-15 15:15:36)
Har påverkan på hur lång tid en gren tar genom att efterföljande rundor och finaler går snabbare än 1:a rundor.</t>
      </text>
    </comment>
    <comment authorId="0" ref="F79">
      <text>
        <t xml:space="preserve">======
ID#AAAA-Ru_8LM
    (2023-10-15 15:15:36)
Fyller i sig själv. Oftast "avg of 5". 3x3 BLD, 4x4 BLD, 5x5 BLD har "best of 3". 3x3 Multi-Blind och 3x3 FMC kan ha "best of 1" / "best of 2" / "best of 3", så där måste du välja själv.</t>
      </text>
    </comment>
    <comment authorId="0" ref="M30">
      <text>
        <t xml:space="preserve">======
ID#AAAA-Ru_8LI
    (2023-10-15 15:15:36)
Här kan den beräknade tiden justeras manuellt om det skulle behövas, exempelvis om den beräknade tiden känns orimlig / om man önskar extra buffertid / man önskar längre lunch / om man misstänker svårighet att hitta blandare osv.</t>
      </text>
    </comment>
    <comment authorId="0" ref="Q1">
      <text>
        <t xml:space="preserve">======
ID#AAAA-Ru_8LE
    (2023-10-15 15:15:36)
Om du märker att "antal effektivt använda timers" (kolumn U) nästan alltid är samma som "antal uppställda timers" bör du öka antalet uppställda timers här. I motsatt fall (alla uppställda timers används nästan aldrig) så kan du minska talet här.</t>
      </text>
    </comment>
    <comment authorId="0" ref="Y79">
      <text>
        <t xml:space="preserve">======
ID#AAAA-Ru_8LA
    (2023-10-15 15:15:36)
Tiden ett försök beräknas ta.
Cellen letar efter rätt gren i "Info"-dokumentet, och väljer rätt värde baserat på om fixed seating används eller ej samt om det är en blindgren eller ej.
I vissa specifika fall multipliceras försökstiden med maximalt +10%, se kommentaren under "time limit" för mer information.</t>
      </text>
    </comment>
    <comment authorId="0" ref="D7">
      <text>
        <t xml:space="preserve">======
ID#AAAA-Ru_8K4
    (2023-10-15 15:15:36)
Standard att långa blindgrenar hamnar i sidorummet om 2 rum finns...</t>
      </text>
    </comment>
    <comment authorId="0" ref="G7">
      <text>
        <t xml:space="preserve">======
ID#AAAA-Ru_8K0
    (2023-10-15 15:15:36)
Time limit per lösning. Skriv i minuter. Exempelvis där en time limit är 2.5 minuter: "2,50". 
Skriv INTE 2:30, 2:30 Min eller liknande.
Den beräknade tiden ökar en aning ifall det är grenens första runda och ingen cutoff eller cumulative time limit används samtidigt som vald time limit är mer än 1,5 * standard försökstid. Effekten på försökstiden (och därmed hur lång tid grenen tar) är dock begränsad till +10%. Med tanke på kriterierna ovan så påverkar denna kolumn bara den uträknade tiden i sällsynta fall, samt oftast bara i grenarna 2x2, 3x3, Pyraminx och Skewb.</t>
      </text>
    </comment>
    <comment authorId="0" ref="B53">
      <text>
        <t xml:space="preserve">======
ID#AAAA-Ru_8Kw
    (2023-10-15 15:15:36)
Grenens sluttid</t>
      </text>
    </comment>
    <comment authorId="0" ref="O79">
      <text>
        <t xml:space="preserve">======
ID#AAAA-Ru_8Ks
    (2023-10-15 15:15:36)
Här kan antalet blandningsbord / stages justeras manuellt om det exempelvis ska användas färre stages i finalrundorna eller i vissa specifika grenar.</t>
      </text>
    </comment>
    <comment authorId="0" ref="I7">
      <text>
        <t xml:space="preserve">======
ID#AAAA-Ru_8Kg
    (2023-10-15 15:15:36)
Bättre uträkningsstöd planeras i framtiden, i dagsläget endast information.</t>
      </text>
    </comment>
    <comment authorId="0" ref="T7">
      <text>
        <t xml:space="preserve">======
ID#AAAA-Ru_8KY
    (2023-10-15 15:15:36)
Föreslagen ny försökstid baserat på hur lång tid det faktiskt tog att genomföra grenen. Men ta detta med en nypa salt, eftersom beroende på hur väl du höll schemat i övrigt kan andra faktorer behöva en uppdatering snarare än försökstiden.</t>
      </text>
    </comment>
    <comment authorId="0" ref="M53">
      <text>
        <t xml:space="preserve">======
ID#AAAA-Ru_8KQ
    (2023-10-15 15:15:36)
Här kan den beräknade tiden justeras manuellt om det skulle behövas, exempelvis om den beräknade tiden känns orimlig / om man önskar extra buffertid / man önskar längre lunch / om man misstänker svårighet att hitta blandare osv.</t>
      </text>
    </comment>
    <comment authorId="0" ref="B52">
      <text>
        <t xml:space="preserve">======
ID#AAAA-Ru_8KU
    (2023-10-15 15:15:36)
Minut</t>
      </text>
    </comment>
    <comment authorId="0" ref="M79">
      <text>
        <t xml:space="preserve">======
ID#AAAA-Ru_8KM
    (2023-10-15 15:15:36)
Här kan den beräknade tiden justeras manuellt om det skulle behövas, exempelvis om den beräknade tiden känns orimlig / om man önskar extra buffertid / man önskar längre lunch / om man misstänker svårighet att hitta blandare osv.</t>
      </text>
    </comment>
    <comment authorId="0" ref="C30">
      <text>
        <t xml:space="preserve">======
ID#AAAA-Ru_8KI
    (2023-10-15 15:15:36)
Det är MYCKET viktigt att grenens eller aktivitetens namn skrivs på exakt samma sätt som grenen heter i "Info"-dokumentet.</t>
      </text>
    </comment>
    <comment authorId="0" ref="J7">
      <text>
        <t xml:space="preserve">======
ID#AAAA-Ru_8KE
    (2023-10-15 15:15:36)
Uppskattat antal deltagare som förväntas ställa upp i omgången. För den första omgången fyller du i själv när "?" ploppar upp. För efterföljande rundor så föreslår cellen att 75% av de som tävlade i förra rundan får gå vidare, men det kan du ändra skriva över själv om du vill.</t>
      </text>
    </comment>
    <comment authorId="0" ref="A53">
      <text>
        <t xml:space="preserve">======
ID#AAAA-Ru_8KA
    (2023-10-15 15:15:36)
Grenens starttid</t>
      </text>
    </comment>
    <comment authorId="0" ref="C5">
      <text>
        <t xml:space="preserve">======
ID#AAAA-Ru_8J8
    (2023-10-15 15:15:36)
Döljer celler du inte ska ändra om de inte under processens gång ändrar färg. Dessa celler har inget annat syfte än att se till att beräkningar och analys fungerar som de ska.</t>
      </text>
    </comment>
    <comment authorId="0" ref="C7">
      <text>
        <t xml:space="preserve">======
ID#AAAA-Ru_8J4
    (2023-10-15 15:15:36)
Det är MYCKET viktigt att grenens eller aktivitetens namn skrivs på exakt samma sätt som grenen heter i "Info"-dokumentet.</t>
      </text>
    </comment>
    <comment authorId="0" ref="J79">
      <text>
        <t xml:space="preserve">======
ID#AAAA-Ru_8J0
    (2023-10-15 15:15:36)
Uppskattat antal deltagare som förväntas ställa upp i omgången. För den första omgången fyller du i själv när "?" ploppar upp. För efterföljande rundor så föreslår cellen att 75% av de som tävlade i förra rundan får gå vidare, men det kan du ändra skriva över själv om du vill.</t>
      </text>
    </comment>
    <comment authorId="0" ref="G53">
      <text>
        <t xml:space="preserve">======
ID#AAAA-Ru_8Jw
    (2023-10-15 15:15:36)
Time limit per lösning. Skriv i minuter. Exempelvis där en time limit är 2.5 minuter: "2,50". 
Skriv INTE 2:30, 2:30 Min eller liknande.
Den beräknade tiden ökar en aning ifall det är grenens första runda och ingen cutoff eller cumulative time limit används samtidigt som vald time limit är mer än 1,5 * standard försökstid. Effekten på försökstiden (och därmed hur lång tid grenen tar) är dock begränsad till +10%. Med tanke på kriterierna ovan så påverkar denna kolumn bara den uträknade tiden i sällsynta fall, samt oftast bara i grenarna 2x2, 3x3, Pyraminx och Skewb.</t>
      </text>
    </comment>
    <comment authorId="0" ref="E1">
      <text>
        <t xml:space="preserve">======
ID#AAAA-Ru_8Js
    (2023-10-15 15:15:36)
Hur många deltagare som får delta på tävlingen totalt.</t>
      </text>
    </comment>
    <comment authorId="0" ref="B30">
      <text>
        <t xml:space="preserve">======
ID#AAAA-Ru_8Jo
    (2023-10-15 15:15:36)
Grenens sluttid</t>
      </text>
    </comment>
    <comment authorId="0" ref="O107">
      <text>
        <t xml:space="preserve">======
ID#AAAA-Ru_8Jk
    (2023-10-15 15:15:36)
Dessa grenar är som standard 5x5 och Clock. Analysen ändras dock inte om statusen för dessa grenar ändras i Info-dokumentet, utan behöver ändras i formeln här.</t>
      </text>
    </comment>
    <comment authorId="0" ref="E7">
      <text>
        <t xml:space="preserve">======
ID#AAAA-Ru_8Jg
    (2023-10-15 15:15:36)
Har påverkan på hur lång tid en gren tar genom att efterföljande rundor och finaler går snabbare än 1:a rundor.</t>
      </text>
    </comment>
    <comment authorId="0" ref="E79">
      <text>
        <t xml:space="preserve">======
ID#AAAA-Ru_8JU
    (2023-10-15 15:15:36)
Har påverkan på hur lång tid en gren tar genom att efterföljande rundor och finaler går snabbare än 1:a rundor.</t>
      </text>
    </comment>
    <comment authorId="0" ref="X53">
      <text>
        <t xml:space="preserve">======
ID#AAAA-Ru_8JQ
    (2023-10-15 15:15:36)
Beroende på antalet personer i gruppen, vilken gren det är och liknande så är det inte säkert att alla uppställda timers kan användas maximalt; därav denna kolumn. Ändra ALDRIG själv.</t>
      </text>
    </comment>
    <comment authorId="0" ref="P30">
      <text>
        <t xml:space="preserve">======
ID#AAAA-Ru_8JM
    (2023-10-15 15:15:36)
Här kan du om du verkligen vill forcera ett särskilt antal timers för en specifik gren, exempelvis en "head to head" final i 3x3.</t>
      </text>
    </comment>
    <comment authorId="0" ref="L7">
      <text>
        <t xml:space="preserve">======
ID#AAAA-Ru_8JI
    (2023-10-15 15:15:36)
Tid som omgången beräknas ta.
Dessa celler får ALDRIG ändras. Om du vill att en gren eller aktivitets tid ska ändras (exempelvis om du vill ha längre lunch eller tror att du kommer få svårt att hitta bra blandare i en gren) kan det justeras i den GULA cellen för "Manuell extratid".</t>
      </text>
    </comment>
    <comment authorId="0" ref="O1">
      <text>
        <t xml:space="preserve">======
ID#AAAA-Ru_8JE
    (2023-10-15 15:15:36)
Om du märker att "antal effektivt använda timers" (kolumn U) nästan alltid är samma som "antal uppställda timers" bör du öka antalet uppställda timers här. I motsatt fall (alla uppställda timers används nästan aldrig) så kan du minska talet här.</t>
      </text>
    </comment>
    <comment authorId="0" ref="O30">
      <text>
        <t xml:space="preserve">======
ID#AAAA-Ru_8JA
    (2023-10-15 15:15:36)
Här kan antalet blandningsbord / stages justeras manuellt om det exempelvis ska användas färre stages i finalrundorna eller i vissa specifika grenar.</t>
      </text>
    </comment>
    <comment authorId="0" ref="E53">
      <text>
        <t xml:space="preserve">======
ID#AAAA-Ru_8I8
    (2023-10-15 15:15:36)
Har påverkan på hur lång tid en gren tar genom att efterföljande rundor och finaler går snabbare än 1:a rundor.</t>
      </text>
    </comment>
    <comment authorId="0" ref="D4">
      <text>
        <t xml:space="preserve">======
ID#AAAA-Ru_8I0
    (2023-10-15 15:15:36)
Om en gren inte sker i huvudrummet så markeras den automatiskt i färgen cyan. Det är dock endast för att lättare kunna särskilja dessa grenar från dem som sker i huvudrummet.</t>
      </text>
    </comment>
    <comment authorId="0" ref="C53">
      <text>
        <t xml:space="preserve">======
ID#AAAA-Ru_8Iw
    (2023-10-15 15:15:36)
Det är MYCKET viktigt att grenens eller aktivitetens namn skrivs på exakt samma sätt som grenen heter i "Info"-dokumentet.</t>
      </text>
    </comment>
    <comment authorId="0" ref="B4">
      <text>
        <t xml:space="preserve">======
ID#AAAA-Ru_8Is
    (2023-10-15 15:15:36)
Här skrivs den detaljerade informationen om varje gren i. Rutorna fyller oftast i sig själva, men behövs din input så ploppar ett "?" upp.
Om du är VÄLDIGT säker på din sak kan du skriva över orangea celler, eller skriva trots att ett "?" inte ploppat upp. Kan exempelvis vara om du satt en ovanligt generös cutoff, och vet att fler än normalt kommer klara den.</t>
      </text>
    </comment>
    <comment authorId="0" ref="M1">
      <text>
        <t xml:space="preserve">======
ID#AAAA-Ru_8Io
    (2023-10-15 15:15:36)
Om du märker att "antal effektivt använda timers" (kolumn U) nästan alltid är samma som "antal uppställda timers" bör du öka antalet uppställda timers här. I motsatt fall (alla uppställda timers används nästan aldrig) så kan du minska talet här.</t>
      </text>
    </comment>
    <comment authorId="0" ref="AA30">
      <text>
        <t xml:space="preserve">======
ID#AAAA-Ru_8Ic
    (2023-10-15 15:15:36)
Antalet försök som får genomföras 
om man klarar cutoff alternativt om sådan inte finns (eller om cumulative time limit används).  För 3x3 FMC och 3x3 MBLD så är detta alla försök som hela rundan innefattar, inte bara nuvarande schemalagda aktivitet.</t>
      </text>
    </comment>
    <comment authorId="0" ref="F53">
      <text>
        <t xml:space="preserve">======
ID#AAAA-Ru_8IU
    (2023-10-15 15:15:36)
Fyller i sig själv. Oftast "avg of 5". 3x3 BLD, 4x4 BLD, 5x5 BLD har "best of 3". 3x3 Multi-Blind och 3x3 FMC kan ha "best of 1" / "best of 2" / "best of 3", så där måste du välja själv.</t>
      </text>
    </comment>
    <comment authorId="0" ref="A30">
      <text>
        <t xml:space="preserve">======
ID#AAAA-Ru_8IY
    (2023-10-15 15:15:36)
Grenens starttid</t>
      </text>
    </comment>
    <comment authorId="0" ref="O7">
      <text>
        <t xml:space="preserve">======
ID#AAAA-Ru_8IQ
    (2023-10-15 15:15:36)
Här kan antalet blandningsbord / stages justeras manuellt om det exempelvis ska användas färre stages i finalrundorna eller i vissa specifika grenar.</t>
      </text>
    </comment>
    <comment authorId="0" ref="Q79">
      <text>
        <t xml:space="preserve">======
ID#AAAA-Ru_8IM
    (2023-10-15 15:15:36)
Här kan du exempelvis ändra om specifikt vissa rundor ska använda fixed seating.</t>
      </text>
    </comment>
    <comment authorId="0" ref="Y7">
      <text>
        <t xml:space="preserve">======
ID#AAAA-Ru_8II
    (2023-10-15 15:15:36)
Tiden ett försök beräknas ta.
Cellen letar efter rätt gren i "Info"-dokumentet, och väljer rätt värde baserat på om fixed seating används eller ej samt om det är en blindgren eller ej.
I vissa specifika fall multipliceras försökstiden med maximalt +10%, se kommentaren under "time limit" för mer information.</t>
      </text>
    </comment>
    <comment authorId="0" ref="Z79">
      <text>
        <t xml:space="preserve">======
ID#AAAA-Ru_8IE
    (2023-10-15 15:15:36)
Antalet försök som alla får genomföra, oavsett om man klarar cutoff (för 3x3 FMC och 3x3 MBLD så är detta alla försök som hela rundan innefattar, inte bara nuvarande schemalagda aktivitet).
Tänk på att denna dock kan ändras om cumulative time limit används istället för en cutoff. Det är bara för att uträkningarna ska bli korrekt, i verkligheten får ju då alla en chans att hinna med alla lösningar om man är tillräckligt snabb. Ändra trots det ALDRIG dessa celler manuellt.</t>
      </text>
    </comment>
    <comment authorId="0" ref="L79">
      <text>
        <t xml:space="preserve">======
ID#AAAA-Ru_8IA
    (2023-10-15 15:15:36)
Tid som omgången beräknas ta.
Dessa celler får ALDRIG ändras. Om du vill att en gren eller aktivitets tid ska ändras (exempelvis om du vill ha längre lunch eller tror att du kommer få svårt att hitta bra blandare i en gren) kan det justeras i den GULA cellen för "Manuell extratid".</t>
      </text>
    </comment>
    <comment authorId="0" ref="R30">
      <text>
        <t xml:space="preserve">======
ID#AAAA-Ru_8H4
    (2023-10-15 15:15:36)
Fyll i detta under tävlingen om du vill och har tid. Det gör analys och förbättring av mallen enklare i efterhand.</t>
      </text>
    </comment>
    <comment authorId="0" ref="P7">
      <text>
        <t xml:space="preserve">======
ID#AAAA-Ru_8H0
    (2023-10-15 15:15:36)
Här kan du om du verkligen vill forcera ett särskilt antal timers för en specifik gren, exempelvis en "head to head" final i 3x3.</t>
      </text>
    </comment>
    <comment authorId="0" ref="B3">
      <text>
        <t xml:space="preserve">======
ID#AAAA-Ru_8Hw
    (2023-10-15 15:15:36)
Här beräknas hur lång tid grenen eller aktiviteten kommer ta! Dessa celler får aldrig ändras om det inte specifikt efterfrågas med ett "?". Om du vill att en gren eller aktivitets tid ska ändras (exempelvis om du vill ha längre lunch eller tror att du kommer få svårt att hitta bra blandare i en gren) kan det justeras i den GULA cellen för "Manuell extratid".</t>
      </text>
    </comment>
    <comment authorId="0" ref="X30">
      <text>
        <t xml:space="preserve">======
ID#AAAA-Ru_8Ho
    (2023-10-15 15:15:36)
Beroende på antalet personer i gruppen, vilken gren det är och liknande så är det inte säkert att alla uppställda timers kan användas maximalt; därav denna kolumn. Ändra ALDRIG själv.</t>
      </text>
    </comment>
    <comment authorId="0" ref="G30">
      <text>
        <t xml:space="preserve">======
ID#AAAA-Ru_8Hc
    (2023-10-15 15:15:36)
Time limit per lösning. Skriv i minuter. Exempelvis där en time limit är 2.5 minuter: "2,50". 
Skriv INTE 2:30, 2:30 Min eller liknande.
Den beräknade tiden ökar en aning ifall det är grenens första runda och ingen cutoff eller cumulative time limit används samtidigt som vald time limit är mer än 1,5 * standard försökstid. Effekten på försökstiden (och därmed hur lång tid grenen tar) är dock begränsad till +10%. Med tanke på kriterierna ovan så påverkar denna kolumn bara den uträknade tiden i sällsynta fall, samt oftast bara i grenarna 2x2, 3x3, Pyraminx och Skewb.</t>
      </text>
    </comment>
    <comment authorId="0" ref="A7">
      <text>
        <t xml:space="preserve">======
ID#AAAA-Ru_8HY
    (2023-10-15 15:15:36)
Grenens starttid</t>
      </text>
    </comment>
    <comment authorId="0" ref="H79">
      <text>
        <t xml:space="preserve">======
ID#AAAA-Ru_8HU
    (2023-10-15 15:15:36)
Skriv i minuter. Exempelvis där en cumulative time limit är 75 minuter: "75,00". 
Skriv INTE 75:00, 75 Min eller liknande.
För närvarande baseras alla uppskattningar på hur lång tid en blindlösningsgren kommer att ta på denna kolumn. För andra grenar kontrollerar arket bara om något har skrivits in här, och ändrar i så fall den beräknade tiden lite grann.</t>
      </text>
    </comment>
    <comment authorId="0" ref="H7">
      <text>
        <t xml:space="preserve">======
ID#AAAA-Ru_8HQ
    (2023-10-15 15:15:36)
Skriv i minuter. Exempelvis där en cumulative time limit är 75 minuter: "75,00". 
Skriv INTE 75:00, 75 Min eller liknande.
För närvarande baseras alla uppskattningar på hur lång tid en blindlösningsgren kommer att ta på denna kolumn. För andra grenar kontrollerar arket bara om något har skrivits in här, och ändrar i så fall den beräknade tiden lite grann.</t>
      </text>
    </comment>
    <comment authorId="0" ref="X7">
      <text>
        <t xml:space="preserve">======
ID#AAAA-Ru_8HI
    (2023-10-15 15:15:36)
Beroende på antalet personer i gruppen, vilken gren det är och liknande så är det inte säkert att alla uppställda timers kan användas maximalt; därav denna kolumn. Ändra ALDRIG själv.</t>
      </text>
    </comment>
    <comment authorId="0" ref="Z7">
      <text>
        <t xml:space="preserve">======
ID#AAAA-Ru_8HE
    (2023-10-15 15:15:36)
Antalet försök som alla får genomföra, oavsett om man klarar cutoff (för 3x3 FMC och 3x3 MBLD så är detta alla försök som hela rundan innefattar, inte bara nuvarande schemalagda aktivitet).
Tänk på att denna dock kan ändras om cumulative time limit används istället för en cutoff. Det är bara för att uträkningarna ska bli korrekt, i verkligheten får ju då alla en chans att hinna med alla lösningar om man är tillräckligt snabb. Ändra trots det ALDRIG dessa celler manuellt.</t>
      </text>
    </comment>
    <comment authorId="0" ref="B79">
      <text>
        <t xml:space="preserve">======
ID#AAAA-Ru_8HA
    (2023-10-15 15:15:36)
Grenens sluttid</t>
      </text>
    </comment>
    <comment authorId="0" ref="C3">
      <text>
        <t xml:space="preserve">======
ID#AAAA-Ru_8G8
    (2023-10-15 15:15:36)
Dessa celler innehåller information om hur grenen ska arrangeras rent logistiskt. Det mesta fylls i automatiskt, så du behöver bara ändra om du har specifika planer eller önskemål just för ett visst antal grenar (exempelvis om du vill att finalerna ska använda färre blandningsbord eller om du vill ha "Head to head"-final i 3x3).</t>
      </text>
    </comment>
    <comment authorId="0" ref="N79">
      <text>
        <t xml:space="preserve">======
ID#AAAA-Ru_8G4
    (2023-10-15 15:15:36)
Ett förslag ges av kalkylarket baserat på antalet deltagare, timers, rundor samt om fixed seating används eller ej. Antalet grupper kan dock även ändras manuellt om du vill. Har inverkan på den beräknade tiden pga tiden det tar att starta nya grupper.</t>
      </text>
    </comment>
    <comment authorId="0" ref="U1">
      <text>
        <t xml:space="preserve">======
ID#AAAA-Ru_8G0
    (2023-10-15 15:15:36)
Skriv "Yes" för ja eller "No" för nej. "No" är förvalt som standard.</t>
      </text>
    </comment>
    <comment authorId="0" ref="A4">
      <text>
        <t xml:space="preserve">======
ID#AAAA-Ru_8Gs
    (2023-10-15 15:15:36)
Dessa celler ska du alltid fylla i! Här skriver du grenens namn, eller om du tycker det är dags för en annan aktivitet, exempelvis lunch. Det är JÄTTEVIKTIGT att du skriver grenen / aktiviteten med exakt samma namn som den har i "Info"-dokumentet.</t>
      </text>
    </comment>
    <comment authorId="0" ref="N30">
      <text>
        <t xml:space="preserve">======
ID#AAAA-Ru_8Go
    (2023-10-15 15:15:36)
Ett förslag ges av kalkylarket baserat på antalet deltagare, timers, rundor samt om fixed seating används eller ej. Antalet grupper kan dock även ändras manuellt om du vill. Har inverkan på den beräknade tiden pga tiden det tar att starta nya grupper.</t>
      </text>
    </comment>
    <comment authorId="0" ref="W1">
      <text>
        <t xml:space="preserve">======
ID#AAAA-Ru_8Gk
    (2023-10-15 15:15:36)
Här kan den beräknade tidsåtgången för varje gren justeras + eller - på samma gång över hela tävlingsschemat.</t>
      </text>
    </comment>
    <comment authorId="0" ref="G79">
      <text>
        <t xml:space="preserve">======
ID#AAAA-Ru_8Gg
    (2023-10-15 15:15:36)
Time limit per lösning. Skriv i minuter. Exempelvis där en time limit är 2.5 minuter: "2,50". 
Skriv INTE 2:30, 2:30 Min eller liknande.
Den beräknade tiden ökar en aning ifall det är grenens första runda och ingen cutoff eller cumulative time limit används samtidigt som vald time limit är mer än 1,5 * standard försökstid. Effekten på försökstiden (och därmed hur lång tid grenen tar) är dock begränsad till +10%. Med tanke på kriterierna ovan så påverkar denna kolumn bara den uträknade tiden i sällsynta fall, samt oftast bara i grenarna 2x2, 3x3, Pyraminx och Skewb.</t>
      </text>
    </comment>
    <comment authorId="0" ref="Y53">
      <text>
        <t xml:space="preserve">======
ID#AAAA-Ru_8Gc
    (2023-10-15 15:15:36)
Tiden ett försök beräknas ta.
Cellen letar efter rätt gren i "Info"-dokumentet, och väljer rätt värde baserat på om fixed seating används eller ej samt om det är en blindgren eller ej.
I vissa specifika fall multipliceras försökstiden med maximalt +10%, se kommentaren under "time limit" för mer information.</t>
      </text>
    </comment>
    <comment authorId="0" ref="I30">
      <text>
        <t xml:space="preserve">======
ID#AAAA-Ru_8GQ
    (2023-10-15 15:15:36)
Bättre uträkningsstöd planeras i framtiden, i dagsläget endast information.</t>
      </text>
    </comment>
    <comment authorId="0" ref="N53">
      <text>
        <t xml:space="preserve">======
ID#AAAA-Ru_8GI
    (2023-10-15 15:15:36)
Ett förslag ges av kalkylarket baserat på antalet deltagare, timers, rundor samt om fixed seating används eller ej. Antalet grupper kan dock även ändras manuellt om du vill. Har inverkan på den beräknade tiden pga tiden det tar att starta nya grupper.</t>
      </text>
    </comment>
    <comment authorId="0" ref="AA53">
      <text>
        <t xml:space="preserve">======
ID#AAAA-Ru_8GE
    (2023-10-15 15:15:36)
Antalet försök som får genomföras 
om man klarar cutoff alternativt om sådan inte finns (eller om cumulative time limit används).  För 3x3 FMC och 3x3 MBLD så är detta alla försök som hela rundan innefattar, inte bara nuvarande schemalagda aktivitet.</t>
      </text>
    </comment>
    <comment authorId="0" ref="K1">
      <text>
        <t xml:space="preserve">======
ID#AAAA-Ru_8F8
    (2023-10-15 15:15:36)
Det är MYCKET viktigt att grenens namn skrivs på exakt samma sätt som grenen heter i "Info"-dokumentet.</t>
      </text>
    </comment>
    <comment authorId="0" ref="K53">
      <text>
        <t xml:space="preserve">======
ID#AAAA-Ru_8F4
    (2023-10-15 15:15:36)
Fyller mestadels i sig själv, men är uppskattat antal deltagare som klarar en eventuell cutoff (eller väntas bli "stoppade" och inte hinna göra alla sina lösningar vid en eventuell cumulative time limit). Cellen föreslår att 80% av deltagarna klarar en cutoff och att 90% av deltagarna inte drabbas av en cumulative time limit, men det kan du ändra och skriva över själva om du tror att du har fog för det.</t>
      </text>
    </comment>
    <comment authorId="0" ref="K79">
      <text>
        <t xml:space="preserve">======
ID#AAAA-Ru_8Fw
    (2023-10-15 15:15:36)
Fyller mestadels i sig själv, men är uppskattat antal deltagare som klarar en eventuell cutoff (eller väntas bli "stoppade" och inte hinna göra alla sina lösningar vid en eventuell cumulative time limit). Cellen föreslår att 80% av deltagarna klarar en cutoff och att 90% av deltagarna inte drabbas av en cumulative time limit, men det kan du ändra och skriva över själva om du tror att du har fog för det.</t>
      </text>
    </comment>
    <comment authorId="0" ref="B78">
      <text>
        <t xml:space="preserve">======
ID#AAAA-Ru_8F0
    (2023-10-15 15:15:36)
Minut</t>
      </text>
    </comment>
    <comment authorId="0" ref="D3">
      <text>
        <t xml:space="preserve">======
ID#AAAA-Ru_8Fs
    (2023-10-15 15:15:36)
Dessa celler är ren detaljinformation och vissa används i de komplicerade uträkningarna för hur lång tid en gren ska ta. Dessa celler får därför ALDRIG ändras.</t>
      </text>
    </comment>
    <comment authorId="0" ref="L53">
      <text>
        <t xml:space="preserve">======
ID#AAAA-Ru_8Fo
    (2023-10-15 15:15:36)
Tid som omgången beräknas ta.
Dessa celler får ALDRIG ändras. Om du vill att en gren eller aktivitets tid ska ändras (exempelvis om du vill ha längre lunch eller tror att du kommer få svårt att hitta bra blandare i en gren) kan det justeras i den GULA cellen för "Manuell extratid".</t>
      </text>
    </comment>
    <comment authorId="0" ref="C4">
      <text>
        <t xml:space="preserve">======
ID#AAAA-Ru_8Fk
    (2023-10-15 15:15:36)
Dessa celler behöver du bara ändra under eller efter tävlingen och har ingen påverkan på uträkningarna. Om du fyller i dem så kan det hjälpa dig att analysera hur schemamallen kan optimeras för att bättre återspegla verkligheten inför kommande tävlingar.</t>
      </text>
    </comment>
    <comment authorId="0" ref="L30">
      <text>
        <t xml:space="preserve">======
ID#AAAA-Ru_8Fc
    (2023-10-15 15:15:36)
Tid som omgången beräknas ta.
Dessa celler får ALDRIG ändras. Om du vill att en gren eller aktivitets tid ska ändras (exempelvis om du vill ha längre lunch eller tror att du kommer få svårt att hitta bra blandare i en gren) kan det justeras i den GULA cellen för "Manuell extratid".</t>
      </text>
    </comment>
    <comment authorId="0" ref="A52">
      <text>
        <t xml:space="preserve">======
ID#AAAA-Ru_8FY
    (2023-10-15 15:15:36)
Timme</t>
      </text>
    </comment>
    <comment authorId="0" ref="AA7">
      <text>
        <t xml:space="preserve">======
ID#AAAA-Ru_8FU
    (2023-10-15 15:15:36)
Antalet försök som får genomföras 
om man klarar cutoff alternativt om sådan inte finns (eller om cumulative time limit används).  För 3x3 FMC och 3x3 MBLD så är detta alla försök som hela rundan innefattar, inte bara nuvarande schemalagda aktivitet.</t>
      </text>
    </comment>
    <comment authorId="0" ref="C79">
      <text>
        <t xml:space="preserve">======
ID#AAAA-Ru_8FQ
    (2023-10-15 15:15:36)
Det är MYCKET viktigt att grenens eller aktivitetens namn skrivs på exakt samma sätt som grenen heter i "Info"-dokumentet.</t>
      </text>
    </comment>
    <comment authorId="0" ref="A78">
      <text>
        <t xml:space="preserve">======
ID#AAAA-Ru_8FI
    (2023-10-15 15:15:36)
Timme</t>
      </text>
    </comment>
    <comment authorId="0" ref="F30">
      <text>
        <t xml:space="preserve">======
ID#AAAA-Ru_8FE
    (2023-10-15 15:15:36)
Fyller i sig själv. Oftast "avg of 5". 3x3 BLD, 4x4 BLD, 5x5 BLD har "best of 3". 3x3 Multi-Blind och 3x3 FMC kan ha "best of 1" / "best of 2" / "best of 3", så där måste du välja själv.</t>
      </text>
    </comment>
    <comment authorId="0" ref="O53">
      <text>
        <t xml:space="preserve">======
ID#AAAA-Ru_8FA
    (2023-10-15 15:15:36)
Här kan antalet blandningsbord / stages justeras manuellt om det exempelvis ska användas färre stages i finalrundorna eller i vissa specifika grenar.</t>
      </text>
    </comment>
    <comment authorId="0" ref="R79">
      <text>
        <t xml:space="preserve">======
ID#AAAA-Ru_8E8
    (2023-10-15 15:15:36)
Fyll i detta under tävlingen om du vill och har tid. Det gör analys och förbättring av mallen enklare i efterhand.</t>
      </text>
    </comment>
    <comment authorId="0" ref="I79">
      <text>
        <t xml:space="preserve">======
ID#AAAA-Ru_8E4
    (2023-10-15 15:15:36)
Bättre uträkningsstöd planeras i framtiden, i dagsläget endast information.</t>
      </text>
    </comment>
    <comment authorId="0" ref="I53">
      <text>
        <t xml:space="preserve">======
ID#AAAA-Ru_8E0
    (2023-10-15 15:15:36)
Bättre uträkningsstöd planeras i framtiden, i dagsläget endast information.</t>
      </text>
    </comment>
    <comment authorId="0" ref="Z30">
      <text>
        <t xml:space="preserve">======
ID#AAAA-Ru_8Es
    (2023-10-15 15:15:36)
Antalet försök som alla får genomföra, oavsett om man klarar cutoff (för 3x3 FMC och 3x3 MBLD så är detta alla försök som hela rundan innefattar, inte bara nuvarande schemalagda aktivitet).
Tänk på att denna dock kan ändras om cumulative time limit används istället för en cutoff. Det är bara för att uträkningarna ska bli korrekt, i verkligheten får ju då alla en chans att hinna med alla lösningar om man är tillräckligt snabb. Ändra trots det ALDRIG dessa celler manuellt.</t>
      </text>
    </comment>
    <comment authorId="0" ref="S1">
      <text>
        <t xml:space="preserve">======
ID#AAAA-Ru_8Ek
    (2023-10-15 15:15:36)
I de flesta fall sätts antalet blandningsbord / stages alltid till 1, men i exempelvis stora lokaler eller om det är ovanligt många timers uppställda kan detta ökas till 2+. Påverkar genom att mer tid krävs mellan varje grupp om fler blandningsbord används.</t>
      </text>
    </comment>
    <comment authorId="0" ref="K30">
      <text>
        <t xml:space="preserve">======
ID#AAAA-Ru_8Eg
    (2023-10-15 15:15:36)
Fyller mestadels i sig själv, men är uppskattat antal deltagare som klarar en eventuell cutoff (eller väntas bli "stoppade" och inte hinna göra alla sina lösningar vid en eventuell cumulative time limit). Cellen föreslår att 80% av deltagarna klarar en cutoff och att 90% av deltagarna inte drabbas av en cumulative time limit, men det kan du ändra och skriva över själva om du tror att du har fog för det.</t>
      </text>
    </comment>
    <comment authorId="0" ref="O105">
      <text>
        <t xml:space="preserve">======
ID#AAAA-Ru_8Ec
    (2023-10-15 15:15:36)
Dessa grenar är som standard 6x6, 7x7, 6x6 / 7x7, Megaminx och Square-1. Analysen ändras dock inte om statusen för dessa grenar ändras i Info-dokumentet, utan behöver ändras i formeln här.</t>
      </text>
    </comment>
    <comment authorId="0" ref="S106">
      <text>
        <t xml:space="preserve">======
ID#AAAA-Ru_8EY
    (2023-10-15 15:15:36)
Som standard alla 2:a, 3:e och finalrundor, samt alla rundor 3x3 FMC och 3x3 MBLD</t>
      </text>
    </comment>
    <comment authorId="0" ref="H53">
      <text>
        <t xml:space="preserve">======
ID#AAAA-Ru_8EU
    (2023-10-15 15:15:36)
Skriv i minuter. Exempelvis där en cumulative time limit är 75 minuter: "75,00". 
Skriv INTE 75:00, 75 Min eller liknande.
För närvarande baseras alla uppskattningar på hur lång tid en blindlösningsgren kommer att ta på denna kolumn. För andra grenar kontrollerar arket bara om något har skrivits in här, och ändrar i så fall den beräknade tiden lite grann.</t>
      </text>
    </comment>
    <comment authorId="0" ref="A29">
      <text>
        <t xml:space="preserve">======
ID#AAAA-Ru_8EQ
    (2023-10-15 15:15:36)
Timme</t>
      </text>
    </comment>
    <comment authorId="0" ref="H30">
      <text>
        <t xml:space="preserve">======
ID#AAAA-Ru_8EM
    (2023-10-15 15:15:36)
Skriv i minuter. Exempelvis där en cumulative time limit är 75 minuter: "75,00". 
Skriv INTE 75:00, 75 Min eller liknande.
För närvarande baseras alla uppskattningar på hur lång tid en blindlösningsgren kommer att ta på denna kolumn. För andra grenar kontrollerar arket bara om något har skrivits in här, och ändrar i så fall den beräknade tiden lite grann.</t>
      </text>
    </comment>
    <comment authorId="0" ref="J30">
      <text>
        <t xml:space="preserve">======
ID#AAAA-Ru_8EI
    (2023-10-15 15:15:36)
Uppskattat antal deltagare som förväntas ställa upp i omgången. För den första omgången fyller du i själv när "?" ploppar upp. För efterföljande rundor så föreslår cellen att 75% av de som tävlade i förra rundan får gå vidare, men det kan du ändra skriva över själv om du vill.</t>
      </text>
    </comment>
    <comment authorId="0" ref="Y30">
      <text>
        <t xml:space="preserve">======
ID#AAAA-Ru_8EE
    (2023-10-15 15:15:36)
Tiden ett försök beräknas ta.
Cellen letar efter rätt gren i "Info"-dokumentet, och väljer rätt värde baserat på om fixed seating används eller ej samt om det är en blindgren eller ej.
I vissa specifika fall multipliceras försökstiden med maximalt +10%, se kommentaren under "time limit" för mer information.</t>
      </text>
    </comment>
    <comment authorId="0" ref="K7">
      <text>
        <t xml:space="preserve">======
ID#AAAA-Ru_8EA
    (2023-10-15 15:15:36)
Fyller mestadels i sig själv, men är uppskattat antal deltagare som klarar en eventuell cutoff (eller väntas bli "stoppade" och inte hinna göra alla sina lösningar vid en eventuell cumulative time limit). Cellen föreslår att 80% av deltagarna klarar en cutoff och att 90% av deltagarna inte drabbas av en cumulative time limit, men det kan du ändra och skriva över själva om du tror att du har fog för det.</t>
      </text>
    </comment>
    <comment authorId="0" ref="J53">
      <text>
        <t xml:space="preserve">======
ID#AAAA-Ru_8D4
    (2023-10-15 15:15:36)
Uppskattat antal deltagare som förväntas ställa upp i omgången. För den första omgången fyller du i själv när "?" ploppar upp. För efterföljande rundor så föreslår cellen att 75% av de som tävlade i förra rundan får gå vidare, men det kan du ändra skriva över själv om du vill.</t>
      </text>
    </comment>
    <comment authorId="0" ref="A3">
      <text>
        <t xml:space="preserve">======
ID#AAAA-Ru_8D0
    (2023-10-15 15:15:36)
Dessa är basvärden som påverkar hela schemat på samma gång. Du sätter dem de första du gör innan du börjar fylla i grenar och aktiviteter. Om du ändrar dig (kanske vill använda fler timers genom hela tävlingen) så går det förstås bra att ändra dessa basvärden senare.</t>
      </text>
    </comment>
    <comment authorId="0" ref="F7">
      <text>
        <t xml:space="preserve">======
ID#AAAA-Ru_8Dw
    (2023-10-15 15:15:36)
Fyller i sig själv. Oftast "avg of 5". 3x3 BLD, 4x4 BLD, 5x5 BLD har "best of 3". 3x3 Multi-Blind och 3x3 FMC kan ha "best of 1" / "best of 2" / "best of 3", så där måste du välja själv.</t>
      </text>
    </comment>
    <comment authorId="0" ref="P79">
      <text>
        <t xml:space="preserve">======
ID#AAAA-Ru_8Do
    (2023-10-15 15:15:36)
Här kan du om du verkligen vill forcera ett särskilt antal timers för en specifik gren, exempelvis en "head to head" final i 3x3.</t>
      </text>
    </comment>
    <comment authorId="0" ref="R53">
      <text>
        <t xml:space="preserve">======
ID#AAAA-Ru_8Dk
    (2023-10-15 15:15:36)
Fyll i detta under tävlingen om du vill och har tid. Det gör analys och förbättring av mallen enklare i efterhand.</t>
      </text>
    </comment>
    <comment authorId="0" ref="Q7">
      <text>
        <t xml:space="preserve">======
ID#AAAA-Ru_8Dg
    (2023-10-15 15:15:36)
Här kan du exempelvis ändra om specifikt vissa rundor ska använda fixed seating.</t>
      </text>
    </comment>
    <comment authorId="0" ref="B7">
      <text>
        <t xml:space="preserve">======
ID#AAAA-Ru_8Dc
    (2023-10-15 15:15:36)
Grenens sluttid</t>
      </text>
    </comment>
    <comment authorId="0" ref="AA79">
      <text>
        <t xml:space="preserve">======
ID#AAAA-Ru_8DQ
    (2023-10-15 15:15:36)
Antalet försök som får genomföras 
om man klarar cutoff alternativt om sådan inte finns (eller om cumulative time limit används).  För 3x3 FMC och 3x3 MBLD så är detta alla försök som hela rundan innefattar, inte bara nuvarande schemalagda aktivitet.</t>
      </text>
    </comment>
    <comment authorId="0" ref="T30">
      <text>
        <t xml:space="preserve">======
ID#AAAA-Ru_8DM
    (2023-10-15 15:15:36)
Föreslagen ny försökstid baserat på hur lång tid det faktiskt tog att genomföra grenen. Men ta detta med en nypa salt, eftersom beroende på hur väl du höll schemat i övrigt kan andra faktorer behöva en uppdatering snarare än försökstiden.</t>
      </text>
    </comment>
    <comment authorId="0" ref="T79">
      <text>
        <t xml:space="preserve">======
ID#AAAA-Ru_8DI
    (2023-10-15 15:15:36)
Föreslagen ny försökstid baserat på hur lång tid det faktiskt tog att genomföra grenen. Men ta detta med en nypa salt, eftersom beroende på hur väl du höll schemat i övrigt kan andra faktorer behöva en uppdatering snarare än försökstiden.</t>
      </text>
    </comment>
    <comment authorId="0" ref="P53">
      <text>
        <t xml:space="preserve">======
ID#AAAA-Ru_8DE
    (2023-10-15 15:15:36)
Här kan du om du verkligen vill forcera ett särskilt antal timers för en specifik gren, exempelvis en "head to head" final i 3x3.</t>
      </text>
    </comment>
    <comment authorId="0" ref="N7">
      <text>
        <t xml:space="preserve">======
ID#AAAA-Ru_8DA
    (2023-10-15 15:15:36)
Ett förslag ges av kalkylarket baserat på antalet deltagare, timers, rundor samt om fixed seating används eller ej. Antalet grupper kan dock även ändras manuellt om du vill. Har inverkan på den beräknade tiden pga tiden det tar att starta nya grupper.</t>
      </text>
    </comment>
    <comment authorId="0" ref="M7">
      <text>
        <t xml:space="preserve">======
ID#AAAA-Ru_8C8
    (2023-10-15 15:15:35)
Här kan den beräknade tiden justeras manuellt om det skulle behövas, exempelvis om den beräknade tiden känns orimlig / om man önskar extra buffertid / man önskar längre lunch / om man misstänker svårighet att hitta blandare osv.</t>
      </text>
    </comment>
    <comment authorId="0" ref="B29">
      <text>
        <t xml:space="preserve">======
ID#AAAA-Ru_8C4
    (2023-10-15 15:15:35)
Minut</t>
      </text>
    </comment>
    <comment authorId="0" ref="I1">
      <text>
        <t xml:space="preserve">======
ID#AAAA-Ru_8Cw
    (2023-10-15 15:15:35)
Hur många deltagare som får delta på tävlingen totalt.</t>
      </text>
    </comment>
    <comment authorId="0" ref="Q53">
      <text>
        <t xml:space="preserve">======
ID#AAAA-Ru_8Co
    (2023-10-15 15:15:35)
Här kan du exempelvis ändra om specifikt vissa rundor ska använda fixed seating.</t>
      </text>
    </comment>
    <comment authorId="0" ref="Q30">
      <text>
        <t xml:space="preserve">======
ID#AAAA-Ru_8Ck
    (2023-10-15 15:15:35)
Här kan du exempelvis ändra om specifikt vissa rundor ska använda fixed seating.</t>
      </text>
    </comment>
    <comment authorId="0" ref="X79">
      <text>
        <t xml:space="preserve">======
ID#AAAA-Ru_8Cg
    (2023-10-15 15:15:35)
Beroende på antalet personer i gruppen, vilken gren det är och liknande så är det inte säkert att alla uppställda timers kan användas maximalt; därav denna kolumn. Ändra ALDRIG själv.</t>
      </text>
    </comment>
    <comment authorId="0" ref="A79">
      <text>
        <t xml:space="preserve">======
ID#AAAA-Ru_8Cc
    (2023-10-15 15:15:35)
Grenens starttid</t>
      </text>
    </comment>
    <comment authorId="0" ref="K104">
      <text>
        <t xml:space="preserve">======
ID#AAAA-Ru_8CY
    (2023-10-15 15:15:35)
Allt utom 3x3 FMC och 3x3 MBLD</t>
      </text>
    </comment>
    <comment authorId="0" ref="T53">
      <text>
        <t xml:space="preserve">======
ID#AAAA-Ru_8CU
    (2023-10-15 15:15:35)
Föreslagen ny försökstid baserat på hur lång tid det faktiskt tog att genomföra grenen. Men ta detta med en nypa salt, eftersom beroende på hur väl du höll schemat i övrigt kan andra faktorer behöva en uppdatering snarare än försökstiden.</t>
      </text>
    </comment>
    <comment authorId="0" ref="R7">
      <text>
        <t xml:space="preserve">======
ID#AAAA-Ru_8CQ
    (2023-10-15 15:15:35)
Fyll i detta under tävlingen om du vill och har tid. Det gör analys och förbättring av mallen enklare i efterhand.</t>
      </text>
    </comment>
    <comment authorId="0" ref="Z53">
      <text>
        <t xml:space="preserve">======
ID#AAAA-Ru_8CI
    (2023-10-15 15:15:35)
Antalet försök som alla får genomföra, oavsett om man klarar cutoff (för 3x3 FMC och 3x3 MBLD så är detta alla försök som hela rundan innefattar, inte bara nuvarande schemalagda aktivitet).
Tänk på att denna dock kan ändras om cumulative time limit används istället för en cutoff. Det är bara för att uträkningarna ska bli korrekt, i verkligheten får ju då alla en chans att hinna med alla lösningar om man är tillräckligt snabb. Ändra trots det ALDRIG dessa celler manuellt.</t>
      </text>
    </comment>
  </commentList>
  <extLst>
    <ext uri="GoogleSheetsCustomDataVersion2">
      <go:sheetsCustomData xmlns:go="http://customooxmlschemas.google.com/" r:id="rId1" roundtripDataSignature="AMtx7mhRKXuVSEOP5+A8h3zNQZ8n+sxaog=="/>
    </ext>
  </extLst>
</comments>
</file>

<file path=xl/comments2.xml><?xml version="1.0" encoding="utf-8"?>
<comments xmlns:r="http://schemas.openxmlformats.org/officeDocument/2006/relationships" xmlns="http://schemas.openxmlformats.org/spreadsheetml/2006/main">
  <authors>
    <author/>
  </authors>
  <commentList>
    <comment authorId="0" ref="M1">
      <text>
        <t xml:space="preserve">======
ID#AAAA-Ru_8K8
    (2023-10-15 15:15:36)
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C17">
      <text>
        <t xml:space="preserve">======
ID#AAAA-Ru_8Ko
    (2023-10-15 15:15:36)
Helt beroende på vald cumulative time limit</t>
      </text>
    </comment>
    <comment authorId="0" ref="C9">
      <text>
        <t xml:space="preserve">======
ID#AAAA-Ru_8Kk
    (2023-10-15 15:15:36)
På grund av tiden för att förbereda försöket, samt därefter avsluta försöket och återställa tävlingsstationerna för andra grenar.</t>
      </text>
    </comment>
    <comment authorId="0" ref="B16">
      <text>
        <t xml:space="preserve">======
ID#AAAA-Ru_8Kc
    (2023-10-15 15:15:36)
Helt beroende på vald cumulative time limit</t>
      </text>
    </comment>
    <comment authorId="0" ref="B18">
      <text>
        <t xml:space="preserve">======
ID#AAAA-Ru_8Jc
    (2023-10-15 15:15:36)
Sätter vald tid i minuter, men tänk också på att det behövs tid samt viss logistik för att blanda kuber och förbereda försöket</t>
      </text>
    </comment>
    <comment authorId="0" ref="N1">
      <text>
        <t xml:space="preserve">======
ID#AAAA-Ru_8JY
    (2023-10-15 15:15:36)
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T37">
      <text>
        <t xml:space="preserve">======
ID#AAAA-Ru_8I4
    (2023-10-15 15:15:36)
Som standard är dessa 5x5 och Clock.</t>
      </text>
    </comment>
    <comment authorId="0" ref="C8">
      <text>
        <t xml:space="preserve">======
ID#AAAA-Ru_8Ik
    (2023-10-15 15:15:36)
Helt beroende på vald cumulative time limit</t>
      </text>
    </comment>
    <comment authorId="0" ref="H1">
      <text>
        <t xml:space="preserve">======
ID#AAAA-Ru_8Ig
    (2023-10-15 15:15:36)
Om 3x3 finns på tävlingen så väntas detta bli den populäraste grenen</t>
      </text>
    </comment>
    <comment authorId="0" ref="T10">
      <text>
        <t xml:space="preserve">======
ID#AAAA-Ru_8H8
    (2023-10-15 15:15:36)
Men för blindgrenar adderas ytterligare x * 0,5 då just den första gruppen i blindgrenar tenderar att ta längre tid att få igång.</t>
      </text>
    </comment>
    <comment authorId="0" ref="C20">
      <text>
        <t xml:space="preserve">======
ID#AAAA-Ru_8Hs
    (2023-10-15 15:15:36)
Helt beroende på vald cumulative time limit</t>
      </text>
    </comment>
    <comment authorId="0" ref="T19">
      <text>
        <t xml:space="preserve">======
ID#AAAA-Ru_8Hk
    (2023-10-15 15:15:36)
I % av cumulative time limit jämfört med vald cumulative time limit. Ex: I en grupp 4x4 BLD, med cumulative time limit på 60:00 (och inte fler deltagare än tillgängliga timers) kommer alla lösningar vara färdiga på 60:00*x minuter (+ tid för att byta grupper).</t>
      </text>
    </comment>
    <comment authorId="0" ref="T1">
      <text>
        <t xml:space="preserve">======
ID#AAAA-Ru_8Hg
    (2023-10-15 15:15:36)
I % av försöks-tiden jämfört med normalt. Påverkar 2:a och 3:e rundor (alltså inte 1:a rundan eller finaler).</t>
      </text>
    </comment>
    <comment authorId="0" ref="B8">
      <text>
        <t xml:space="preserve">======
ID#AAAA-Ru_8HM
    (2023-10-15 15:15:36)
Helt beroende på vald cumulative time limit</t>
      </text>
    </comment>
    <comment authorId="0" ref="B17">
      <text>
        <t xml:space="preserve">======
ID#AAAA-Ru_8Gw
    (2023-10-15 15:15:36)
Helt beroende på vald cumulative time limit</t>
      </text>
    </comment>
    <comment authorId="0" ref="T16">
      <text>
        <t xml:space="preserve">======
ID#AAAA-Ru_8GU
    (2023-10-15 15:15:36)
Alla sätter sig på samma station under hela gruppen, så det sparar tid genom att till exempel eliminera behovet av vänteområdet och tiden att gå mellan vänteområdet och lösningsstationerna. Beroende av att arrangören kan hitta en domare per tävlande för varje grupp.</t>
      </text>
    </comment>
    <comment authorId="0" ref="T22">
      <text>
        <t xml:space="preserve">======
ID#AAAA-Ru_8GY
    (2023-10-15 15:15:36)
Samma förklaring som ovan</t>
      </text>
    </comment>
    <comment authorId="0" ref="J1">
      <text>
        <t xml:space="preserve">======
ID#AAAA-Ru_8GM
    (2023-10-15 15:15:36)
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L1">
      <text>
        <t xml:space="preserve">======
ID#AAAA-Ru_8GA
    (2023-10-15 15:15:36)
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K1">
      <text>
        <t xml:space="preserve">======
ID#AAAA-Ru_8Fg
    (2023-10-15 15:15:36)
Upp till och med, alltså mindre än eller lika med ( &lt;= ) denna tid. Anges i minuter, så 1:15 = 1,25.
Vissa grenar har inte cumulative time limit som standard istället för cutoff på tävlingar. Därav finns föreslagna cumulative time limits listade för grenarna 3x3 BLD, 4x4 BLD, 5x5 BLD, 6x6 / 7x7 och 4x4 / 5x5 BLD.
Om du för en gren som vanligtvis använder cutoffs istället väljer att använda en cumulative time limit så tar arket din c.t.l. och delar på 5 innan den jämför med kolumnerna nedan. 
Om du för en gren som vanligtvis varken användes cutoff eller cumulative time limit väljer en sådan i schemaarket så tar arket standardvärdet med antalet personer som väntas klara cutoff / hinna c.t.l (men med en varning om att grenen vanligtvis inte använder cutoff eller c.t.l).</t>
      </text>
    </comment>
    <comment authorId="0" ref="B20">
      <text>
        <t xml:space="preserve">======
ID#AAAA-Ru_8FM
    (2023-10-15 15:15:36)
Helt beroende på vald cumulative time limit</t>
      </text>
    </comment>
    <comment authorId="0" ref="B9">
      <text>
        <t xml:space="preserve">======
ID#AAAA-Ru_8Ew
    (2023-10-15 15:15:36)
På grund av tiden för att förbereda försöket, samt därefter avsluta försöket och återställa tävlingsstationerna för andra grenar.</t>
      </text>
    </comment>
    <comment authorId="0" ref="C19">
      <text>
        <t xml:space="preserve">======
ID#AAAA-Ru_8Eo
    (2023-10-15 15:15:36)
Om grenarna hålls tillsammans</t>
      </text>
    </comment>
    <comment authorId="0" ref="C16">
      <text>
        <t xml:space="preserve">======
ID#AAAA-Ru_8D8
    (2023-10-15 15:15:36)
Helt beroende på vald cumulative time limit</t>
      </text>
    </comment>
    <comment authorId="0" ref="T34">
      <text>
        <t xml:space="preserve">======
ID#AAAA-Ru_8Ds
    (2023-10-15 15:15:36)
Som standard är dessa 6x6, 7x7, 6x6 / 7x7, Megaminx, Square-1.</t>
      </text>
    </comment>
    <comment authorId="0" ref="C18">
      <text>
        <t xml:space="preserve">======
ID#AAAA-Ru_8DY
    (2023-10-15 15:15:36)
Sätter vald tid i minuter, men tänk också på att det behövs tid samt viss logistik för att blanda kuber och förbereda försöket</t>
      </text>
    </comment>
    <comment authorId="0" ref="T4">
      <text>
        <t xml:space="preserve">======
ID#AAAA-Ru_8DU
    (2023-10-15 15:15:36)
I % av försöks-tiden jämfört med normalt. Påverkar bara finaler (och inte när första rundan är finalen, exempelvis i en combined 1st round).</t>
      </text>
    </comment>
    <comment authorId="0" ref="B19">
      <text>
        <t xml:space="preserve">======
ID#AAAA-Ru_8C0
    (2023-10-15 15:15:35)
Om grenarna hålls tillsammans</t>
      </text>
    </comment>
    <comment authorId="0" ref="D18">
      <text>
        <t xml:space="preserve">======
ID#AAAA-Ru_8Cs
    (2023-10-15 15:15:35)
Antingen best of 1, best of 2 eller best of 3. Kalkylarket gör ett försök att läsa av formatet beroende på hur många gånger du skrivit "3x3 MBLD" medan du skapar ditt schema.</t>
      </text>
    </comment>
    <comment authorId="0" ref="D9">
      <text>
        <t xml:space="preserve">======
ID#AAAA-Ru_8CM
    (2023-10-15 15:15:35)
Antingen best of 1, best of 2 eller mean of 3. Kalkylarket gör ett försök att läsa av formatet beroende på hur många gånger du skrivit "3x3 FMC" medan du skapar ditt schema.</t>
      </text>
    </comment>
  </commentList>
  <extLst>
    <ext uri="GoogleSheetsCustomDataVersion2">
      <go:sheetsCustomData xmlns:go="http://customooxmlschemas.google.com/" r:id="rId1" roundtripDataSignature="AMtx7miwDiCf0bVoAlHaFfpsyzwL7vZpDg=="/>
    </ext>
  </extLst>
</comments>
</file>

<file path=xl/sharedStrings.xml><?xml version="1.0" encoding="utf-8"?>
<sst xmlns="http://schemas.openxmlformats.org/spreadsheetml/2006/main" count="402" uniqueCount="170">
  <si>
    <t>Tävlingsnamn 2023 (Skapa en kopia 
under "arkiv" om du vill testa mallen)</t>
  </si>
  <si>
    <t>Huvudrums
basvärden: -&gt;</t>
  </si>
  <si>
    <t>Huvudrummets namn:</t>
  </si>
  <si>
    <t>Deltagargräns</t>
  </si>
  <si>
    <t>Populäraste gren:</t>
  </si>
  <si>
    <t>Antal tävlingsrum</t>
  </si>
  <si>
    <t>Om fler än 1 rum: tävling samtidigt i båda?</t>
  </si>
  <si>
    <t>Antal uppställda timers (huvudrummet):</t>
  </si>
  <si>
    <t>Antal sidor/blandningsbord:</t>
  </si>
  <si>
    <t>Används fixed seating generellt:</t>
  </si>
  <si>
    <t>Standard manuell extratid:</t>
  </si>
  <si>
    <t>Stora salen</t>
  </si>
  <si>
    <t>3x3</t>
  </si>
  <si>
    <t>No</t>
  </si>
  <si>
    <t>Yes</t>
  </si>
  <si>
    <t>Lila</t>
  </si>
  <si>
    <t>Grön</t>
  </si>
  <si>
    <t>Gul</t>
  </si>
  <si>
    <t>Röd</t>
  </si>
  <si>
    <t>1:a sidorummets namn:</t>
  </si>
  <si>
    <t>Sidorummen kopplade till:</t>
  </si>
  <si>
    <t>2:a sidorummets namn:</t>
  </si>
  <si>
    <t>3:e sidorummets namn:</t>
  </si>
  <si>
    <t>4:e sidorummets namn:</t>
  </si>
  <si>
    <t>Vit</t>
  </si>
  <si>
    <t>Orange</t>
  </si>
  <si>
    <t>Blå</t>
  </si>
  <si>
    <t>Cyan</t>
  </si>
  <si>
    <t>Tävlingen börjar klockan</t>
  </si>
  <si>
    <t>Svart</t>
  </si>
  <si>
    <t>Analys finns
längst ner!</t>
  </si>
  <si>
    <t>Antal timers:</t>
  </si>
  <si>
    <t>Används fixed seating?</t>
  </si>
  <si>
    <t>Start</t>
  </si>
  <si>
    <t>Slut</t>
  </si>
  <si>
    <t>Gren (läs här!)</t>
  </si>
  <si>
    <t>Rum</t>
  </si>
  <si>
    <t>Omgång</t>
  </si>
  <si>
    <t>Format</t>
  </si>
  <si>
    <t>Time limit</t>
  </si>
  <si>
    <t>Cumulative time limit</t>
  </si>
  <si>
    <t>Cutoff</t>
  </si>
  <si>
    <t>Antal deltagare</t>
  </si>
  <si>
    <t>Klarar cutoff / stoppas ej av c.t.l.</t>
  </si>
  <si>
    <t>Beräknad tid</t>
  </si>
  <si>
    <t>Manuell extratid</t>
  </si>
  <si>
    <t>Antal grupper</t>
  </si>
  <si>
    <t>Antal blandningsbord / stages</t>
  </si>
  <si>
    <t>Antal timers</t>
  </si>
  <si>
    <t>Tidsåtgång IRL?</t>
  </si>
  <si>
    <t>Klarade cutoff / c.t.l.</t>
  </si>
  <si>
    <t>Faktisk försöks-tid</t>
  </si>
  <si>
    <t>Ev. kommentar</t>
  </si>
  <si>
    <t>Deltagare per grupp</t>
  </si>
  <si>
    <t>Tid per grupp</t>
  </si>
  <si>
    <t>Antal effektivt använda timers</t>
  </si>
  <si>
    <t>Försöks-tid</t>
  </si>
  <si>
    <t>Min antal försök</t>
  </si>
  <si>
    <t>Max antal försök</t>
  </si>
  <si>
    <t>Klarar cutoff / stoppas av c.t.l.</t>
  </si>
  <si>
    <t>Försök-tid</t>
  </si>
  <si>
    <t>Analys:</t>
  </si>
  <si>
    <t>1:a-rundor</t>
  </si>
  <si>
    <t>3:e-rundor:</t>
  </si>
  <si>
    <t>Svårblandade finaler:</t>
  </si>
  <si>
    <t>Rundor med cutoff:</t>
  </si>
  <si>
    <t>Rundor där time limit har en påverkan:</t>
  </si>
  <si>
    <t>Rundor utan fixed seating:</t>
  </si>
  <si>
    <t>Långa blindgrenar:</t>
  </si>
  <si>
    <t>3x3 FMC</t>
  </si>
  <si>
    <t>2:a-rundor</t>
  </si>
  <si>
    <t>Finalrundor:</t>
  </si>
  <si>
    <t>MYCKET svårblandade finaler:</t>
  </si>
  <si>
    <t>Rundor med cumulative time limit:</t>
  </si>
  <si>
    <t>Resterande rundor:</t>
  </si>
  <si>
    <t>Rundor med fixed seating:</t>
  </si>
  <si>
    <t>3x3 BLD:</t>
  </si>
  <si>
    <t>3x3 MBLD</t>
  </si>
  <si>
    <t xml:space="preserve">Fixed seating, +5% försökstid: </t>
  </si>
  <si>
    <t xml:space="preserve">Fixed seating, +10% försökstid: </t>
  </si>
  <si>
    <t xml:space="preserve">Utan fixed seating, +5% försökstid: </t>
  </si>
  <si>
    <t xml:space="preserve">Utan fixed seating, +10% försökstid: </t>
  </si>
  <si>
    <t>Försökstid - högsta +% - fixed seating:</t>
  </si>
  <si>
    <t>Försökstid - högsta +% - ej fixed seating:</t>
  </si>
  <si>
    <t>Fler klarade cutoff (+10%):</t>
  </si>
  <si>
    <t>Fler klarade c.t.l. (+10%):</t>
  </si>
  <si>
    <t xml:space="preserve">Fixed seating, -5% försökstid: </t>
  </si>
  <si>
    <t xml:space="preserve">Fixed seating, -10% försökstid: </t>
  </si>
  <si>
    <t xml:space="preserve">Utan fixed seating, -5% försökstid: </t>
  </si>
  <si>
    <t xml:space="preserve">Utan fixed seating, -10% försökstid: </t>
  </si>
  <si>
    <t>Försökstid - högsta -% - fixed seating:</t>
  </si>
  <si>
    <t>Försökstid - högsta -% - ej fixed seating:</t>
  </si>
  <si>
    <t>Färre klarade cutoff (-10%):</t>
  </si>
  <si>
    <t>Färre klarade c.t.l. (-10%):</t>
  </si>
  <si>
    <t>2x2</t>
  </si>
  <si>
    <t>4x4</t>
  </si>
  <si>
    <t>5x5</t>
  </si>
  <si>
    <t>6x6</t>
  </si>
  <si>
    <t>7x7</t>
  </si>
  <si>
    <t>3x3 BLD</t>
  </si>
  <si>
    <t>3x3 OH</t>
  </si>
  <si>
    <t>Clock</t>
  </si>
  <si>
    <t>Megaminx</t>
  </si>
  <si>
    <t>Pyraminx</t>
  </si>
  <si>
    <t>Skewb</t>
  </si>
  <si>
    <t>Square-1</t>
  </si>
  <si>
    <t>4x4 BLD</t>
  </si>
  <si>
    <t>5x5 BLD</t>
  </si>
  <si>
    <t>6x6 / 7x7</t>
  </si>
  <si>
    <t>4x4 / 5x5 BLD</t>
  </si>
  <si>
    <t>Fixed seating (skillnad i %)</t>
  </si>
  <si>
    <t>Faktisk försökstid</t>
  </si>
  <si>
    <t>Ej fixed seating (skillnad i %)</t>
  </si>
  <si>
    <t>Deltagare (skillnad i %)</t>
  </si>
  <si>
    <t>Faktisk kvot mot 3x3</t>
  </si>
  <si>
    <t>Cutoff (skillnad i %)</t>
  </si>
  <si>
    <t>Faktisk kvot av deltagarna</t>
  </si>
  <si>
    <t>Cumulative (skillnad i %)</t>
  </si>
  <si>
    <t>Gren</t>
  </si>
  <si>
    <t>Attempt time med fixed seating</t>
  </si>
  <si>
    <t>Används cutoff?</t>
  </si>
  <si>
    <t>Används cumulative?</t>
  </si>
  <si>
    <t>Svårblandad gren?</t>
  </si>
  <si>
    <t>% som brukar delta jämfört med 3x3</t>
  </si>
  <si>
    <t>Standard antal rundor i grenen</t>
  </si>
  <si>
    <r>
      <rPr>
        <rFont val="arial"/>
        <b/>
        <color theme="1"/>
      </rPr>
      <t xml:space="preserve">Mycket hård cutoff / </t>
    </r>
    <r>
      <rPr>
        <rFont val="arial"/>
        <b/>
        <color rgb="FF9900FF"/>
      </rPr>
      <t>c.t.l.</t>
    </r>
  </si>
  <si>
    <r>
      <rPr>
        <rFont val="arial"/>
        <b/>
        <color theme="1"/>
      </rPr>
      <t xml:space="preserve">Medelhård cutoff / </t>
    </r>
    <r>
      <rPr>
        <rFont val="arial"/>
        <b/>
        <color rgb="FF9900FF"/>
      </rPr>
      <t>c.t.l.</t>
    </r>
  </si>
  <si>
    <r>
      <rPr>
        <rFont val="arial"/>
        <b/>
        <color theme="1"/>
      </rPr>
      <t xml:space="preserve">Normal cutoff / </t>
    </r>
    <r>
      <rPr>
        <rFont val="arial"/>
        <b/>
        <color rgb="FF9900FF"/>
      </rPr>
      <t>c.t.l.</t>
    </r>
  </si>
  <si>
    <r>
      <rPr>
        <rFont val="arial"/>
        <b/>
        <color theme="1"/>
      </rPr>
      <t xml:space="preserve">Medellätt cutoff / </t>
    </r>
    <r>
      <rPr>
        <rFont val="arial"/>
        <b/>
        <color rgb="FF9900FF"/>
      </rPr>
      <t>c.t.l.</t>
    </r>
  </si>
  <si>
    <r>
      <rPr>
        <rFont val="arial"/>
        <b/>
        <color theme="1"/>
      </rPr>
      <t xml:space="preserve">Mycket lätt cutoff / </t>
    </r>
    <r>
      <rPr>
        <rFont val="arial"/>
        <b/>
        <color rgb="FF9900FF"/>
      </rPr>
      <t>c.t.l.</t>
    </r>
  </si>
  <si>
    <t>Standard cumulative time limit</t>
  </si>
  <si>
    <t>Standard time limit i R1</t>
  </si>
  <si>
    <t>Standard time limit i R2</t>
  </si>
  <si>
    <t>Standard time limit i R3</t>
  </si>
  <si>
    <t>Standard time limit i final</t>
  </si>
  <si>
    <t>Försökstid som behövs för efterföljande rundor gentemot 1:a rundan</t>
  </si>
  <si>
    <t>Avg of 5</t>
  </si>
  <si>
    <t>Nej</t>
  </si>
  <si>
    <t>N/A</t>
  </si>
  <si>
    <t>Försökstid som behövs för finaler gentemot 1:a rundan</t>
  </si>
  <si>
    <t>Mycket svår</t>
  </si>
  <si>
    <t>Mean of 3</t>
  </si>
  <si>
    <t xml:space="preserve">Svår </t>
  </si>
  <si>
    <t>Svår</t>
  </si>
  <si>
    <t>Normalt antal timers uppställda (snabbare / långsammare utöver det)</t>
  </si>
  <si>
    <t>Best of 3</t>
  </si>
  <si>
    <t>Tid som behövs för att byta mellan grupper</t>
  </si>
  <si>
    <t>Extra tid som behövs för att byta mellan grupper om flera stages används</t>
  </si>
  <si>
    <t>Modifierad försöks-tid med fixed seating (en domare per deltagare behövs)</t>
  </si>
  <si>
    <t>Tid som behövs för långa blindgrenar (gentemot cumulative time limit)</t>
  </si>
  <si>
    <t>Andra aktiviteter</t>
  </si>
  <si>
    <t>% som klarar cutoff</t>
  </si>
  <si>
    <t>Check-in</t>
  </si>
  <si>
    <t>Tid som behövs för 3x3 BLD (gentemot cumulative time limit)</t>
  </si>
  <si>
    <t>Registrering</t>
  </si>
  <si>
    <t>% som hinner c.t.l</t>
  </si>
  <si>
    <t>Paus</t>
  </si>
  <si>
    <t>Frukost</t>
  </si>
  <si>
    <t>% som klarar en ännu lättare cutoff än ovan</t>
  </si>
  <si>
    <t>% som klarar en ännu lättare cumulative time limit än ovan</t>
  </si>
  <si>
    <t>Antal personer som klarar cutoff i genomsnitt (i procent)</t>
  </si>
  <si>
    <t>Lunch</t>
  </si>
  <si>
    <t>Middag</t>
  </si>
  <si>
    <t>Deltagarintroduktion</t>
  </si>
  <si>
    <t>Antal personer som inte hinner klart med cumulative time limit (i procent)</t>
  </si>
  <si>
    <t>Städning</t>
  </si>
  <si>
    <t>Prisutdelning</t>
  </si>
  <si>
    <t>Standard antal av deltagarna som går vidare till nästa runda (i procent)</t>
  </si>
  <si>
    <t>Försökstid i finalen för svårblandade grenar (gentemot 1:a rundan, i %)</t>
  </si>
  <si>
    <t>Försökstid i finalen för MYCKET svårblandade grenar (gentemot 1:a rundan, i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</si>
</sst>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quot; &quot;d&quot; &quot;mmm&quot; &quot;yyyy"/>
    <numFmt numFmtId="165" formatCode="hh&quot;:&quot;mm"/>
  </numFmts>
  <fonts count="15">
    <font>
      <sz val="10.0"/>
      <color rgb="FF000000"/>
      <name val="Arial"/>
      <scheme val="minor"/>
    </font>
    <font>
      <b/>
      <sz val="14.0"/>
      <color theme="1"/>
      <name val="Arial"/>
    </font>
    <font/>
    <font>
      <b/>
      <sz val="10.0"/>
      <color theme="1"/>
      <name val="Arial"/>
    </font>
    <font>
      <color theme="1"/>
      <name val="Arial"/>
    </font>
    <font>
      <b/>
      <color theme="1"/>
      <name val="Arial"/>
    </font>
    <font>
      <b/>
      <sz val="12.0"/>
      <color theme="1"/>
      <name val="Arial"/>
    </font>
    <font>
      <b/>
      <sz val="10.0"/>
      <color rgb="FFFFFFFF"/>
      <name val="Arial"/>
    </font>
    <font>
      <color rgb="FF232629"/>
      <name val="Arial"/>
    </font>
    <font>
      <sz val="10.0"/>
      <color rgb="FF000000"/>
      <name val="Arial"/>
    </font>
    <font>
      <sz val="10.0"/>
      <color theme="1"/>
      <name val="Arial"/>
    </font>
    <font>
      <b/>
      <sz val="12.0"/>
      <color rgb="FF232629"/>
      <name val="Arial"/>
    </font>
    <font>
      <sz val="10.0"/>
      <color rgb="FF232629"/>
      <name val="Arial"/>
    </font>
    <font>
      <b/>
      <sz val="10.0"/>
      <color rgb="FF232629"/>
      <name val="Arial"/>
    </font>
    <font>
      <b/>
      <sz val="10.0"/>
      <color rgb="FF000000"/>
      <name val="Arial"/>
    </font>
  </fonts>
  <fills count="14">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4A86E8"/>
        <bgColor rgb="FF4A86E8"/>
      </patternFill>
    </fill>
    <fill>
      <patternFill patternType="solid">
        <fgColor rgb="FF00FFFF"/>
        <bgColor rgb="FF00FFFF"/>
      </patternFill>
    </fill>
    <fill>
      <patternFill patternType="solid">
        <fgColor rgb="FF6D9EEB"/>
        <bgColor rgb="FF6D9EEB"/>
      </patternFill>
    </fill>
    <fill>
      <patternFill patternType="solid">
        <fgColor rgb="FF3C78D8"/>
        <bgColor rgb="FF3C78D8"/>
      </patternFill>
    </fill>
    <fill>
      <patternFill patternType="solid">
        <fgColor rgb="FF9900FF"/>
        <bgColor rgb="FF9900FF"/>
      </patternFill>
    </fill>
    <fill>
      <patternFill patternType="solid">
        <fgColor rgb="FFCCCCCC"/>
        <bgColor rgb="FFCCCCCC"/>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0" fontId="1" numFmtId="0" xfId="0" applyAlignment="1" applyBorder="1" applyFont="1">
      <alignment horizontal="left" vertical="bottom"/>
    </xf>
    <xf borderId="2" fillId="0" fontId="2" numFmtId="0" xfId="0" applyBorder="1" applyFont="1"/>
    <xf borderId="3" fillId="0" fontId="2" numFmtId="0" xfId="0" applyBorder="1" applyFont="1"/>
    <xf borderId="0" fillId="2" fontId="3" numFmtId="0" xfId="0" applyAlignment="1" applyFill="1" applyFont="1">
      <alignment horizontal="left" vertical="bottom"/>
    </xf>
    <xf borderId="1" fillId="2" fontId="4" numFmtId="0" xfId="0" applyAlignment="1" applyBorder="1" applyFont="1">
      <alignment horizontal="left" vertical="bottom"/>
    </xf>
    <xf borderId="2" fillId="2" fontId="4" numFmtId="0" xfId="0" applyAlignment="1" applyBorder="1" applyFont="1">
      <alignment horizontal="left" vertical="bottom"/>
    </xf>
    <xf borderId="3" fillId="3" fontId="4" numFmtId="0" xfId="0" applyAlignment="1" applyBorder="1" applyFill="1" applyFont="1">
      <alignment horizontal="left" vertical="bottom"/>
    </xf>
    <xf borderId="0" fillId="3" fontId="5" numFmtId="0" xfId="0" applyAlignment="1" applyFont="1">
      <alignment horizontal="left" vertical="bottom"/>
    </xf>
    <xf borderId="4" fillId="0" fontId="2" numFmtId="0" xfId="0" applyBorder="1" applyFont="1"/>
    <xf borderId="5" fillId="0" fontId="2" numFmtId="0" xfId="0" applyBorder="1" applyFont="1"/>
    <xf borderId="6" fillId="0" fontId="2" numFmtId="0" xfId="0" applyBorder="1" applyFont="1"/>
    <xf borderId="7" fillId="2" fontId="6" numFmtId="0" xfId="0" applyAlignment="1" applyBorder="1" applyFont="1">
      <alignment horizontal="left" vertical="bottom"/>
    </xf>
    <xf borderId="0" fillId="2" fontId="5" numFmtId="0" xfId="0" applyAlignment="1" applyFont="1">
      <alignment horizontal="left" vertical="bottom"/>
    </xf>
    <xf borderId="5" fillId="2" fontId="5" numFmtId="0" xfId="0" applyAlignment="1" applyBorder="1" applyFont="1">
      <alignment horizontal="left" vertical="bottom"/>
    </xf>
    <xf borderId="6" fillId="3" fontId="5" numFmtId="0" xfId="0" applyAlignment="1" applyBorder="1" applyFont="1">
      <alignment horizontal="left" vertical="bottom"/>
    </xf>
    <xf borderId="0" fillId="4" fontId="5" numFmtId="0" xfId="0" applyAlignment="1" applyFill="1" applyFont="1">
      <alignment horizontal="left" vertical="bottom"/>
    </xf>
    <xf borderId="0" fillId="5" fontId="5" numFmtId="0" xfId="0" applyAlignment="1" applyFill="1" applyFont="1">
      <alignment horizontal="left" vertical="bottom"/>
    </xf>
    <xf borderId="0" fillId="6" fontId="5" numFmtId="0" xfId="0" applyAlignment="1" applyFill="1" applyFont="1">
      <alignment horizontal="left" vertical="bottom"/>
    </xf>
    <xf borderId="0" fillId="0" fontId="5" numFmtId="0" xfId="0" applyAlignment="1" applyFont="1">
      <alignment horizontal="left" vertical="bottom"/>
    </xf>
    <xf borderId="0" fillId="7" fontId="5" numFmtId="0" xfId="0" applyAlignment="1" applyFill="1" applyFont="1">
      <alignment horizontal="left" vertical="bottom"/>
    </xf>
    <xf borderId="0" fillId="8" fontId="5" numFmtId="0" xfId="0" applyAlignment="1" applyFill="1" applyFont="1">
      <alignment horizontal="left" vertical="bottom"/>
    </xf>
    <xf borderId="0" fillId="9" fontId="5" numFmtId="0" xfId="0" applyAlignment="1" applyFill="1" applyFont="1">
      <alignment horizontal="left" vertical="bottom"/>
    </xf>
    <xf borderId="4" fillId="2" fontId="6" numFmtId="0" xfId="0" applyAlignment="1" applyBorder="1" applyFont="1">
      <alignment horizontal="left" vertical="bottom"/>
    </xf>
    <xf borderId="8" fillId="0" fontId="2" numFmtId="0" xfId="0" applyBorder="1" applyFont="1"/>
    <xf borderId="0" fillId="3" fontId="7" numFmtId="0" xfId="0" applyAlignment="1" applyFont="1">
      <alignment horizontal="left" vertical="bottom"/>
    </xf>
    <xf borderId="7" fillId="2" fontId="4" numFmtId="0" xfId="0" applyAlignment="1" applyBorder="1" applyFont="1">
      <alignment horizontal="left" vertical="bottom"/>
    </xf>
    <xf borderId="0" fillId="2" fontId="4" numFmtId="0" xfId="0" applyAlignment="1" applyFont="1">
      <alignment horizontal="left" vertical="bottom"/>
    </xf>
    <xf borderId="5" fillId="2" fontId="6" numFmtId="0" xfId="0" applyAlignment="1" applyBorder="1" applyFont="1">
      <alignment horizontal="left" vertical="bottom"/>
    </xf>
    <xf borderId="0" fillId="2" fontId="6" numFmtId="164" xfId="0" applyAlignment="1" applyFont="1" applyNumberFormat="1">
      <alignment horizontal="left" vertical="bottom"/>
    </xf>
    <xf borderId="4" fillId="2" fontId="3" numFmtId="0" xfId="0" applyAlignment="1" applyBorder="1" applyFont="1">
      <alignment horizontal="left" vertical="bottom"/>
    </xf>
    <xf borderId="5" fillId="2" fontId="3" numFmtId="0" xfId="0" applyAlignment="1" applyBorder="1" applyFont="1">
      <alignment horizontal="left" vertical="bottom"/>
    </xf>
    <xf borderId="2" fillId="0" fontId="5" numFmtId="0" xfId="0" applyAlignment="1" applyBorder="1" applyFont="1">
      <alignment horizontal="left" vertical="bottom"/>
    </xf>
    <xf borderId="0" fillId="8" fontId="5" numFmtId="2" xfId="0" applyAlignment="1" applyFont="1" applyNumberFormat="1">
      <alignment horizontal="left" vertical="bottom"/>
    </xf>
    <xf borderId="0" fillId="6" fontId="5" numFmtId="2" xfId="0" applyAlignment="1" applyFont="1" applyNumberFormat="1">
      <alignment horizontal="left" vertical="bottom"/>
    </xf>
    <xf borderId="0" fillId="4" fontId="8" numFmtId="165" xfId="0" applyAlignment="1" applyFont="1" applyNumberFormat="1">
      <alignment horizontal="right"/>
    </xf>
    <xf borderId="0" fillId="4" fontId="9" numFmtId="165" xfId="0" applyAlignment="1" applyFont="1" applyNumberFormat="1">
      <alignment horizontal="right"/>
    </xf>
    <xf borderId="0" fillId="0" fontId="4" numFmtId="0" xfId="0" applyAlignment="1" applyFont="1">
      <alignment vertical="bottom"/>
    </xf>
    <xf borderId="0" fillId="7" fontId="4" numFmtId="0" xfId="0" applyAlignment="1" applyFont="1">
      <alignment horizontal="left" vertical="bottom"/>
    </xf>
    <xf borderId="0" fillId="7" fontId="9" numFmtId="0" xfId="0" applyFont="1"/>
    <xf borderId="0" fillId="7" fontId="9" numFmtId="0" xfId="0" applyAlignment="1" applyFont="1">
      <alignment horizontal="right"/>
    </xf>
    <xf borderId="0" fillId="7" fontId="4" numFmtId="0" xfId="0" applyAlignment="1" applyFont="1">
      <alignment horizontal="right" vertical="bottom"/>
    </xf>
    <xf borderId="0" fillId="4" fontId="4" numFmtId="2" xfId="0" applyAlignment="1" applyFont="1" applyNumberFormat="1">
      <alignment horizontal="right" vertical="bottom"/>
    </xf>
    <xf borderId="0" fillId="5" fontId="4" numFmtId="0" xfId="0" applyAlignment="1" applyFont="1">
      <alignment horizontal="right" vertical="bottom"/>
    </xf>
    <xf borderId="0" fillId="5" fontId="4" numFmtId="0" xfId="0" applyAlignment="1" applyFont="1">
      <alignment vertical="bottom"/>
    </xf>
    <xf borderId="0" fillId="8" fontId="4" numFmtId="2" xfId="0" applyAlignment="1" applyFont="1" applyNumberFormat="1">
      <alignment horizontal="right" vertical="bottom"/>
    </xf>
    <xf borderId="0" fillId="8" fontId="4" numFmtId="0" xfId="0" applyAlignment="1" applyFont="1">
      <alignment horizontal="right" vertical="bottom"/>
    </xf>
    <xf borderId="0" fillId="6" fontId="4" numFmtId="0" xfId="0" applyAlignment="1" applyFont="1">
      <alignment horizontal="right" vertical="bottom"/>
    </xf>
    <xf borderId="0" fillId="6" fontId="4" numFmtId="2" xfId="0" applyAlignment="1" applyFont="1" applyNumberFormat="1">
      <alignment horizontal="right" vertical="bottom"/>
    </xf>
    <xf borderId="0" fillId="6" fontId="9" numFmtId="0" xfId="0" applyAlignment="1" applyFont="1">
      <alignment horizontal="right"/>
    </xf>
    <xf borderId="0" fillId="3" fontId="4" numFmtId="0" xfId="0" applyAlignment="1" applyFont="1">
      <alignment horizontal="right" vertical="bottom"/>
    </xf>
    <xf borderId="2" fillId="2" fontId="5" numFmtId="0" xfId="0" applyAlignment="1" applyBorder="1" applyFont="1">
      <alignment horizontal="left" vertical="bottom"/>
    </xf>
    <xf borderId="2" fillId="2" fontId="6" numFmtId="164" xfId="0" applyAlignment="1" applyBorder="1" applyFont="1" applyNumberFormat="1">
      <alignment horizontal="left" vertical="bottom"/>
    </xf>
    <xf borderId="2" fillId="3" fontId="4" numFmtId="0" xfId="0" applyAlignment="1" applyBorder="1" applyFont="1">
      <alignment horizontal="left" vertical="bottom"/>
    </xf>
    <xf borderId="2" fillId="2" fontId="6" numFmtId="0" xfId="0" applyAlignment="1" applyBorder="1" applyFont="1">
      <alignment horizontal="left" vertical="bottom"/>
    </xf>
    <xf borderId="2" fillId="2" fontId="10" numFmtId="0" xfId="0" applyAlignment="1" applyBorder="1" applyFont="1">
      <alignment horizontal="right" vertical="bottom"/>
    </xf>
    <xf borderId="2" fillId="3" fontId="10" numFmtId="0" xfId="0" applyAlignment="1" applyBorder="1" applyFont="1">
      <alignment horizontal="right" vertical="bottom"/>
    </xf>
    <xf borderId="5" fillId="2" fontId="6" numFmtId="164" xfId="0" applyAlignment="1" applyBorder="1" applyFont="1" applyNumberFormat="1">
      <alignment horizontal="left" vertical="bottom"/>
    </xf>
    <xf borderId="5" fillId="3" fontId="4" numFmtId="0" xfId="0" applyAlignment="1" applyBorder="1" applyFont="1">
      <alignment horizontal="left" vertical="bottom"/>
    </xf>
    <xf borderId="5" fillId="2" fontId="4" numFmtId="0" xfId="0" applyAlignment="1" applyBorder="1" applyFont="1">
      <alignment horizontal="left" vertical="bottom"/>
    </xf>
    <xf borderId="5" fillId="2" fontId="10" numFmtId="0" xfId="0" applyAlignment="1" applyBorder="1" applyFont="1">
      <alignment horizontal="right" vertical="bottom"/>
    </xf>
    <xf borderId="5" fillId="3" fontId="10" numFmtId="0" xfId="0" applyAlignment="1" applyBorder="1" applyFont="1">
      <alignment horizontal="right" vertical="bottom"/>
    </xf>
    <xf borderId="0" fillId="4" fontId="8" numFmtId="165" xfId="0" applyAlignment="1" applyFont="1" applyNumberFormat="1">
      <alignment horizontal="right" vertical="bottom"/>
    </xf>
    <xf borderId="0" fillId="4" fontId="4" numFmtId="165" xfId="0" applyAlignment="1" applyFont="1" applyNumberFormat="1">
      <alignment horizontal="right" vertical="bottom"/>
    </xf>
    <xf borderId="0" fillId="7" fontId="4" numFmtId="0" xfId="0" applyAlignment="1" applyFont="1">
      <alignment vertical="bottom"/>
    </xf>
    <xf borderId="0" fillId="8" fontId="4" numFmtId="2" xfId="0" applyAlignment="1" applyFont="1" applyNumberFormat="1">
      <alignment vertical="bottom"/>
    </xf>
    <xf borderId="0" fillId="8" fontId="4" numFmtId="0" xfId="0" applyAlignment="1" applyFont="1">
      <alignment vertical="bottom"/>
    </xf>
    <xf borderId="0" fillId="6" fontId="4" numFmtId="0" xfId="0" applyAlignment="1" applyFont="1">
      <alignment vertical="bottom"/>
    </xf>
    <xf borderId="0" fillId="6" fontId="4" numFmtId="2" xfId="0" applyAlignment="1" applyFont="1" applyNumberFormat="1">
      <alignment vertical="bottom"/>
    </xf>
    <xf borderId="0" fillId="3" fontId="4" numFmtId="0" xfId="0" applyAlignment="1" applyFont="1">
      <alignment vertical="bottom"/>
    </xf>
    <xf borderId="2" fillId="2" fontId="11" numFmtId="0" xfId="0" applyAlignment="1" applyBorder="1" applyFont="1">
      <alignment horizontal="left"/>
    </xf>
    <xf borderId="2" fillId="2" fontId="10" numFmtId="0" xfId="0" applyAlignment="1" applyBorder="1" applyFont="1">
      <alignment horizontal="left" vertical="bottom"/>
    </xf>
    <xf borderId="3" fillId="3" fontId="10" numFmtId="0" xfId="0" applyAlignment="1" applyBorder="1" applyFont="1">
      <alignment horizontal="left" vertical="bottom"/>
    </xf>
    <xf borderId="6" fillId="3" fontId="4" numFmtId="0" xfId="0" applyAlignment="1" applyBorder="1" applyFont="1">
      <alignment horizontal="left" vertical="bottom"/>
    </xf>
    <xf borderId="0" fillId="2" fontId="10" numFmtId="0" xfId="0" applyAlignment="1" applyFont="1">
      <alignment horizontal="right" vertical="bottom"/>
    </xf>
    <xf borderId="0" fillId="3" fontId="10" numFmtId="0" xfId="0" applyAlignment="1" applyFont="1">
      <alignment horizontal="right" vertical="bottom"/>
    </xf>
    <xf borderId="0" fillId="8" fontId="12" numFmtId="0" xfId="0" applyAlignment="1" applyFont="1">
      <alignment horizontal="left"/>
    </xf>
    <xf borderId="0" fillId="8" fontId="4" numFmtId="164" xfId="0" applyAlignment="1" applyFont="1" applyNumberFormat="1">
      <alignment horizontal="left" vertical="bottom"/>
    </xf>
    <xf borderId="2" fillId="8" fontId="4" numFmtId="164" xfId="0" applyAlignment="1" applyBorder="1" applyFont="1" applyNumberFormat="1">
      <alignment horizontal="left" vertical="bottom"/>
    </xf>
    <xf borderId="2" fillId="8" fontId="4" numFmtId="0" xfId="0" applyAlignment="1" applyBorder="1" applyFont="1">
      <alignment horizontal="left" vertical="bottom"/>
    </xf>
    <xf borderId="5" fillId="8" fontId="13" numFmtId="0" xfId="0" applyAlignment="1" applyBorder="1" applyFont="1">
      <alignment horizontal="left"/>
    </xf>
    <xf borderId="5" fillId="8" fontId="5" numFmtId="0" xfId="0" applyAlignment="1" applyBorder="1" applyFont="1">
      <alignment horizontal="left" vertical="bottom"/>
    </xf>
    <xf borderId="5" fillId="8" fontId="14" numFmtId="0" xfId="0" applyAlignment="1" applyBorder="1" applyFont="1">
      <alignment horizontal="left"/>
    </xf>
    <xf borderId="7" fillId="8" fontId="13" numFmtId="0" xfId="0" applyAlignment="1" applyBorder="1" applyFont="1">
      <alignment horizontal="left"/>
    </xf>
    <xf borderId="7" fillId="8" fontId="4" numFmtId="0" xfId="0" applyAlignment="1" applyBorder="1" applyFont="1">
      <alignment horizontal="left" vertical="bottom"/>
    </xf>
    <xf borderId="0" fillId="8" fontId="4" numFmtId="0" xfId="0" applyAlignment="1" applyFont="1">
      <alignment horizontal="left" vertical="bottom"/>
    </xf>
    <xf borderId="0" fillId="8" fontId="13" numFmtId="0" xfId="0" applyAlignment="1" applyFont="1">
      <alignment horizontal="left"/>
    </xf>
    <xf borderId="4" fillId="8" fontId="5" numFmtId="0" xfId="0" applyAlignment="1" applyBorder="1" applyFont="1">
      <alignment horizontal="left" vertical="bottom"/>
    </xf>
    <xf borderId="2" fillId="8" fontId="12" numFmtId="0" xfId="0" applyAlignment="1" applyBorder="1" applyFont="1">
      <alignment horizontal="left"/>
    </xf>
    <xf borderId="1" fillId="8" fontId="12" numFmtId="0" xfId="0" applyAlignment="1" applyBorder="1" applyFont="1">
      <alignment horizontal="left"/>
    </xf>
    <xf borderId="0" fillId="3" fontId="4" numFmtId="0" xfId="0" applyAlignment="1" applyFont="1">
      <alignment horizontal="left" vertical="bottom"/>
    </xf>
    <xf borderId="7" fillId="8" fontId="12" numFmtId="0" xfId="0" applyAlignment="1" applyBorder="1" applyFont="1">
      <alignment horizontal="left"/>
    </xf>
    <xf borderId="4" fillId="8" fontId="13" numFmtId="0" xfId="0" applyAlignment="1" applyBorder="1" applyFont="1">
      <alignment horizontal="left"/>
    </xf>
    <xf borderId="9" fillId="8" fontId="13" numFmtId="0" xfId="0" applyAlignment="1" applyBorder="1" applyFont="1">
      <alignment horizontal="left"/>
    </xf>
    <xf borderId="10" fillId="8" fontId="13" numFmtId="0" xfId="0" applyAlignment="1" applyBorder="1" applyFont="1">
      <alignment horizontal="left"/>
    </xf>
    <xf borderId="0" fillId="10" fontId="13" numFmtId="0" xfId="0" applyAlignment="1" applyFill="1" applyFont="1">
      <alignment horizontal="left"/>
    </xf>
    <xf borderId="0" fillId="11" fontId="13" numFmtId="2" xfId="0" applyAlignment="1" applyFill="1" applyFont="1" applyNumberFormat="1">
      <alignment horizontal="left"/>
    </xf>
    <xf borderId="0" fillId="12" fontId="5" numFmtId="0" xfId="0" applyAlignment="1" applyFill="1" applyFont="1">
      <alignment horizontal="left" vertical="bottom"/>
    </xf>
    <xf borderId="0" fillId="0" fontId="4" numFmtId="0" xfId="0" applyAlignment="1" applyFont="1">
      <alignment horizontal="left" vertical="bottom"/>
    </xf>
    <xf borderId="0" fillId="12" fontId="4" numFmtId="0" xfId="0" applyAlignment="1" applyFont="1">
      <alignment horizontal="left" vertical="bottom"/>
    </xf>
    <xf borderId="0" fillId="13" fontId="4" numFmtId="0" xfId="0" applyAlignment="1" applyFill="1" applyFont="1">
      <alignment horizontal="left" vertical="bottom"/>
    </xf>
    <xf borderId="0" fillId="0" fontId="4" numFmtId="4" xfId="0" applyAlignment="1" applyFont="1" applyNumberFormat="1">
      <alignment horizontal="left" vertical="bottom"/>
    </xf>
    <xf borderId="0" fillId="3" fontId="4" numFmtId="4" xfId="0" applyAlignment="1" applyFont="1" applyNumberFormat="1">
      <alignment horizontal="left" vertical="bottom"/>
    </xf>
    <xf borderId="0" fillId="0" fontId="4" numFmtId="0" xfId="0" applyAlignment="1" applyFont="1">
      <alignment horizontal="left" shrinkToFit="0" vertical="bottom" wrapText="0"/>
    </xf>
    <xf borderId="0" fillId="12" fontId="4" numFmtId="0" xfId="0" applyAlignment="1" applyFont="1">
      <alignment horizontal="left" shrinkToFit="0" vertical="bottom" wrapText="0"/>
    </xf>
    <xf borderId="0" fillId="13" fontId="4" numFmtId="0" xfId="0" applyAlignment="1" applyFont="1">
      <alignment horizontal="left" shrinkToFit="0" vertical="bottom" wrapText="0"/>
    </xf>
    <xf borderId="0" fillId="13" fontId="10" numFmtId="0" xfId="0" applyFont="1"/>
    <xf borderId="0" fillId="0" fontId="5" numFmtId="0" xfId="0" applyAlignment="1" applyFont="1">
      <alignment horizontal="left" shrinkToFit="0" vertical="bottom" wrapText="0"/>
    </xf>
    <xf borderId="0" fillId="3" fontId="5" numFmtId="0" xfId="0" applyAlignment="1" applyFont="1">
      <alignment horizontal="left" shrinkToFit="0" vertical="bottom" wrapText="0"/>
    </xf>
    <xf borderId="0" fillId="3" fontId="4" numFmtId="0" xfId="0" applyAlignment="1" applyFont="1">
      <alignment horizontal="left" shrinkToFit="0" vertical="bottom" wrapText="0"/>
    </xf>
  </cellXfs>
  <cellStyles count="1">
    <cellStyle xfId="0" name="Normal" builtinId="0"/>
  </cellStyles>
  <dxfs count="5">
    <dxf>
      <font>
        <b/>
      </font>
      <fill>
        <patternFill patternType="none"/>
      </fill>
      <border/>
    </dxf>
    <dxf>
      <font/>
      <fill>
        <patternFill patternType="solid">
          <fgColor rgb="FF00FFFF"/>
          <bgColor rgb="FF00FFFF"/>
        </patternFill>
      </fill>
      <border/>
    </dxf>
    <dxf>
      <font/>
      <fill>
        <patternFill patternType="solid">
          <fgColor rgb="FF000000"/>
          <bgColor rgb="FF000000"/>
        </patternFill>
      </fill>
      <border/>
    </dxf>
    <dxf>
      <font/>
      <fill>
        <patternFill patternType="solid">
          <fgColor rgb="FF9900FF"/>
          <bgColor rgb="FF9900FF"/>
        </patternFill>
      </fill>
      <border/>
    </dxf>
    <dxf>
      <font/>
      <fill>
        <patternFill patternType="solid">
          <fgColor rgb="FFCCCCCC"/>
          <bgColor rgb="FFCCCC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9.25"/>
    <col customWidth="1" min="4" max="4" width="11.38"/>
    <col customWidth="1" min="5" max="5" width="10.0"/>
    <col customWidth="1" min="6" max="6" width="10.38"/>
    <col customWidth="1" min="7" max="7" width="8.63"/>
    <col customWidth="1" min="8" max="8" width="9.75"/>
    <col customWidth="1" min="9" max="9" width="10.13"/>
    <col customWidth="1" min="10" max="10" width="12.88"/>
    <col customWidth="1" min="11" max="11" width="26.63"/>
    <col customWidth="1" min="12" max="12" width="14.38"/>
    <col customWidth="1" min="13" max="13" width="13.63"/>
    <col customWidth="1" min="14" max="14" width="11.88"/>
    <col customWidth="1" min="15" max="15" width="24.88"/>
    <col customWidth="1" min="16" max="16" width="10.63"/>
    <col customWidth="1" min="17" max="17" width="19.75"/>
    <col customWidth="1" min="18" max="18" width="14.0"/>
    <col customWidth="1" min="19" max="19" width="16.88"/>
    <col customWidth="1" min="20" max="20" width="15.75"/>
    <col customWidth="1" min="21" max="21" width="12.88"/>
    <col customWidth="1" min="22" max="22" width="16.88"/>
    <col customWidth="1" min="23" max="23" width="11.75"/>
    <col customWidth="1" min="24" max="24" width="24.75"/>
    <col customWidth="1" min="25" max="25" width="9.88"/>
    <col customWidth="1" min="26" max="26" width="13.75"/>
    <col customWidth="1" min="27" max="27" width="14.13"/>
    <col customWidth="1" min="28" max="28" width="5.38"/>
  </cols>
  <sheetData>
    <row r="1" ht="15.75" customHeight="1">
      <c r="A1" s="1" t="s">
        <v>0</v>
      </c>
      <c r="B1" s="2"/>
      <c r="C1" s="3"/>
      <c r="D1" s="4" t="s">
        <v>1</v>
      </c>
      <c r="E1" s="5" t="s">
        <v>2</v>
      </c>
      <c r="F1" s="2"/>
      <c r="G1" s="2"/>
      <c r="H1" s="2"/>
      <c r="I1" s="6" t="s">
        <v>3</v>
      </c>
      <c r="J1" s="2"/>
      <c r="K1" s="6" t="s">
        <v>4</v>
      </c>
      <c r="L1" s="2"/>
      <c r="M1" s="6" t="s">
        <v>5</v>
      </c>
      <c r="N1" s="2"/>
      <c r="O1" s="6" t="s">
        <v>6</v>
      </c>
      <c r="P1" s="2"/>
      <c r="Q1" s="6" t="s">
        <v>7</v>
      </c>
      <c r="R1" s="2"/>
      <c r="S1" s="6" t="s">
        <v>8</v>
      </c>
      <c r="T1" s="2"/>
      <c r="U1" s="6" t="s">
        <v>9</v>
      </c>
      <c r="V1" s="2"/>
      <c r="W1" s="6" t="s">
        <v>10</v>
      </c>
      <c r="X1" s="3"/>
      <c r="Y1" s="7"/>
      <c r="Z1" s="8"/>
      <c r="AB1" s="8"/>
    </row>
    <row r="2" ht="15.75" customHeight="1">
      <c r="A2" s="9"/>
      <c r="B2" s="10"/>
      <c r="C2" s="11"/>
      <c r="E2" s="12" t="s">
        <v>11</v>
      </c>
      <c r="I2" s="13">
        <v>120.0</v>
      </c>
      <c r="K2" s="14" t="s">
        <v>12</v>
      </c>
      <c r="L2" s="10"/>
      <c r="M2" s="14">
        <v>1.0</v>
      </c>
      <c r="N2" s="10"/>
      <c r="O2" s="14" t="s">
        <v>13</v>
      </c>
      <c r="P2" s="10"/>
      <c r="Q2" s="14">
        <f>IF(OR(I2="",I2="?"),"",FLOOR(I2/10,1)+8)</f>
        <v>20</v>
      </c>
      <c r="R2" s="10"/>
      <c r="S2" s="14">
        <f>ROUNDUP($Q$2/Info!T8)</f>
        <v>2</v>
      </c>
      <c r="T2" s="10"/>
      <c r="U2" s="14" t="s">
        <v>14</v>
      </c>
      <c r="V2" s="10"/>
      <c r="W2" s="14">
        <v>0.0</v>
      </c>
      <c r="X2" s="11"/>
      <c r="Y2" s="15"/>
      <c r="AB2" s="8"/>
    </row>
    <row r="3" ht="15.75" customHeight="1">
      <c r="A3" s="13" t="s">
        <v>15</v>
      </c>
      <c r="B3" s="16" t="s">
        <v>16</v>
      </c>
      <c r="C3" s="17" t="s">
        <v>17</v>
      </c>
      <c r="D3" s="18" t="s">
        <v>18</v>
      </c>
      <c r="E3" s="5" t="s">
        <v>19</v>
      </c>
      <c r="F3" s="2"/>
      <c r="G3" s="2"/>
      <c r="H3" s="2"/>
      <c r="I3" s="5" t="s">
        <v>20</v>
      </c>
      <c r="J3" s="3"/>
      <c r="K3" s="5" t="s">
        <v>21</v>
      </c>
      <c r="L3" s="2"/>
      <c r="M3" s="2"/>
      <c r="N3" s="2"/>
      <c r="O3" s="2"/>
      <c r="P3" s="3"/>
      <c r="Q3" s="5" t="s">
        <v>22</v>
      </c>
      <c r="R3" s="2"/>
      <c r="S3" s="2"/>
      <c r="T3" s="2"/>
      <c r="U3" s="2"/>
      <c r="V3" s="3"/>
      <c r="W3" s="5" t="s">
        <v>23</v>
      </c>
      <c r="X3" s="2"/>
      <c r="Y3" s="2"/>
      <c r="Z3" s="2"/>
      <c r="AA3" s="2"/>
      <c r="AB3" s="3"/>
    </row>
    <row r="4" ht="15.75" customHeight="1">
      <c r="A4" s="19" t="s">
        <v>24</v>
      </c>
      <c r="B4" s="20" t="s">
        <v>25</v>
      </c>
      <c r="C4" s="21" t="s">
        <v>26</v>
      </c>
      <c r="D4" s="22" t="s">
        <v>27</v>
      </c>
      <c r="E4" s="12"/>
      <c r="I4" s="23" t="str">
        <f>$E$2</f>
        <v>Stora salen</v>
      </c>
      <c r="J4" s="11"/>
      <c r="K4" s="12"/>
      <c r="P4" s="24"/>
      <c r="Q4" s="12"/>
      <c r="V4" s="24"/>
      <c r="W4" s="12"/>
      <c r="AB4" s="24"/>
    </row>
    <row r="5" ht="15.75" customHeight="1">
      <c r="A5" s="13" t="s">
        <v>28</v>
      </c>
      <c r="C5" s="25" t="s">
        <v>29</v>
      </c>
      <c r="D5" s="4" t="s">
        <v>30</v>
      </c>
      <c r="E5" s="26" t="s">
        <v>31</v>
      </c>
      <c r="G5" s="27" t="s">
        <v>8</v>
      </c>
      <c r="I5" s="27" t="s">
        <v>32</v>
      </c>
      <c r="J5" s="24"/>
      <c r="K5" s="26" t="s">
        <v>31</v>
      </c>
      <c r="M5" s="27" t="s">
        <v>8</v>
      </c>
      <c r="O5" s="27" t="s">
        <v>32</v>
      </c>
      <c r="P5" s="24"/>
      <c r="Q5" s="26" t="s">
        <v>31</v>
      </c>
      <c r="S5" s="27" t="s">
        <v>8</v>
      </c>
      <c r="U5" s="27" t="s">
        <v>32</v>
      </c>
      <c r="V5" s="24"/>
      <c r="W5" s="26" t="s">
        <v>31</v>
      </c>
      <c r="Y5" s="27" t="s">
        <v>8</v>
      </c>
      <c r="AA5" s="27" t="s">
        <v>32</v>
      </c>
      <c r="AB5" s="24"/>
    </row>
    <row r="6" ht="15.75" customHeight="1">
      <c r="A6" s="28">
        <v>10.0</v>
      </c>
      <c r="B6" s="28">
        <v>0.0</v>
      </c>
      <c r="C6" s="29">
        <v>44562.0</v>
      </c>
      <c r="D6" s="10"/>
      <c r="E6" s="30">
        <v>20.0</v>
      </c>
      <c r="F6" s="10"/>
      <c r="G6" s="31">
        <v>2.0</v>
      </c>
      <c r="H6" s="10"/>
      <c r="I6" s="31" t="str">
        <f>$U$2</f>
        <v>Yes</v>
      </c>
      <c r="J6" s="11"/>
      <c r="K6" s="30">
        <f>ROUNDUP($Q$2/2)</f>
        <v>10</v>
      </c>
      <c r="L6" s="10"/>
      <c r="M6" s="31">
        <v>1.0</v>
      </c>
      <c r="N6" s="10"/>
      <c r="O6" s="31" t="str">
        <f>$U$2</f>
        <v>Yes</v>
      </c>
      <c r="P6" s="11"/>
      <c r="Q6" s="30">
        <f>ROUNDUP($Q$2/2)</f>
        <v>10</v>
      </c>
      <c r="R6" s="10"/>
      <c r="S6" s="31">
        <v>1.0</v>
      </c>
      <c r="T6" s="10"/>
      <c r="U6" s="31" t="str">
        <f>$U$2</f>
        <v>Yes</v>
      </c>
      <c r="V6" s="11"/>
      <c r="W6" s="30">
        <f>ROUNDUP($Q$2/2)</f>
        <v>10</v>
      </c>
      <c r="X6" s="10"/>
      <c r="Y6" s="31">
        <v>1.0</v>
      </c>
      <c r="Z6" s="10"/>
      <c r="AA6" s="31" t="str">
        <f>$U$2</f>
        <v>Yes</v>
      </c>
      <c r="AB6" s="11"/>
    </row>
    <row r="7" ht="15.75" customHeight="1">
      <c r="A7" s="16" t="s">
        <v>33</v>
      </c>
      <c r="B7" s="16" t="s">
        <v>34</v>
      </c>
      <c r="C7" s="32" t="s">
        <v>35</v>
      </c>
      <c r="D7" s="20" t="s">
        <v>36</v>
      </c>
      <c r="E7" s="20" t="s">
        <v>37</v>
      </c>
      <c r="F7" s="20" t="s">
        <v>38</v>
      </c>
      <c r="G7" s="20" t="s">
        <v>39</v>
      </c>
      <c r="H7" s="20" t="s">
        <v>40</v>
      </c>
      <c r="I7" s="20" t="s">
        <v>41</v>
      </c>
      <c r="J7" s="20" t="s">
        <v>42</v>
      </c>
      <c r="K7" s="20" t="s">
        <v>43</v>
      </c>
      <c r="L7" s="16" t="s">
        <v>44</v>
      </c>
      <c r="M7" s="17" t="s">
        <v>45</v>
      </c>
      <c r="N7" s="17" t="s">
        <v>46</v>
      </c>
      <c r="O7" s="17" t="s">
        <v>47</v>
      </c>
      <c r="P7" s="17" t="s">
        <v>48</v>
      </c>
      <c r="Q7" s="17" t="s">
        <v>32</v>
      </c>
      <c r="R7" s="21" t="s">
        <v>49</v>
      </c>
      <c r="S7" s="21" t="s">
        <v>50</v>
      </c>
      <c r="T7" s="33" t="s">
        <v>51</v>
      </c>
      <c r="U7" s="33" t="s">
        <v>52</v>
      </c>
      <c r="V7" s="18" t="s">
        <v>53</v>
      </c>
      <c r="W7" s="34" t="s">
        <v>54</v>
      </c>
      <c r="X7" s="18" t="s">
        <v>55</v>
      </c>
      <c r="Y7" s="18" t="s">
        <v>56</v>
      </c>
      <c r="Z7" s="18" t="s">
        <v>57</v>
      </c>
      <c r="AA7" s="18" t="s">
        <v>58</v>
      </c>
      <c r="AB7" s="8"/>
    </row>
    <row r="8" ht="15.75" customHeight="1">
      <c r="A8" s="35">
        <f>IFERROR(__xludf.DUMMYFUNCTION("IFS(indirect(""A""&amp;row()-1)=""Start"",TIME(indirect(""A""&amp;row()-2),indirect(""B""&amp;row()-2),0),
$O$2=""No"",TIME(0,($A$6*60+$B$6)+CEILING(SUM($L$7:indirect(""L""&amp;row()-1)),5),0),
D8=$E$2,TIME(0,($A$6*60+$B$6)+CEILING(SUM(IFERROR(FILTER($L$7:indirect(""L""&amp;"&amp;"row()-1),REGEXMATCH($D$7:indirect(""D""&amp;row()-1),$E$2)),0)),5),0),
TRUE,""=time(hh;mm;ss)"")"),0.4166666666666667)</f>
        <v>0.4166666667</v>
      </c>
      <c r="B8" s="36">
        <f>IFERROR(__xludf.DUMMYFUNCTION("IFS($O$2=""No"",TIME(0,($A$6*60+$B$6)+CEILING(SUM($L$7:indirect(""L""&amp;row())),5),0),
D8=$E$2,TIME(0,($A$6*60+$B$6)+CEILING(SUM(FILTER($L$7:indirect(""L""&amp;row()),REGEXMATCH($D$7:indirect(""D""&amp;row()),$E$2))),5),0),
A8=""=time(hh;mm;ss)"",CONCATENATE(""Skri"&amp;"v tid i A""&amp;row()),
AND(A8&lt;&gt;"""",A8&lt;&gt;""=time(hh;mm;ss)""),A8+TIME(0,CEILING(indirect(""L""&amp;row()),5),0))"),0.4166666666666667)</f>
        <v>0.4166666667</v>
      </c>
      <c r="C8" s="37"/>
      <c r="D8" s="38" t="s">
        <v>11</v>
      </c>
      <c r="E8" s="38" t="str">
        <f>IFERROR(__xludf.DUMMYFUNCTION("IFS(COUNTIF(Info!$A$22:A81,C8)&gt;0,"""",
AND(OR(""3x3 FMC""=C8,""3x3 MBLD""=C8),COUNTIF($C$7:indirect(""C""&amp;row()),indirect(""C""&amp;row()))&gt;=13),""E - Error"",
AND(OR(""3x3 FMC""=C8,""3x3 MBLD""=C8),COUNTIF($C$7:indirect(""C""&amp;row()),indirect(""C""&amp;row()))=12"&amp;"),""Final - A3"",
AND(OR(""3x3 FMC""=C8,""3x3 MBLD""=C8),COUNTIF($C$7:indirect(""C""&amp;row()),indirect(""C""&amp;row()))=11),""Final - A2"",
AND(OR(""3x3 FMC""=C8,""3x3 MBLD""=C8),COUNTIF($C$7:indirect(""C""&amp;row()),indirect(""C""&amp;row()))=10),""Final - A1"",
AND"&amp;"(OR(""3x3 FMC""=C8,""3x3 MBLD""=C8),COUNTIF($C$7:indirect(""C""&amp;row()),indirect(""C""&amp;row()))=9,
COUNTIF($C$7:$C$102,indirect(""C""&amp;row()))&gt;9),""R3 - A3"",
AND(OR(""3x3 FMC""=C8,""3x3 MBLD""=C8),COUNTIF($C$7:indirect(""C""&amp;row()),indirect(""C""&amp;row()))=9,"&amp;"
COUNTIF($C$7:$C$102,indirect(""C""&amp;row()))&lt;=9),""Final - A3"",
AND(OR(""3x3 FMC""=C8,""3x3 MBLD""=C8),COUNTIF($C$7:indirect(""C""&amp;row()),indirect(""C""&amp;row()))=8,
COUNTIF($C$7:$C$102,indirect(""C""&amp;row()))&gt;9),""R3 - A2"",
AND(OR(""3x3 FMC""=C8,""3x3 MBLD"&amp;"""=C8),COUNTIF($C$7:indirect(""C""&amp;row()),indirect(""C""&amp;row()))=8,
COUNTIF($C$7:$C$102,indirect(""C""&amp;row()))&lt;=9),""Final - A2"",
AND(OR(""3x3 FMC""=C8,""3x3 MBLD""=C8),COUNTIF($C$7:indirect(""C""&amp;row()),indirect(""C""&amp;row()))=7,
COUNTIF($C$7:$C$102,indi"&amp;"rect(""C""&amp;row()))&gt;9),""R3 - A1"",
AND(OR(""3x3 FMC""=C8,""3x3 MBLD""=C8),COUNTIF($C$7:indirect(""C""&amp;row()),indirect(""C""&amp;row()))=7,
COUNTIF($C$7:$C$102,indirect(""C""&amp;row()))&lt;=9),""Final - A1"",
AND(OR(""3x3 FMC""=C8,""3x3 MBLD""=C8),COUNTIF($C$7:indir"&amp;"ect(""C""&amp;row()),indirect(""C""&amp;row()))=6,
COUNTIF($C$7:$C$102,indirect(""C""&amp;row()))&gt;6),""R2 - A3"",
AND(OR(""3x3 FMC""=C8,""3x3 MBLD""=C8),COUNTIF($C$7:indirect(""C""&amp;row()),indirect(""C""&amp;row()))=6,
COUNTIF($C$7:$C$102,indirect(""C""&amp;row()))&lt;=6),""Fina"&amp;"l - A3"",
AND(OR(""3x3 FMC""=C8,""3x3 MBLD""=C8),COUNTIF($C$7:indirect(""C""&amp;row()),indirect(""C""&amp;row()))=5,
COUNTIF($C$7:$C$102,indirect(""C""&amp;row()))&gt;6),""R2 - A2"",
AND(OR(""3x3 FMC""=C8,""3x3 MBLD""=C8),COUNTIF($C$7:indirect(""C""&amp;row()),indirect(""C"&amp;"""&amp;row()))=5,
COUNTIF($C$7:$C$102,indirect(""C""&amp;row()))&lt;=6),""Final - A2"",
AND(OR(""3x3 FMC""=C8,""3x3 MBLD""=C8),COUNTIF($C$7:indirect(""C""&amp;row()),indirect(""C""&amp;row()))=4,
COUNTIF($C$7:$C$102,indirect(""C""&amp;row()))&gt;6),""R2 - A1"",
AND(OR(""3x3 FMC""="&amp;"C8,""3x3 MBLD""=C8),COUNTIF($C$7:indirect(""C""&amp;row()),indirect(""C""&amp;row()))=4,
COUNTIF($C$7:$C$102,indirect(""C""&amp;row()))&lt;=6),""Final - A1"",
AND(OR(""3x3 FMC""=C8,""3x3 MBLD""=C8),COUNTIF($C$7:indirect(""C""&amp;row()),indirect(""C""&amp;row()))=3),""R1 - A3"""&amp;",
AND(OR(""3x3 FMC""=C8,""3x3 MBLD""=C8),COUNTIF($C$7:indirect(""C""&amp;row()),indirect(""C""&amp;row()))=2),""R1 - A2"",
AND(OR(""3x3 FMC""=C8,""3x3 MBLD""=C8),COUNTIF($C$7:indirect(""C""&amp;row()),indirect(""C""&amp;row()))=1),""R1 - A1"",
COUNTIF($C$7:indirect(""C"""&amp;"&amp;row()),indirect(""C""&amp;row()))&gt;4,""E - Error"",
COUNTIF($C$7:indirect(""C""&amp;row()),indirect(""C""&amp;row()))=4,""Final"",
AND(COUNTIF($C$7:indirect(""C""&amp;row()),indirect(""C""&amp;row()))=3,COUNTIF($C$7:$C$102,indirect(""C""&amp;row()))&gt;COUNTIF($C$7:indirect(""C""&amp;r"&amp;"ow()),indirect(""C""&amp;row()))),3,
AND(COUNTIF($C$7:indirect(""C""&amp;row()),indirect(""C""&amp;row()))=3,COUNTIF($C$7:$C$102,indirect(""C""&amp;row()))=COUNTIF($C$7:indirect(""C""&amp;row()),indirect(""C""&amp;row())),COUNTIF($C$7:indirect(""C""&amp;row()),indirect(""C""&amp;row()))"&amp;"&lt;FILTER(Info!$I$2:I81, Info!$A$2:A81 = C8),ROUNDUP((FILTER(Info!$H$2:H81,Info!$A$2:A81=C8)/FILTER(Info!$H$2:H81,Info!$A$2:A81=$K$2))*$I$2)&gt;99),3,
AND(COUNTIF($C$7:indirect(""C""&amp;row()),indirect(""C""&amp;row()))=3,COUNTIF($C$7:$C$102,indirect(""C""&amp;row()))=CO"&amp;"UNTIF($C$7:indirect(""C""&amp;row()),indirect(""C""&amp;row()))),""Final"",
AND(COUNTIF($C$7:indirect(""C""&amp;row()),indirect(""C""&amp;row()))=2,COUNTIF($C$7:$C$102,indirect(""C""&amp;row()))&gt;COUNTIF($C$7:indirect(""C""&amp;row()),indirect(""C""&amp;row()))),2,
AND(COUNTIF($C$7:i"&amp;"ndirect(""C""&amp;row()),indirect(""C""&amp;row()))=2,COUNTIF($C$7:$C$102,indirect(""C""&amp;row()))=COUNTIF($C$7:indirect(""C""&amp;row()),indirect(""C""&amp;row())),COUNTIF($C$7:indirect(""C""&amp;row()),indirect(""C""&amp;row()))&lt;FILTER(Info!$I$2:I81, Info!$A$2:A81 = C8),ROUNDUP("&amp;"(FILTER(Info!$H$2:H81,Info!$A$2:A81=C8)/FILTER(Info!$H$2:H81,Info!$A$2:A81=$K$2))*$I$2)&gt;15),2,
AND(COUNTIF($C$7:indirect(""C""&amp;row()),indirect(""C""&amp;row()))=2,COUNTIF($C$7:$C$102,indirect(""C""&amp;row()))=COUNTIF($C$7:indirect(""C""&amp;row()),indirect(""C""&amp;row"&amp;"()))),""Final"",
COUNTIF($C$7:indirect(""C""&amp;row()),indirect(""C""&amp;row()))=1,1,
COUNTIF($C$7:indirect(""C""&amp;row()),indirect(""C""&amp;row()))=0,"""")"),"")</f>
        <v/>
      </c>
      <c r="F8" s="39" t="str">
        <f>IFERROR(__xludf.DUMMYFUNCTION("IFS(C8="""","""",
AND(C8=""3x3 FMC"",MOD(COUNTIF($C$7:indirect(""C""&amp;row()),indirect(""C""&amp;row())),3)=0),""Mean of 3"",
AND(C8=""3x3 MBLD"",MOD(COUNTIF($C$7:indirect(""C""&amp;row()),indirect(""C""&amp;row())),3)=0),""Best of 3"",
AND(C8=""3x3 FMC"",MOD(COUNTIF($"&amp;"C$7:indirect(""C""&amp;row()),indirect(""C""&amp;row())),3)=2,
COUNTIF($C$7:$C$102,indirect(""C""&amp;row()))&lt;=COUNTIF($C$7:indirect(""C""&amp;row()),indirect(""C""&amp;row()))),""Best of 2"",
AND(C8=""3x3 FMC"",MOD(COUNTIF($C$7:indirect(""C""&amp;row()),indirect(""C""&amp;row())),3"&amp;")=2,
COUNTIF($C$7:$C$102,indirect(""C""&amp;row()))&gt;COUNTIF($C$7:indirect(""C""&amp;row()),indirect(""C""&amp;row()))),""Mean of 3"",
AND(C8=""3x3 MBLD"",MOD(COUNTIF($C$7:indirect(""C""&amp;row()),indirect(""C""&amp;row())),3)=2,
COUNTIF($C$7:$C$102,indirect(""C""&amp;row()))&lt;=C"&amp;"OUNTIF($C$7:indirect(""C""&amp;row()),indirect(""C""&amp;row()))),""Best of 2"",
AND(C8=""3x3 MBLD"",MOD(COUNTIF($C$7:indirect(""C""&amp;row()),indirect(""C""&amp;row())),3)=2,
COUNTIF($C$7:$C$102,indirect(""C""&amp;row()))&gt;COUNTIF($C$7:indirect(""C""&amp;row()),indirect(""C""&amp;r"&amp;"ow()))),""Best of 3"",
AND(C8=""3x3 FMC"",MOD(COUNTIF($C$7:indirect(""C""&amp;row()),indirect(""C""&amp;row())),3)=1,
COUNTIF($C$7:$C$102,indirect(""C""&amp;row()))&lt;=COUNTIF($C$7:indirect(""C""&amp;row()),indirect(""C""&amp;row()))),""Best of 1"",
AND(C8=""3x3 FMC"",MOD(COUN"&amp;"TIF($C$7:indirect(""C""&amp;row()),indirect(""C""&amp;row())),3)=1,
COUNTIF($C$7:$C$102,indirect(""C""&amp;row()))=COUNTIF($C$7:indirect(""C""&amp;row()),indirect(""C""&amp;row()))+1),""Best of 2"",
AND(C8=""3x3 FMC"",MOD(COUNTIF($C$7:indirect(""C""&amp;row()),indirect(""C""&amp;row"&amp;"())),3)=1,
COUNTIF($C$7:$C$102,indirect(""C""&amp;row()))&gt;COUNTIF($C$7:indirect(""C""&amp;row()),indirect(""C""&amp;row()))),""Mean of 3"",
AND(C8=""3x3 MBLD"",MOD(COUNTIF($C$7:indirect(""C""&amp;row()),indirect(""C""&amp;row())),3)=1,
COUNTIF($C$7:$C$102,indirect(""C""&amp;row("&amp;")))&lt;=COUNTIF($C$7:indirect(""C""&amp;row()),indirect(""C""&amp;row()))),""Best of 1"",
AND(C8=""3x3 MBLD"",MOD(COUNTIF($C$7:indirect(""C""&amp;row()),indirect(""C""&amp;row())),3)=1,
COUNTIF($C$7:$C$102,indirect(""C""&amp;row()))=COUNTIF($C$7:indirect(""C""&amp;row()),indirect("&amp;"""C""&amp;row()))+1),""Best of 2"",
AND(C8=""3x3 MBLD"",MOD(COUNTIF($C$7:indirect(""C""&amp;row()),indirect(""C""&amp;row())),3)=1,
COUNTIF($C$7:$C$102,indirect(""C""&amp;row()))&gt;COUNTIF($C$7:indirect(""C""&amp;row()),indirect(""C""&amp;row()))),""Best of 3"",
TRUE,(IFERROR(FILT"&amp;"ER(Info!$D$2:D81, Info!$A$2:A81 = C8), """")))"),"")</f>
        <v/>
      </c>
      <c r="G8" s="40" t="str">
        <f>IFERROR(__xludf.DUMMYFUNCTION("IFS(OR(COUNTIF(Info!$A$22:A81,C8)&gt;0,C8=""""),"""",
OR(""3x3 MBLD""=C8,""3x3 FMC""=C8),60,
AND(E8=1,FILTER(Info!$F$2:F81, Info!$A$2:A81 = C8) = ""No""),FILTER(Info!$P$2:P81, Info!$A$2:A81 = C8),
AND(E8=2,FILTER(Info!$F$2:F81, Info!$A$2:A81 = C8) = ""No""),"&amp;"FILTER(Info!$Q$2:Q81, Info!$A$2:A81 = C8),
AND(E8=3,FILTER(Info!$F$2:F81, Info!$A$2:A81 = C8) = ""No""),FILTER(Info!$R$2:R81, Info!$A$2:A81 = C8),
AND(E8=""Final"",FILTER(Info!$F$2:F81, Info!$A$2:A81 = C8) = ""No""),FILTER(Info!$S$2:S81, Info!$A$2:A81 = C"&amp;"8),
FILTER(Info!$F$2:F81, Info!$A$2:A81 = C8) = ""Yes"","""")"),"")</f>
        <v/>
      </c>
      <c r="H8" s="40" t="str">
        <f>IFERROR(__xludf.DUMMYFUNCTION("IFS(OR(COUNTIF(Info!$A$22:A81,C8)&gt;0,C8=""""),"""",
OR(""3x3 MBLD""=C8,""3x3 FMC""=C8)=TRUE,"""",
FILTER(Info!$F$2:F81, Info!$A$2:A81 = C8) = ""Yes"",FILTER(Info!$O$2:O81, Info!$A$2:A81 = C8),
FILTER(Info!$F$2:F81, Info!$A$2:A81 = C8) = ""No"",IF(G8="""",F"&amp;"ILTER(Info!$O$2:O81, Info!$A$2:A81 = C8),""""))"),"")</f>
        <v/>
      </c>
      <c r="I8" s="40" t="str">
        <f>IFERROR(__xludf.DUMMYFUNCTION("IFS(OR(COUNTIF(Info!$A$22:A81,C8)&gt;0,C8="""",H8&lt;&gt;""""),"""",
AND(E8&lt;&gt;1,E8&lt;&gt;""R1 - A1"",E8&lt;&gt;""R1 - A2"",E8&lt;&gt;""R1 - A3""),"""",
FILTER(Info!$E$2:E81, Info!$A$2:A81 = C8) = ""Yes"",IF(H8="""",FILTER(Info!$L$2:L81, Info!$A$2:A81 = C8),""""),
FILTER(Info!$E$2:E"&amp;"81, Info!$A$2:A81 = C8) = ""No"","""")"),"")</f>
        <v/>
      </c>
      <c r="J8" s="40" t="str">
        <f>IFERROR(__xludf.DUMMYFUNCTION("IFS(OR(COUNTIF(Info!$A$22:A81,C8)&gt;0,C8="""",""3x3 MBLD""=C8,""3x3 FMC""=C8),"""",
AND(E8=1,FILTER(Info!$H$2:H81,Info!$A$2:A81 = C8)&lt;=FILTER(Info!$H$2:H81,Info!$A$2:A81=$K$2)),
ROUNDUP((FILTER(Info!$H$2:H81,Info!$A$2:A81 = C8)/FILTER(Info!$H$2:H81,Info!$A$"&amp;"2:A81=$K$2))*$I$2),
AND(E8=1,FILTER(Info!$H$2:H81,Info!$A$2:A81 = C8)&gt;FILTER(Info!$H$2:H81,Info!$A$2:A81=$K$2)),""K2 - Error"",
AND(E8=2,FILTER($J$7:indirect(""J""&amp;row()-1),$C$7:indirect(""C""&amp;row()-1)=C8)&lt;=7),""J - Error"",
E8=2,FLOOR(FILTER($J$7:indirec"&amp;"t(""J""&amp;row()-1),$C$7:indirect(""C""&amp;row()-1)=C8)*Info!$T$32),
AND(E8=3,FILTER($J$7:indirect(""J""&amp;row()-1),$C$7:indirect(""C""&amp;row()-1)=C8)&lt;=15),""J - Error"",
E8=3,FLOOR(Info!$T$32*FLOOR(FILTER($J$7:indirect(""J""&amp;row()-1),$C$7:indirect(""C""&amp;row()-1)=C"&amp;"8)*Info!$T$32)),
AND(E8=""Final"",COUNTIF($C$7:$C$102,C8)=2,FILTER($J$7:indirect(""J""&amp;row()-1),$C$7:indirect(""C""&amp;row()-1)=C8)&lt;=7),""J - Error"",
AND(E8=""Final"",COUNTIF($C$7:$C$102,C8)=2),
MIN(P8,FLOOR(FILTER($J$7:indirect(""J""&amp;row()-1),$C$7:indirect"&amp;"(""C""&amp;row()-1)=C8)*Info!$T$32)),
AND(E8=""Final"",COUNTIF($C$7:$C$102,C8)=3,FILTER($J$7:indirect(""J""&amp;row()-1),$C$7:indirect(""C""&amp;row()-1)=C8)&lt;=15),""J - Error"",
AND(E8=""Final"",COUNTIF($C$7:$C$102,C8)=3),
MIN(P8,FLOOR(Info!$T$32*FLOOR(FILTER($J$7:in"&amp;"direct(""J""&amp;row()-1),$C$7:indirect(""C""&amp;row()-1)=C8)*Info!$T$32))),
AND(E8=""Final"",COUNTIF($C$7:$C$102,C8)&gt;=4,FILTER($J$7:indirect(""J""&amp;row()-1),$C$7:indirect(""C""&amp;row()-1)=C8)&lt;=99),""J - Error"",
AND(E8=""Final"",COUNTIF($C$7:$C$102,C8)&gt;=4),
MIN(P8"&amp;",FLOOR(Info!$T$32*FLOOR(Info!$T$32*FLOOR(FILTER($J$7:indirect(""J""&amp;row()-1),$C$7:indirect(""C""&amp;row()-1)=C8)*Info!$T$32)))))"),"")</f>
        <v/>
      </c>
      <c r="K8" s="41" t="str">
        <f>IFERROR(__xludf.DUMMYFUNCTION("IFS(AND(indirect(""D""&amp;row()+2)&lt;&gt;$E$2,indirect(""D""&amp;row()+1)=""""),CONCATENATE(""Tom rad! Kopiera hela rad ""&amp;row()&amp;"" dit""),
AND(indirect(""D""&amp;row()-1)&lt;&gt;""Rum"",indirect(""D""&amp;row()-1)=""""),CONCATENATE(""Tom rad! Kopiera hela rad ""&amp;row()&amp;"" dit""),
"&amp;"C8="""","""",
COUNTIF(Info!$A$22:A81,$K$2)&gt;0,""Det tyckte du var roligt? ( ͡❛ ͜ʖ ͡❛)"",
AND($M$2&gt;=2,$E$4=""""),""Skriv 1:a sidorummets namn i E4"",
AND($M$2&gt;=3,$K$4=""""),""Skriv 2:a sidorummets namn i K4"",
AND($M$2&gt;=4,$Q$4=""""),""Skriv 3:e sidorummets "&amp;"namn i Q4"",
AND($M$2&lt;2,$E$4&lt;&gt;""""),""Finns fler än 2 rum - ta bort i E4"",
AND($M$2&lt;3,$K$4&lt;&gt;""""),""Finns fler än 3 rum - ta bort i K4"",
AND($M$2&lt;4,$Q$4&lt;&gt;""""),""Finns fler än 4 rum - ta bort i Q4"",
OR(AND(D8&lt;&gt;$E$2,D8&lt;&gt;$E$4,D8&lt;&gt;$K$4,D8&lt;&gt;$Q$4),D8=""""),"&amp;"CONCATENATE(""Rum: ""&amp;D8&amp;"" finns ej, byt i D""&amp;row()),
AND(indirect(""D""&amp;row()-1)=""Rum"",C8=""""),CONCATENATE(""För att börja: skriv i cell C""&amp;row()),
AND(C8=""Paus"",M8&lt;=0),CONCATENATE(""Skriv pausens längd i M""&amp;row()),
OR(COUNTIF(Info!$A$22:A81,C8)"&amp;"&gt;0,C8=""""),"""",
AND(D8&lt;&gt;$E$2,$O$2=""Yes"",A8=""=time(hh;mm;ss)""),CONCATENATE(""Skriv starttid för ""&amp;C8&amp;"" i A""&amp;row()),
E8=""E - Error"",CONCATENATE(""För många ""&amp;C8&amp;"" rundor!""),
AND(C8&lt;&gt;""3x3 FMC"",C8&lt;&gt;""3x3 MBLD"",E8&lt;&gt;1,E8&lt;&gt;""Final"",IFERROR(FILT"&amp;"ER($E$7:indirect(""E""&amp;row()-1),
$E$7:indirect(""E""&amp;row()-1)=E8-1,$C$7:indirect(""C""&amp;row()-1)=C8))=FALSE),CONCATENATE(""Kan ej vara R""&amp;E8&amp;"", saknar R""&amp;(E8-1)),
AND(indirect(""E""&amp;row()-1)&lt;&gt;""Omgång"",IFERROR(FILTER($E$7:indirect(""E""&amp;row()-1),
$E$7:"&amp;"indirect(""E""&amp;row()-1)=E8,$C$7:indirect(""C""&amp;row()-1)=C8)=E8)=TRUE),CONCATENATE(""Runda ""&amp;E8&amp;"" i ""&amp;C8&amp;"" finns redan""),
AND(C8&lt;&gt;""3x3 BLD"",C8&lt;&gt;""4x4 BLD"",C8&lt;&gt;""5x5 BLD"",C8&lt;&gt;""4x4 / 5x5 BLD"",OR(E8=2,E8=3,E8=""Final""),H8&lt;&gt;""""),CONCATENATE(E8&amp;""-"&amp;"rundor brukar ej ha c.t.l.""),
AND(OR(E8=2,E8=3,E8=""Final""),I8&lt;&gt;""""),CONCATENATE(E8&amp;""-rundor brukar ej ha cutoff""),
AND(OR(C8=""3x3 FMC"",C8=""3x3 MBLD""),OR(E8=1,E8=2,E8=3,E8=""Final"")),CONCATENATE(C8&amp;""s omgång är Rx - Ax""),
AND(C8&lt;&gt;""3x3 MBLD"","&amp;"C8&lt;&gt;""3x3 FMC"",FILTER(Info!$D$2:D81, Info!$A$2:A81 = C8)&lt;&gt;F8),CONCATENATE(C8&amp;"" måste ha formatet ""&amp;FILTER(Info!$D$2:D81, Info!$A$2:A81 = C8)),
AND(C8=""3x3 MBLD"",OR(F8=""Avg of 5"",F8=""Mean of 3"")),CONCATENATE(""Ogiltigt format för ""&amp;C8),
AND(C8="""&amp;"3x3 FMC"",OR(F8=""Avg of 5"",F8=""Best of 3"")),CONCATENATE(""Ogiltigt format för ""&amp;C8),
AND(OR(F8=""Best of 1"",F8=""Best of 2"",F8=""Best of 3""),I8&lt;&gt;""""),CONCATENATE(F8&amp;""-rundor får ej ha cutoff""),
AND(OR(C8=""3x3 FMC"",C8=""3x3 MBLD""),G8&lt;&gt;60),CON"&amp;"CATENATE(C8&amp;"" måste ha time limit: 60""),
AND(OR(C8=""3x3 FMC"",C8=""3x3 MBLD""),H8&lt;&gt;""""),CONCATENATE(C8&amp;"" kan inte ha c.t.l.""),
AND(G8&lt;&gt;"""",H8&lt;&gt;""""),""Välj time limit ELLER c.t.l"",
AND(C8=""6x6 / 7x7"",G8="""",H8=""""),""Sätt time limit (x / y) el"&amp;"ler c.t.l (z)"",
AND(G8="""",H8=""""),""Sätt en time limit eller c.t.l"",
AND(OR(C8=""6x6 / 7x7"",C8=""4x4 / 5x5 BLD""),G8&lt;&gt;"""",REGEXMATCH(TO_TEXT(G8),"" / "")=FALSE),CONCATENATE(""Time limit måste vara x / y""),
AND(H8&lt;&gt;"""",I8&lt;&gt;""""),CONCATENATE(C8&amp;"" "&amp;"brukar ej ha cutoff OCH c.t.l""),
AND(E8=1,H8="""",I8="""",OR(FILTER(Info!$E$2:E81, Info!$A$2:A81 = C8) = ""Yes"",FILTER(Info!$F$2:F81, Info!$A$2:A81 = C8) = ""Yes""),OR(F8=""Avg of 5"",F8=""Mean of 3"")),CONCATENATE(C8&amp;"" bör ha cutoff eller c.t.l""),
AN"&amp;"D(C8=""6x6 / 7x7"",I8&lt;&gt;"""",REGEXMATCH(TO_TEXT(I8),"" / "")=FALSE),CONCATENATE(""Cutoff måste vara x / y""),
AND(H8&lt;&gt;"""",ISNUMBER(H8)=FALSE),""C.t.l. måste vara positivt tal (x)"",
AND(C8&lt;&gt;""6x6 / 7x7"",I8&lt;&gt;"""",ISNUMBER(I8)=FALSE),""Cutoff måste vara po"&amp;"sitivt tal (x)"",
AND(H8&lt;&gt;"""",FILTER(Info!$E$2:E81, Info!$A$2:A81 = C8) = ""No"",FILTER(Info!$F$2:F81, Info!$A$2:A81 = C8) = ""No""),CONCATENATE(C8&amp;"" brukar inte ha c.t.l.""),
AND(I8&lt;&gt;"""",FILTER(Info!$E$2:E81, Info!$A$2:A81 = C8) = ""No"",FILTER(Info!$"&amp;"F$2:F81, Info!$A$2:A81 = C8) = ""No""),CONCATENATE(C8&amp;"" brukar inte ha cutoff""),
AND(H8="""",FILTER(Info!$F$2:F81, Info!$A$2:A81 = C8) = ""Yes""),CONCATENATE(C8&amp;"" brukar ha c.t.l.""),
AND(C8&lt;&gt;""6x6 / 7x7"",C8&lt;&gt;""4x4 / 5x5 BLD"",G8&lt;&gt;"""",ISNUMBER(G8)=FA"&amp;"LSE),""Time limit måste vara positivt tal (x)"",
J8=""J - Error"",CONCATENATE(""För få deltagare i R1 för ""&amp;COUNTIF($C$7:$C$102,indirect(""C""&amp;row()))&amp;"" rundor""),
J8=""K2 - Error"",CONCATENATE(C8&amp;"" är mer populär - byt i K2!""),
AND(C8&lt;&gt;""6x6 / 7x7"","&amp;"C8&lt;&gt;""4x4 / 5x5 BLD"",G8&lt;&gt;"""",I8&lt;&gt;"""",G8&lt;=I8),""Time limit måste vara &gt; cutoff"",
AND(C8&lt;&gt;""6x6 / 7x7"",C8&lt;&gt;""4x4 / 5x5 BLD"",H8&lt;&gt;"""",I8&lt;&gt;"""",H8&lt;=I8),""C.t.l. måste vara &gt; cutoff"",
AND(C8&lt;&gt;""3x3 FMC"",C8&lt;&gt;""3x3 MBLD"",J8=""""),CONCATENATE(""Fyll i an"&amp;"tal deltagare i J""&amp;row()),
AND(C8="""",OR(E8&lt;&gt;"""",F8&lt;&gt;"""",G8&lt;&gt;"""",H8&lt;&gt;"""",I8&lt;&gt;"""",J8&lt;&gt;"""")),""Skriv ALLTID gren / aktivitet först"",
AND(I8="""",H8="""",J8&lt;&gt;""""),J8,
OR(""3x3 FMC""=C8,""3x3 MBLD""=C8),J8,
AND(I8&lt;&gt;"""",""6x6 / 7x7""=C8),
IFS(ArrayF"&amp;"ormula(SUM(IFERROR(SPLIT(I8,"" / ""))))&lt;(Info!$J$6+Info!$J$7)*2/3,CONCATENATE(""Höj helst cutoffs i ""&amp;C8),
ArrayFormula(SUM(IFERROR(SPLIT(I8,"" / ""))))&lt;=(Info!$J$6+Info!$J$7),ROUNDUP(J8*Info!$J$22),
ArrayFormula(SUM(IFERROR(SPLIT(I8,"" / ""))))&lt;=Info!$J"&amp;"$6+Info!$J$7,ROUNDUP(J8*Info!$K$22),
ArrayFormula(SUM(IFERROR(SPLIT(I8,"" / ""))))&lt;=Info!$K$6+Info!$K$7,ROUNDUP(J8*Info!L$22),
ArrayFormula(SUM(IFERROR(SPLIT(I8,"" / ""))))&lt;=Info!$L$6+Info!$L$7,ROUNDUP(J8*Info!$M$22),
ArrayFormula(SUM(IFERROR(SPLIT(I8,"" "&amp;"/ ""))))&lt;=Info!$M$6+Info!$M$7,ROUNDUP(J8*Info!$N$22),
ArrayFormula(SUM(IFERROR(SPLIT(I8,"" / ""))))&lt;=(Info!$N$6+Info!$N$7)*3/2,ROUNDUP(J8*Info!$J$26),
ArrayFormula(SUM(IFERROR(SPLIT(I8,"" / ""))))&gt;(Info!$N$6+Info!$N$7)*3/2,CONCATENATE(""Sänk helst cutoffs"&amp;" i ""&amp;C8)),
AND(I8&lt;&gt;"""",FILTER(Info!$E$2:E81, Info!$A$2:A81 = C8) = ""Yes""),
IFS(I8&lt;FILTER(Info!$J$2:J81, Info!$A$2:A81 = C8)*2/3,CONCATENATE(""Höj helst cutoff i ""&amp;C8),
I8&lt;=FILTER(Info!$J$2:J81, Info!$A$2:A81 = C8),ROUNDUP(J8*Info!$J$22),
I8&lt;=FILTER(I"&amp;"nfo!$K$2:K81, Info!$A$2:A81 = C8),ROUNDUP(J8*Info!$K$22),
I8&lt;=FILTER(Info!$L$2:L81, Info!$A$2:A81 = C8),ROUNDUP(J8*Info!L$22),
I8&lt;=FILTER(Info!$M$2:M81, Info!$A$2:A81 = C8),ROUNDUP(J8*Info!$M$22),
I8&lt;=FILTER(Info!$N$2:N81, Info!$A$2:A81 = C8),ROUNDUP(J8*I"&amp;"nfo!$N$22),
I8&lt;=FILTER(Info!$N$2:N81, Info!$A$2:A81 = C8)*3/2,ROUNDUP(J8*Info!$J$26),
I8&gt;FILTER(Info!$N$2:N81, Info!$A$2:A81 = C8)*3/2,CONCATENATE(""Sänk helst cutoff i ""&amp;C8)),
AND(H8&lt;&gt;"""",""6x6 / 7x7""=C8),
IFS(H8/3&lt;=(Info!$J$6+Info!$J$7)*2/3,""Höj hel"&amp;"st cumulative time limit"",
H8/3&lt;=Info!$J$6+Info!$J$7,ROUNDUP(J8*Info!$J$24),
H8/3&lt;=Info!$K$6+Info!$K$7,ROUNDUP(J8*Info!$K$24),
H8/3&lt;=Info!$L$6+Info!$L$7,ROUNDUP(J8*Info!L$24),
H8/3&lt;=Info!$M$6+Info!$M$7,ROUNDUP(J8*Info!$M$24),
H8/3&lt;=Info!$N$6+Info!$N$7,RO"&amp;"UNDUP(J8*Info!$N$24),
H8/3&lt;=(Info!$N$6+Info!$N$7)*3/2,ROUNDUP(J8*Info!$L$26),
H8/3&gt;(Info!$J$6+Info!$J$7)*3/2,""Sänk helst cumulative time limit""),
AND(H8&lt;&gt;"""",FILTER(Info!$F$2:F81, Info!$A$2:A81 = C8) = ""Yes""),
IFS(H8&lt;=FILTER(Info!$J$2:J81, Info!$A$2:"&amp;"A81 = C8)*2/3,CONCATENATE(""Höj helst c.t.l. i ""&amp;C8),
H8&lt;=FILTER(Info!$J$2:J81, Info!$A$2:A81 = C8),ROUNDUP(J8*Info!$J$24),
H8&lt;=FILTER(Info!$K$2:K81, Info!$A$2:A81 = C8),ROUNDUP(J8*Info!$K$24),
H8&lt;=FILTER(Info!$L$2:L81, Info!$A$2:A81 = C8),ROUNDUP(J8*Inf"&amp;"o!L$24),
H8&lt;=FILTER(Info!$M$2:M81, Info!$A$2:A81 = C8),ROUNDUP(J8*Info!$M$24),
H8&lt;=FILTER(Info!$N$2:N81, Info!$A$2:A81 = C8),ROUNDUP(J8*Info!$N$24),
H8&lt;=FILTER(Info!$N$2:N81, Info!$A$2:A81 = C8)*3/2,ROUNDUP(J8*Info!$L$26),
H8&gt;FILTER(Info!$N$2:N81, Info!$A"&amp;"$2:A81 = C8)*3/2,CONCATENATE(""Sänk helst c.t.l. i ""&amp;C8)),
AND(H8&lt;&gt;"""",FILTER(Info!$F$2:F81, Info!$A$2:A81 = C8) = ""No""),
IFS(H8/AA8&lt;=FILTER(Info!$J$2:J81, Info!$A$2:A81 = C8)*2/3,CONCATENATE(""Höj helst c.t.l. i ""&amp;C8),
H8/AA8&lt;=FILTER(Info!$J$2:J81, "&amp;"Info!$A$2:A81 = C8),ROUNDUP(J8*Info!$J$24),
H8/AA8&lt;=FILTER(Info!$K$2:K81, Info!$A$2:A81 = C8),ROUNDUP(J8*Info!$K$24),
H8/AA8&lt;=FILTER(Info!$L$2:L81, Info!$A$2:A81 = C8),ROUNDUP(J8*Info!L$24),
H8/AA8&lt;=FILTER(Info!$M$2:M81, Info!$A$2:A81 = C8),ROUNDUP(J8*Inf"&amp;"o!$M$24),
H8/AA8&lt;=FILTER(Info!$N$2:N81, Info!$A$2:A81 = C8),ROUNDUP(J8*Info!$N$24),
H8/AA8&lt;=FILTER(Info!$N$2:N81, Info!$A$2:A81 = C8)*3/2,ROUNDUP(J8*Info!$L$26),
H8/AA8&gt;FILTER(Info!$N$2:N81, Info!$A$2:A81 = C8)*3/2,CONCATENATE(""Sänk helst c.t.l. i ""&amp;C8)"&amp;"),
AND(I8="""",H8&lt;&gt;"""",J8&lt;&gt;""""),ROUNDUP(J8*Info!$T$29),
AND(I8&lt;&gt;"""",H8="""",J8&lt;&gt;""""),ROUNDUP(J8*Info!$T$26))"),"")</f>
        <v/>
      </c>
      <c r="L8" s="42">
        <f>IFERROR(__xludf.DUMMYFUNCTION("IFS(C8="""",0,
C8=""3x3 FMC"",Info!$B$9*N8+M8, C8=""3x3 MBLD"",Info!$B$18*N8+M8,
COUNTIF(Info!$A$22:A81,C8)&gt;0,FILTER(Info!$B$22:B81,Info!$A$22:A81=C8)+M8,
AND(C8&lt;&gt;"""",E8=""""),CONCATENATE(""Fyll i E""&amp;row()),
AND(C8&lt;&gt;"""",E8&lt;&gt;"""",E8&lt;&gt;1,E8&lt;&gt;2,E8&lt;&gt;3,E8&lt;&gt;"&amp;"""Final""),CONCATENATE(""Fel format på E""&amp;row()),
K8=CONCATENATE(""Runda ""&amp;E8&amp;"" i ""&amp;C8&amp;"" finns redan""),CONCATENATE(""Fel i E""&amp;row()),
AND(C8&lt;&gt;"""",F8=""""),CONCATENATE(""Fyll i F""&amp;row()),
K8=CONCATENATE(C8&amp;"" måste ha formatet ""&amp;FILTER(Info!$D$2:"&amp;"D81, Info!$A$2:A81 = C8)),CONCATENATE(""Fel format på F""&amp;row()),
AND(C8&lt;&gt;"""",D8=1,H8="""",FILTER(Info!$F$2:F81, Info!$A$2:A81 = C8) = ""Yes""),CONCATENATE(""Fyll i H""&amp;row()),
AND(C8&lt;&gt;"""",D8=1,I8="""",FILTER(Info!$E$2:E81, Info!$A$2:A81 = C8) = ""Yes"""&amp;"),CONCATENATE(""Fyll i I""&amp;row()),
AND(C8&lt;&gt;"""",J8=""""),CONCATENATE(""Fyll i J""&amp;row()),
AND(C8&lt;&gt;"""",K8="""",OR(H8&lt;&gt;"""",I8&lt;&gt;"""")),CONCATENATE(""Fyll i K""&amp;row()),
AND(C8&lt;&gt;"""",K8=""""),CONCATENATE(""Skriv samma i K""&amp;row()&amp;"" som i J""&amp;row()),
AND(OR("&amp;"C8=""4x4 BLD"",C8=""5x5 BLD"",C8=""4x4 / 5x5 BLD"")=TRUE,V8&lt;=P8),
MROUND(H8*(Info!$T$20-((Info!$T$20-1)/2)*(1-V8/P8))*(1+((J8/K8)-1)*(1-Info!$J$24))*N8+(Info!$T$11/2)+(N8*Info!$T$11)+(N8*Info!$T$14*(O8-1)),0.01)+M8,
AND(OR(C8=""4x4 BLD"",C8=""5x5 BLD"",C8"&amp;"=""4x4 / 5x5 BLD"")=TRUE,V8&gt;P8),
MROUND((((J8*Z8+K8*(AA8-Z8))*(H8*Info!$T$20/AA8))/X8)*(1+((J8/K8)-1)*(1-Info!$J$24))*(1+(X8-Info!$T$8)/100)+(Info!$T$11/2)+(N8*Info!$T$11)+(N8*Info!$T$14*(O8-1)),0.01)+M8,
AND(C8=""3x3 BLD"",V8&lt;=P8),
MROUND(H8*(Info!$T$23-"&amp;"((Info!$T$23-1)/2)*(1-V8/P8))*(1+((J8/K8)-1)*(1-Info!$J$24))*N8+(Info!$T$11/2)+(N8*Info!$T$11)+(N8*Info!$T$14*(O8-1)),0.01)+M8,
AND(C8=""3x3 BLD"",V8&gt;P8),
MROUND((((J8*Z8+K8*(AA8-Z8))*(H8*Info!$T$23/AA8))/X8)*(1+((J8/K8)-1)*(1-Info!$J$24))*(1+(X8-Info!$T$"&amp;"8)/100)+(Info!$T$11/2)+(N8*Info!$T$11)+(N8*Info!$T$14*(O8-1)),0.01)+M8,
E8=1,MROUND((((J8*Z8+K8*(AA8-Z8))*Y8)/X8)*(1+(X8-Info!$T$8)/100)+(N8*Info!$T$11)+(N8*Info!$T$14*(O8-1)),0.01)+M8,
AND(E8=""Final"",N8=1,FILTER(Info!$G$2:$G$20,Info!$A$2:$A$20=C8)=""My"&amp;"cket svår""),
MROUND((((J8*Z8+K8*(AA8-Z8))*(Y8*Info!$T$38))/X8)*(1+(X8-Info!$T$8)/100)+(N8*Info!$T$11)+(N8*Info!$T$14*(O8-1)),0.01)+M8,
AND(E8=""Final"",N8=1,FILTER(Info!$G$2:$G$20,Info!$A$2:$A$20=C8)=""Svår""),
MROUND((((J8*Z8+K8*(AA8-Z8))*(Y8*Info!$T$35"&amp;"))/X8)*(1+(X8-Info!$T$8)/100)+(N8*Info!$T$11)+(N8*Info!$T$14*(O8-1)),0.01)+M8,
E8=""Final"",MROUND((((J8*Z8+K8*(AA8-Z8))*(Y8*Info!$T$5))/X8)*(1+(X8-Info!$T$8)/100)+(N8*Info!$T$11)+(N8*Info!$T$14*(O8-1)),0.01)+M8,
OR(E8=2,E8=3),MROUND((((J8*Z8+K8*(AA8-Z8))"&amp;"*(Y8*Info!$T$2))/X8)*(1+(X8-Info!$T$8)/100)+(N8*Info!$T$11)+(N8*Info!$T$14*(O8-1)),0.01)+M8)"),0.0)</f>
        <v>0</v>
      </c>
      <c r="M8" s="43">
        <f t="shared" ref="M8:M27" si="1">$W$2</f>
        <v>0</v>
      </c>
      <c r="N8" s="43" t="str">
        <f>IFS(OR(COUNTIF(Info!$A$22:A81,C8)&gt;0,C8=""),"",
OR(C8="4x4 BLD",C8="5x5 BLD",C8="3x3 MBLD",C8="3x3 FMC",C8="4x4 / 5x5 BLD"),1,
AND(E8="Final",Q8="Yes",MAX(1,ROUNDUP(J8/P8))&gt;1),MAX(2,ROUNDUP(J8/P8)),
AND(E8="Final",Q8="No",MAX(1,ROUNDUP(J8/((P8*2)+2.625-Y8*1.5)))&gt;1),MAX(2,ROUNDUP(J8/((P8*2)+2.625-Y8*1.5))),
E8="Final",1,
Q8="Yes",MAX(2,ROUNDUP(J8/P8)),
TRUE,MAX(2,ROUNDUP(J8/((P8*2)+2.625-Y8*1.5))))</f>
        <v/>
      </c>
      <c r="O8" s="43" t="str">
        <f>IFS(OR(COUNTIF(Info!$A$22:A81,C8)&gt;0,C8=""),"",
OR("3x3 MBLD"=C8,"3x3 FMC"=C8)=TRUE,"",
D8=$E$4,$G$6,D8=$K$4,$M$6,D8=$Q$4,$S$6,D8=$W$4,$Y$6,
TRUE,$S$2)</f>
        <v/>
      </c>
      <c r="P8" s="43" t="str">
        <f>IFS(OR(COUNTIF(Info!$A$22:A81,C8)&gt;0,C8=""),"",
OR("3x3 MBLD"=C8,"3x3 FMC"=C8)=TRUE,"",
D8=$E$4,$E$6,D8=$K$4,$K$6,D8=$Q$4,$Q$6,D8=$W$4,$W$6,
TRUE,$Q$2)</f>
        <v/>
      </c>
      <c r="Q8" s="44" t="str">
        <f>IFS(OR(COUNTIF(Info!$A$22:A81,C8)&gt;0,C8=""),"",
OR("3x3 MBLD"=C8,"3x3 FMC"=C8)=TRUE,"",
D8=$E$4,$I$6,D8=$K$4,$O$6,D8=$Q$4,$U$6,D8=$W$4,$AA$6,
TRUE,$U$2)</f>
        <v/>
      </c>
      <c r="R8" s="45" t="str">
        <f>IFERROR(__xludf.DUMMYFUNCTION("IF(C8="""","""",IFERROR(FILTER(Info!$B$22:B81,Info!$A$22:A81=C8)+M8,""?""))"),"")</f>
        <v/>
      </c>
      <c r="S8" s="46" t="str">
        <f>IFS(OR(COUNTIF(Info!$A$22:A81,C8)&gt;0,C8=""),"",
AND(H8="",I8=""),J8,
TRUE,"?")</f>
        <v/>
      </c>
      <c r="T8" s="45" t="str">
        <f>IFS(OR(COUNTIF(Info!$A$22:A81,C8)&gt;0,C8=""),"",
AND(L8&lt;&gt;0,OR(R8="?",R8="")),"Fyll i R-kolumnen",
OR(C8="3x3 FMC",C8="3x3 MBLD"),R8,
AND(L8&lt;&gt;0,OR(S8="?",S8="")),"Fyll i S-kolumnen",
OR(COUNTIF(Info!$A$22:A81,C8)&gt;0,C8=""),"",
TRUE,Y8*R8/L8)</f>
        <v/>
      </c>
      <c r="U8" s="45"/>
      <c r="V8" s="47" t="str">
        <f>IFS(OR(COUNTIF(Info!$A$22:A81,C8)&gt;0,C8=""),"",
OR("3x3 MBLD"=C8,"3x3 FMC"=C8)=TRUE,"",
TRUE,MROUND((J8/N8),0.01))</f>
        <v/>
      </c>
      <c r="W8" s="48" t="str">
        <f>IFS(OR(COUNTIF(Info!$A$22:A81,C8)&gt;0,C8=""),"",
TRUE,L8/N8)</f>
        <v/>
      </c>
      <c r="X8" s="49" t="str">
        <f>IFS(OR(COUNTIF(Info!$A$22:A81,C8)&gt;0,C8=""),"",
OR("3x3 MBLD"=C8,"3x3 FMC"=C8)=TRUE,"",
OR(C8="4x4 BLD",C8="5x5 BLD",C8="4x4 / 5x5 BLD",AND(C8="3x3 BLD",H8&lt;&gt;""))=TRUE,MIN(V8,P8),
TRUE,MIN(P8,V8,MROUND(((V8*2/3)+((Y8-1.625)/2)),0.01)))</f>
        <v/>
      </c>
      <c r="Y8" s="48" t="str">
        <f>IFERROR(__xludf.DUMMYFUNCTION("IFS(OR(COUNTIF(Info!$A$22:A81,C8)&gt;0,C8=""""),"""",
FILTER(Info!$F$2:F81, Info!$A$2:A81 = C8) = ""Yes"",H8/AA8,
""3x3 FMC""=C8,Info!$B$9,""3x3 MBLD""=C8,Info!$B$18,
AND(E8=1,I8="""",H8="""",Q8=""No"",G8&gt;SUMIF(Info!$A$2:A81,C8,Info!$B$2:B81)*1.5),
MIN(SUMIF"&amp;"(Info!$A$2:A81,C8,Info!$B$2:B81)*1.1,SUMIF(Info!$A$2:A81,C8,Info!$B$2:B81)*(1.15-(0.15*(SUMIF(Info!$A$2:A81,C8,Info!$B$2:B81)*1.5)/G8))),
AND(E8=1,I8="""",H8="""",Q8=""Yes"",G8&gt;SUMIF(Info!$A$2:A81,C8,Info!$C$2:C81)*1.5),
MIN(SUMIF(Info!$A$2:A81,C8,Info!$C"&amp;"$2:C81)*1.1,SUMIF(Info!$A$2:A81,C8,Info!$C$2:C81)*(1.15-(0.15*(SUMIF(Info!$A$2:A81,C8,Info!$C$2:C81)*1.5)/G8))),
Q8=""No"",SUMIF(Info!$A$2:A81,C8,Info!$B$2:B81),
Q8=""Yes"",SUMIF(Info!$A$2:A81,C8,Info!$C$2:C81))"),"")</f>
        <v/>
      </c>
      <c r="Z8" s="47" t="str">
        <f>IFS(OR(COUNTIF(Info!$A$22:A81,C8)&gt;0,C8=""),"",
AND(OR("3x3 FMC"=C8,"3x3 MBLD"=C8),I8&lt;&gt;""),1,
AND(OR(H8&lt;&gt;"",I8&lt;&gt;""),F8="Avg of 5"),2,
F8="Avg of 5",AA8,
AND(OR(H8&lt;&gt;"",I8&lt;&gt;""),F8="Mean of 3",C8="6x6 / 7x7"),2,
AND(OR(H8&lt;&gt;"",I8&lt;&gt;""),F8="Mean of 3"),1,
F8="Mean of 3",AA8,
AND(OR(H8&lt;&gt;"",I8&lt;&gt;""),F8="Best of 3",C8="4x4 / 5x5 BLD"),2,
AND(OR(H8&lt;&gt;"",I8&lt;&gt;""),F8="Best of 3"),1,
F8="Best of 2",AA8,
F8="Best of 1",AA8)</f>
        <v/>
      </c>
      <c r="AA8" s="47" t="str">
        <f>IFS(OR(COUNTIF(Info!$A$22:A81,C8)&gt;0,C8=""),"",
AND(OR("3x3 MBLD"=C8,"3x3 FMC"=C8),F8="Best of 1"=TRUE),1,
AND(OR("3x3 MBLD"=C8,"3x3 FMC"=C8),F8="Best of 2"=TRUE),2,
AND(OR("3x3 MBLD"=C8,"3x3 FMC"=C8),OR(F8="Best of 3",F8="Mean of 3")=TRUE),3,
AND(F8="Mean of 3",C8="6x6 / 7x7"),6,
AND(F8="Best of 3",C8="4x4 / 5x5 BLD"),6,
F8="Avg of 5",5,F8="Mean of 3",3,F8="Best of 3",3,F8="Best of 2",2,F8="Best of 1",1)</f>
        <v/>
      </c>
      <c r="AB8" s="50"/>
    </row>
    <row r="9" ht="15.75" customHeight="1">
      <c r="A9" s="35">
        <f>IFERROR(__xludf.DUMMYFUNCTION("IFS(indirect(""A""&amp;row()-1)=""Start"",TIME(indirect(""A""&amp;row()-2),indirect(""B""&amp;row()-2),0),
$O$2=""No"",TIME(0,($A$6*60+$B$6)+CEILING(SUM($L$7:indirect(""L""&amp;row()-1)),5),0),
D9=$E$2,TIME(0,($A$6*60+$B$6)+CEILING(SUM(IFERROR(FILTER($L$7:indirect(""L""&amp;"&amp;"row()-1),REGEXMATCH($D$7:indirect(""D""&amp;row()-1),$E$2)),0)),5),0),
TRUE,""=time(hh;mm;ss)"")"),0.4166666666666667)</f>
        <v>0.4166666667</v>
      </c>
      <c r="B9" s="36">
        <f>IFERROR(__xludf.DUMMYFUNCTION("IFS($O$2=""No"",TIME(0,($A$6*60+$B$6)+CEILING(SUM($L$7:indirect(""L""&amp;row())),5),0),
D9=$E$2,TIME(0,($A$6*60+$B$6)+CEILING(SUM(FILTER($L$7:indirect(""L""&amp;row()),REGEXMATCH($D$7:indirect(""D""&amp;row()),$E$2))),5),0),
A9=""=time(hh;mm;ss)"",CONCATENATE(""Skri"&amp;"v tid i A""&amp;row()),
AND(A9&lt;&gt;"""",A9&lt;&gt;""=time(hh;mm;ss)""),A9+TIME(0,CEILING(indirect(""L""&amp;row()),5),0))"),0.4166666666666667)</f>
        <v>0.4166666667</v>
      </c>
      <c r="C9" s="37"/>
      <c r="D9" s="38" t="str">
        <f t="shared" ref="D9:D27" si="2">IFS($M$2=1,$E$2,
AND($M$2&gt;1,OR(C9="4x4 BLD",C9="5x5 BLD",C9="3x3 MBLD",C9="4x4 / 5x5 BLD")),$E$4,
$M$2&gt;1,$E$2)</f>
        <v>Stora salen</v>
      </c>
      <c r="E9" s="38" t="str">
        <f>IFERROR(__xludf.DUMMYFUNCTION("IFS(COUNTIF(Info!$A$22:A81,C9)&gt;0,"""",
AND(OR(""3x3 FMC""=C9,""3x3 MBLD""=C9),COUNTIF($C$7:indirect(""C""&amp;row()),indirect(""C""&amp;row()))&gt;=13),""E - Error"",
AND(OR(""3x3 FMC""=C9,""3x3 MBLD""=C9),COUNTIF($C$7:indirect(""C""&amp;row()),indirect(""C""&amp;row()))=12"&amp;"),""Final - A3"",
AND(OR(""3x3 FMC""=C9,""3x3 MBLD""=C9),COUNTIF($C$7:indirect(""C""&amp;row()),indirect(""C""&amp;row()))=11),""Final - A2"",
AND(OR(""3x3 FMC""=C9,""3x3 MBLD""=C9),COUNTIF($C$7:indirect(""C""&amp;row()),indirect(""C""&amp;row()))=10),""Final - A1"",
AND"&amp;"(OR(""3x3 FMC""=C9,""3x3 MBLD""=C9),COUNTIF($C$7:indirect(""C""&amp;row()),indirect(""C""&amp;row()))=9,
COUNTIF($C$7:$C$102,indirect(""C""&amp;row()))&gt;9),""R3 - A3"",
AND(OR(""3x3 FMC""=C9,""3x3 MBLD""=C9),COUNTIF($C$7:indirect(""C""&amp;row()),indirect(""C""&amp;row()))=9,"&amp;"
COUNTIF($C$7:$C$102,indirect(""C""&amp;row()))&lt;=9),""Final - A3"",
AND(OR(""3x3 FMC""=C9,""3x3 MBLD""=C9),COUNTIF($C$7:indirect(""C""&amp;row()),indirect(""C""&amp;row()))=8,
COUNTIF($C$7:$C$102,indirect(""C""&amp;row()))&gt;9),""R3 - A2"",
AND(OR(""3x3 FMC""=C9,""3x3 MBLD"&amp;"""=C9),COUNTIF($C$7:indirect(""C""&amp;row()),indirect(""C""&amp;row()))=8,
COUNTIF($C$7:$C$102,indirect(""C""&amp;row()))&lt;=9),""Final - A2"",
AND(OR(""3x3 FMC""=C9,""3x3 MBLD""=C9),COUNTIF($C$7:indirect(""C""&amp;row()),indirect(""C""&amp;row()))=7,
COUNTIF($C$7:$C$102,indi"&amp;"rect(""C""&amp;row()))&gt;9),""R3 - A1"",
AND(OR(""3x3 FMC""=C9,""3x3 MBLD""=C9),COUNTIF($C$7:indirect(""C""&amp;row()),indirect(""C""&amp;row()))=7,
COUNTIF($C$7:$C$102,indirect(""C""&amp;row()))&lt;=9),""Final - A1"",
AND(OR(""3x3 FMC""=C9,""3x3 MBLD""=C9),COUNTIF($C$7:indir"&amp;"ect(""C""&amp;row()),indirect(""C""&amp;row()))=6,
COUNTIF($C$7:$C$102,indirect(""C""&amp;row()))&gt;6),""R2 - A3"",
AND(OR(""3x3 FMC""=C9,""3x3 MBLD""=C9),COUNTIF($C$7:indirect(""C""&amp;row()),indirect(""C""&amp;row()))=6,
COUNTIF($C$7:$C$102,indirect(""C""&amp;row()))&lt;=6),""Fina"&amp;"l - A3"",
AND(OR(""3x3 FMC""=C9,""3x3 MBLD""=C9),COUNTIF($C$7:indirect(""C""&amp;row()),indirect(""C""&amp;row()))=5,
COUNTIF($C$7:$C$102,indirect(""C""&amp;row()))&gt;6),""R2 - A2"",
AND(OR(""3x3 FMC""=C9,""3x3 MBLD""=C9),COUNTIF($C$7:indirect(""C""&amp;row()),indirect(""C"&amp;"""&amp;row()))=5,
COUNTIF($C$7:$C$102,indirect(""C""&amp;row()))&lt;=6),""Final - A2"",
AND(OR(""3x3 FMC""=C9,""3x3 MBLD""=C9),COUNTIF($C$7:indirect(""C""&amp;row()),indirect(""C""&amp;row()))=4,
COUNTIF($C$7:$C$102,indirect(""C""&amp;row()))&gt;6),""R2 - A1"",
AND(OR(""3x3 FMC""="&amp;"C9,""3x3 MBLD""=C9),COUNTIF($C$7:indirect(""C""&amp;row()),indirect(""C""&amp;row()))=4,
COUNTIF($C$7:$C$102,indirect(""C""&amp;row()))&lt;=6),""Final - A1"",
AND(OR(""3x3 FMC""=C9,""3x3 MBLD""=C9),COUNTIF($C$7:indirect(""C""&amp;row()),indirect(""C""&amp;row()))=3),""R1 - A3"""&amp;",
AND(OR(""3x3 FMC""=C9,""3x3 MBLD""=C9),COUNTIF($C$7:indirect(""C""&amp;row()),indirect(""C""&amp;row()))=2),""R1 - A2"",
AND(OR(""3x3 FMC""=C9,""3x3 MBLD""=C9),COUNTIF($C$7:indirect(""C""&amp;row()),indirect(""C""&amp;row()))=1),""R1 - A1"",
COUNTIF($C$7:indirect(""C"""&amp;"&amp;row()),indirect(""C""&amp;row()))&gt;4,""E - Error"",
COUNTIF($C$7:indirect(""C""&amp;row()),indirect(""C""&amp;row()))=4,""Final"",
AND(COUNTIF($C$7:indirect(""C""&amp;row()),indirect(""C""&amp;row()))=3,COUNTIF($C$7:$C$102,indirect(""C""&amp;row()))&gt;COUNTIF($C$7:indirect(""C""&amp;r"&amp;"ow()),indirect(""C""&amp;row()))),3,
AND(COUNTIF($C$7:indirect(""C""&amp;row()),indirect(""C""&amp;row()))=3,COUNTIF($C$7:$C$102,indirect(""C""&amp;row()))=COUNTIF($C$7:indirect(""C""&amp;row()),indirect(""C""&amp;row())),COUNTIF($C$7:indirect(""C""&amp;row()),indirect(""C""&amp;row()))"&amp;"&lt;FILTER(Info!$I$2:I81, Info!$A$2:A81 = C9),ROUNDUP((FILTER(Info!$H$2:H81,Info!$A$2:A81=C9)/FILTER(Info!$H$2:H81,Info!$A$2:A81=$K$2))*$I$2)&gt;99),3,
AND(COUNTIF($C$7:indirect(""C""&amp;row()),indirect(""C""&amp;row()))=3,COUNTIF($C$7:$C$102,indirect(""C""&amp;row()))=CO"&amp;"UNTIF($C$7:indirect(""C""&amp;row()),indirect(""C""&amp;row()))),""Final"",
AND(COUNTIF($C$7:indirect(""C""&amp;row()),indirect(""C""&amp;row()))=2,COUNTIF($C$7:$C$102,indirect(""C""&amp;row()))&gt;COUNTIF($C$7:indirect(""C""&amp;row()),indirect(""C""&amp;row()))),2,
AND(COUNTIF($C$7:i"&amp;"ndirect(""C""&amp;row()),indirect(""C""&amp;row()))=2,COUNTIF($C$7:$C$102,indirect(""C""&amp;row()))=COUNTIF($C$7:indirect(""C""&amp;row()),indirect(""C""&amp;row())),COUNTIF($C$7:indirect(""C""&amp;row()),indirect(""C""&amp;row()))&lt;FILTER(Info!$I$2:I81, Info!$A$2:A81 = C9),ROUNDUP("&amp;"(FILTER(Info!$H$2:H81,Info!$A$2:A81=C9)/FILTER(Info!$H$2:H81,Info!$A$2:A81=$K$2))*$I$2)&gt;15),2,
AND(COUNTIF($C$7:indirect(""C""&amp;row()),indirect(""C""&amp;row()))=2,COUNTIF($C$7:$C$102,indirect(""C""&amp;row()))=COUNTIF($C$7:indirect(""C""&amp;row()),indirect(""C""&amp;row"&amp;"()))),""Final"",
COUNTIF($C$7:indirect(""C""&amp;row()),indirect(""C""&amp;row()))=1,1,
COUNTIF($C$7:indirect(""C""&amp;row()),indirect(""C""&amp;row()))=0,"""")"),"")</f>
        <v/>
      </c>
      <c r="F9" s="39" t="str">
        <f>IFERROR(__xludf.DUMMYFUNCTION("IFS(C9="""","""",
AND(C9=""3x3 FMC"",MOD(COUNTIF($C$7:indirect(""C""&amp;row()),indirect(""C""&amp;row())),3)=0),""Mean of 3"",
AND(C9=""3x3 MBLD"",MOD(COUNTIF($C$7:indirect(""C""&amp;row()),indirect(""C""&amp;row())),3)=0),""Best of 3"",
AND(C9=""3x3 FMC"",MOD(COUNTIF($"&amp;"C$7:indirect(""C""&amp;row()),indirect(""C""&amp;row())),3)=2,
COUNTIF($C$7:$C$102,indirect(""C""&amp;row()))&lt;=COUNTIF($C$7:indirect(""C""&amp;row()),indirect(""C""&amp;row()))),""Best of 2"",
AND(C9=""3x3 FMC"",MOD(COUNTIF($C$7:indirect(""C""&amp;row()),indirect(""C""&amp;row())),3"&amp;")=2,
COUNTIF($C$7:$C$102,indirect(""C""&amp;row()))&gt;COUNTIF($C$7:indirect(""C""&amp;row()),indirect(""C""&amp;row()))),""Mean of 3"",
AND(C9=""3x3 MBLD"",MOD(COUNTIF($C$7:indirect(""C""&amp;row()),indirect(""C""&amp;row())),3)=2,
COUNTIF($C$7:$C$102,indirect(""C""&amp;row()))&lt;=C"&amp;"OUNTIF($C$7:indirect(""C""&amp;row()),indirect(""C""&amp;row()))),""Best of 2"",
AND(C9=""3x3 MBLD"",MOD(COUNTIF($C$7:indirect(""C""&amp;row()),indirect(""C""&amp;row())),3)=2,
COUNTIF($C$7:$C$102,indirect(""C""&amp;row()))&gt;COUNTIF($C$7:indirect(""C""&amp;row()),indirect(""C""&amp;r"&amp;"ow()))),""Best of 3"",
AND(C9=""3x3 FMC"",MOD(COUNTIF($C$7:indirect(""C""&amp;row()),indirect(""C""&amp;row())),3)=1,
COUNTIF($C$7:$C$102,indirect(""C""&amp;row()))&lt;=COUNTIF($C$7:indirect(""C""&amp;row()),indirect(""C""&amp;row()))),""Best of 1"",
AND(C9=""3x3 FMC"",MOD(COUN"&amp;"TIF($C$7:indirect(""C""&amp;row()),indirect(""C""&amp;row())),3)=1,
COUNTIF($C$7:$C$102,indirect(""C""&amp;row()))=COUNTIF($C$7:indirect(""C""&amp;row()),indirect(""C""&amp;row()))+1),""Best of 2"",
AND(C9=""3x3 FMC"",MOD(COUNTIF($C$7:indirect(""C""&amp;row()),indirect(""C""&amp;row"&amp;"())),3)=1,
COUNTIF($C$7:$C$102,indirect(""C""&amp;row()))&gt;COUNTIF($C$7:indirect(""C""&amp;row()),indirect(""C""&amp;row()))),""Mean of 3"",
AND(C9=""3x3 MBLD"",MOD(COUNTIF($C$7:indirect(""C""&amp;row()),indirect(""C""&amp;row())),3)=1,
COUNTIF($C$7:$C$102,indirect(""C""&amp;row("&amp;")))&lt;=COUNTIF($C$7:indirect(""C""&amp;row()),indirect(""C""&amp;row()))),""Best of 1"",
AND(C9=""3x3 MBLD"",MOD(COUNTIF($C$7:indirect(""C""&amp;row()),indirect(""C""&amp;row())),3)=1,
COUNTIF($C$7:$C$102,indirect(""C""&amp;row()))=COUNTIF($C$7:indirect(""C""&amp;row()),indirect("&amp;"""C""&amp;row()))+1),""Best of 2"",
AND(C9=""3x3 MBLD"",MOD(COUNTIF($C$7:indirect(""C""&amp;row()),indirect(""C""&amp;row())),3)=1,
COUNTIF($C$7:$C$102,indirect(""C""&amp;row()))&gt;COUNTIF($C$7:indirect(""C""&amp;row()),indirect(""C""&amp;row()))),""Best of 3"",
TRUE,(IFERROR(FILT"&amp;"ER(Info!$D$2:D81, Info!$A$2:A81 = C9), """")))"),"")</f>
        <v/>
      </c>
      <c r="G9" s="40" t="str">
        <f>IFERROR(__xludf.DUMMYFUNCTION("IFS(OR(COUNTIF(Info!$A$22:A81,C9)&gt;0,C9=""""),"""",
OR(""3x3 MBLD""=C9,""3x3 FMC""=C9),60,
AND(E9=1,FILTER(Info!$F$2:F81, Info!$A$2:A81 = C9) = ""No""),FILTER(Info!$P$2:P81, Info!$A$2:A81 = C9),
AND(E9=2,FILTER(Info!$F$2:F81, Info!$A$2:A81 = C9) = ""No""),"&amp;"FILTER(Info!$Q$2:Q81, Info!$A$2:A81 = C9),
AND(E9=3,FILTER(Info!$F$2:F81, Info!$A$2:A81 = C9) = ""No""),FILTER(Info!$R$2:R81, Info!$A$2:A81 = C9),
AND(E9=""Final"",FILTER(Info!$F$2:F81, Info!$A$2:A81 = C9) = ""No""),FILTER(Info!$S$2:S81, Info!$A$2:A81 = C"&amp;"9),
FILTER(Info!$F$2:F81, Info!$A$2:A81 = C9) = ""Yes"","""")"),"")</f>
        <v/>
      </c>
      <c r="H9" s="40" t="str">
        <f>IFERROR(__xludf.DUMMYFUNCTION("IFS(OR(COUNTIF(Info!$A$22:A81,C9)&gt;0,C9=""""),"""",
OR(""3x3 MBLD""=C9,""3x3 FMC""=C9)=TRUE,"""",
FILTER(Info!$F$2:F81, Info!$A$2:A81 = C9) = ""Yes"",FILTER(Info!$O$2:O81, Info!$A$2:A81 = C9),
FILTER(Info!$F$2:F81, Info!$A$2:A81 = C9) = ""No"",IF(G9="""",F"&amp;"ILTER(Info!$O$2:O81, Info!$A$2:A81 = C9),""""))"),"")</f>
        <v/>
      </c>
      <c r="I9" s="40" t="str">
        <f>IFERROR(__xludf.DUMMYFUNCTION("IFS(OR(COUNTIF(Info!$A$22:A81,C9)&gt;0,C9="""",H9&lt;&gt;""""),"""",
AND(E9&lt;&gt;1,E9&lt;&gt;""R1 - A1"",E9&lt;&gt;""R1 - A2"",E9&lt;&gt;""R1 - A3""),"""",
FILTER(Info!$E$2:E81, Info!$A$2:A81 = C9) = ""Yes"",IF(H9="""",FILTER(Info!$L$2:L81, Info!$A$2:A81 = C9),""""),
FILTER(Info!$E$2:E"&amp;"81, Info!$A$2:A81 = C9) = ""No"","""")"),"")</f>
        <v/>
      </c>
      <c r="J9" s="40" t="str">
        <f>IFERROR(__xludf.DUMMYFUNCTION("IFS(OR(COUNTIF(Info!$A$22:A81,C9)&gt;0,C9="""",""3x3 MBLD""=C9,""3x3 FMC""=C9),"""",
AND(E9=1,FILTER(Info!$H$2:H81,Info!$A$2:A81 = C9)&lt;=FILTER(Info!$H$2:H81,Info!$A$2:A81=$K$2)),
ROUNDUP((FILTER(Info!$H$2:H81,Info!$A$2:A81 = C9)/FILTER(Info!$H$2:H81,Info!$A$"&amp;"2:A81=$K$2))*$I$2),
AND(E9=1,FILTER(Info!$H$2:H81,Info!$A$2:A81 = C9)&gt;FILTER(Info!$H$2:H81,Info!$A$2:A81=$K$2)),""K2 - Error"",
AND(E9=2,FILTER($J$7:indirect(""J""&amp;row()-1),$C$7:indirect(""C""&amp;row()-1)=C9)&lt;=7),""J - Error"",
E9=2,FLOOR(FILTER($J$7:indirec"&amp;"t(""J""&amp;row()-1),$C$7:indirect(""C""&amp;row()-1)=C9)*Info!$T$32),
AND(E9=3,FILTER($J$7:indirect(""J""&amp;row()-1),$C$7:indirect(""C""&amp;row()-1)=C9)&lt;=15),""J - Error"",
E9=3,FLOOR(Info!$T$32*FLOOR(FILTER($J$7:indirect(""J""&amp;row()-1),$C$7:indirect(""C""&amp;row()-1)=C"&amp;"9)*Info!$T$32)),
AND(E9=""Final"",COUNTIF($C$7:$C$102,C9)=2,FILTER($J$7:indirect(""J""&amp;row()-1),$C$7:indirect(""C""&amp;row()-1)=C9)&lt;=7),""J - Error"",
AND(E9=""Final"",COUNTIF($C$7:$C$102,C9)=2),
MIN(P9,FLOOR(FILTER($J$7:indirect(""J""&amp;row()-1),$C$7:indirect"&amp;"(""C""&amp;row()-1)=C9)*Info!$T$32)),
AND(E9=""Final"",COUNTIF($C$7:$C$102,C9)=3,FILTER($J$7:indirect(""J""&amp;row()-1),$C$7:indirect(""C""&amp;row()-1)=C9)&lt;=15),""J - Error"",
AND(E9=""Final"",COUNTIF($C$7:$C$102,C9)=3),
MIN(P9,FLOOR(Info!$T$32*FLOOR(FILTER($J$7:in"&amp;"direct(""J""&amp;row()-1),$C$7:indirect(""C""&amp;row()-1)=C9)*Info!$T$32))),
AND(E9=""Final"",COUNTIF($C$7:$C$102,C9)&gt;=4,FILTER($J$7:indirect(""J""&amp;row()-1),$C$7:indirect(""C""&amp;row()-1)=C9)&lt;=99),""J - Error"",
AND(E9=""Final"",COUNTIF($C$7:$C$102,C9)&gt;=4),
MIN(P9"&amp;",FLOOR(Info!$T$32*FLOOR(Info!$T$32*FLOOR(FILTER($J$7:indirect(""J""&amp;row()-1),$C$7:indirect(""C""&amp;row()-1)=C9)*Info!$T$32)))))"),"")</f>
        <v/>
      </c>
      <c r="K9" s="41" t="str">
        <f>IFERROR(__xludf.DUMMYFUNCTION("IFS(AND(indirect(""D""&amp;row()+2)&lt;&gt;$E$2,indirect(""D""&amp;row()+1)=""""),CONCATENATE(""Tom rad! Kopiera hela rad ""&amp;row()&amp;"" dit""),
AND(indirect(""D""&amp;row()-1)&lt;&gt;""Rum"",indirect(""D""&amp;row()-1)=""""),CONCATENATE(""Tom rad! Kopiera hela rad ""&amp;row()&amp;"" dit""),
"&amp;"C9="""","""",
COUNTIF(Info!$A$22:A81,$K$2)&gt;0,""Det tyckte du var roligt? ( ͡❛ ͜ʖ ͡❛)"",
AND($M$2&gt;=2,$E$4=""""),""Skriv 1:a sidorummets namn i E4"",
AND($M$2&gt;=3,$K$4=""""),""Skriv 2:a sidorummets namn i K4"",
AND($M$2&gt;=4,$Q$4=""""),""Skriv 3:e sidorummets "&amp;"namn i Q4"",
AND($M$2&lt;2,$E$4&lt;&gt;""""),""Finns fler än 2 rum - ta bort i E4"",
AND($M$2&lt;3,$K$4&lt;&gt;""""),""Finns fler än 3 rum - ta bort i K4"",
AND($M$2&lt;4,$Q$4&lt;&gt;""""),""Finns fler än 4 rum - ta bort i Q4"",
OR(AND(D9&lt;&gt;$E$2,D9&lt;&gt;$E$4,D9&lt;&gt;$K$4,D9&lt;&gt;$Q$4),D9=""""),"&amp;"CONCATENATE(""Rum: ""&amp;D9&amp;"" finns ej, byt i D""&amp;row()),
AND(indirect(""D""&amp;row()-1)=""Rum"",C9=""""),CONCATENATE(""För att börja: skriv i cell C""&amp;row()),
AND(C9=""Paus"",M9&lt;=0),CONCATENATE(""Skriv pausens längd i M""&amp;row()),
OR(COUNTIF(Info!$A$22:A81,C9)"&amp;"&gt;0,C9=""""),"""",
AND(D9&lt;&gt;$E$2,$O$2=""Yes"",A9=""=time(hh;mm;ss)""),CONCATENATE(""Skriv starttid för ""&amp;C9&amp;"" i A""&amp;row()),
E9=""E - Error"",CONCATENATE(""För många ""&amp;C9&amp;"" rundor!""),
AND(C9&lt;&gt;""3x3 FMC"",C9&lt;&gt;""3x3 MBLD"",E9&lt;&gt;1,E9&lt;&gt;""Final"",IFERROR(FILT"&amp;"ER($E$7:indirect(""E""&amp;row()-1),
$E$7:indirect(""E""&amp;row()-1)=E9-1,$C$7:indirect(""C""&amp;row()-1)=C9))=FALSE),CONCATENATE(""Kan ej vara R""&amp;E9&amp;"", saknar R""&amp;(E9-1)),
AND(indirect(""E""&amp;row()-1)&lt;&gt;""Omgång"",IFERROR(FILTER($E$7:indirect(""E""&amp;row()-1),
$E$7:"&amp;"indirect(""E""&amp;row()-1)=E9,$C$7:indirect(""C""&amp;row()-1)=C9)=E9)=TRUE),CONCATENATE(""Runda ""&amp;E9&amp;"" i ""&amp;C9&amp;"" finns redan""),
AND(C9&lt;&gt;""3x3 BLD"",C9&lt;&gt;""4x4 BLD"",C9&lt;&gt;""5x5 BLD"",C9&lt;&gt;""4x4 / 5x5 BLD"",OR(E9=2,E9=3,E9=""Final""),H9&lt;&gt;""""),CONCATENATE(E9&amp;""-"&amp;"rundor brukar ej ha c.t.l.""),
AND(OR(E9=2,E9=3,E9=""Final""),I9&lt;&gt;""""),CONCATENATE(E9&amp;""-rundor brukar ej ha cutoff""),
AND(OR(C9=""3x3 FMC"",C9=""3x3 MBLD""),OR(E9=1,E9=2,E9=3,E9=""Final"")),CONCATENATE(C9&amp;""s omgång är Rx - Ax""),
AND(C9&lt;&gt;""3x3 MBLD"","&amp;"C9&lt;&gt;""3x3 FMC"",FILTER(Info!$D$2:D81, Info!$A$2:A81 = C9)&lt;&gt;F9),CONCATENATE(C9&amp;"" måste ha formatet ""&amp;FILTER(Info!$D$2:D81, Info!$A$2:A81 = C9)),
AND(C9=""3x3 MBLD"",OR(F9=""Avg of 5"",F9=""Mean of 3"")),CONCATENATE(""Ogiltigt format för ""&amp;C9),
AND(C9="""&amp;"3x3 FMC"",OR(F9=""Avg of 5"",F9=""Best of 3"")),CONCATENATE(""Ogiltigt format för ""&amp;C9),
AND(OR(F9=""Best of 1"",F9=""Best of 2"",F9=""Best of 3""),I9&lt;&gt;""""),CONCATENATE(F9&amp;""-rundor får ej ha cutoff""),
AND(OR(C9=""3x3 FMC"",C9=""3x3 MBLD""),G9&lt;&gt;60),CON"&amp;"CATENATE(C9&amp;"" måste ha time limit: 60""),
AND(OR(C9=""3x3 FMC"",C9=""3x3 MBLD""),H9&lt;&gt;""""),CONCATENATE(C9&amp;"" kan inte ha c.t.l.""),
AND(G9&lt;&gt;"""",H9&lt;&gt;""""),""Välj time limit ELLER c.t.l"",
AND(C9=""6x6 / 7x7"",G9="""",H9=""""),""Sätt time limit (x / y) el"&amp;"ler c.t.l (z)"",
AND(G9="""",H9=""""),""Sätt en time limit eller c.t.l"",
AND(OR(C9=""6x6 / 7x7"",C9=""4x4 / 5x5 BLD""),G9&lt;&gt;"""",REGEXMATCH(TO_TEXT(G9),"" / "")=FALSE),CONCATENATE(""Time limit måste vara x / y""),
AND(H9&lt;&gt;"""",I9&lt;&gt;""""),CONCATENATE(C9&amp;"" "&amp;"brukar ej ha cutoff OCH c.t.l""),
AND(E9=1,H9="""",I9="""",OR(FILTER(Info!$E$2:E81, Info!$A$2:A81 = C9) = ""Yes"",FILTER(Info!$F$2:F81, Info!$A$2:A81 = C9) = ""Yes""),OR(F9=""Avg of 5"",F9=""Mean of 3"")),CONCATENATE(C9&amp;"" bör ha cutoff eller c.t.l""),
AN"&amp;"D(C9=""6x6 / 7x7"",I9&lt;&gt;"""",REGEXMATCH(TO_TEXT(I9),"" / "")=FALSE),CONCATENATE(""Cutoff måste vara x / y""),
AND(H9&lt;&gt;"""",ISNUMBER(H9)=FALSE),""C.t.l. måste vara positivt tal (x)"",
AND(C9&lt;&gt;""6x6 / 7x7"",I9&lt;&gt;"""",ISNUMBER(I9)=FALSE),""Cutoff måste vara po"&amp;"sitivt tal (x)"",
AND(H9&lt;&gt;"""",FILTER(Info!$E$2:E81, Info!$A$2:A81 = C9) = ""No"",FILTER(Info!$F$2:F81, Info!$A$2:A81 = C9) = ""No""),CONCATENATE(C9&amp;"" brukar inte ha c.t.l.""),
AND(I9&lt;&gt;"""",FILTER(Info!$E$2:E81, Info!$A$2:A81 = C9) = ""No"",FILTER(Info!$"&amp;"F$2:F81, Info!$A$2:A81 = C9) = ""No""),CONCATENATE(C9&amp;"" brukar inte ha cutoff""),
AND(H9="""",FILTER(Info!$F$2:F81, Info!$A$2:A81 = C9) = ""Yes""),CONCATENATE(C9&amp;"" brukar ha c.t.l.""),
AND(C9&lt;&gt;""6x6 / 7x7"",C9&lt;&gt;""4x4 / 5x5 BLD"",G9&lt;&gt;"""",ISNUMBER(G9)=FA"&amp;"LSE),""Time limit måste vara positivt tal (x)"",
J9=""J - Error"",CONCATENATE(""För få deltagare i R1 för ""&amp;COUNTIF($C$7:$C$102,indirect(""C""&amp;row()))&amp;"" rundor""),
J9=""K2 - Error"",CONCATENATE(C9&amp;"" är mer populär - byt i K2!""),
AND(C9&lt;&gt;""6x6 / 7x7"","&amp;"C9&lt;&gt;""4x4 / 5x5 BLD"",G9&lt;&gt;"""",I9&lt;&gt;"""",G9&lt;=I9),""Time limit måste vara &gt; cutoff"",
AND(C9&lt;&gt;""6x6 / 7x7"",C9&lt;&gt;""4x4 / 5x5 BLD"",H9&lt;&gt;"""",I9&lt;&gt;"""",H9&lt;=I9),""C.t.l. måste vara &gt; cutoff"",
AND(C9&lt;&gt;""3x3 FMC"",C9&lt;&gt;""3x3 MBLD"",J9=""""),CONCATENATE(""Fyll i an"&amp;"tal deltagare i J""&amp;row()),
AND(C9="""",OR(E9&lt;&gt;"""",F9&lt;&gt;"""",G9&lt;&gt;"""",H9&lt;&gt;"""",I9&lt;&gt;"""",J9&lt;&gt;"""")),""Skriv ALLTID gren / aktivitet först"",
AND(I9="""",H9="""",J9&lt;&gt;""""),J9,
OR(""3x3 FMC""=C9,""3x3 MBLD""=C9),J9,
AND(I9&lt;&gt;"""",""6x6 / 7x7""=C9),
IFS(ArrayF"&amp;"ormula(SUM(IFERROR(SPLIT(I9,"" / ""))))&lt;(Info!$J$6+Info!$J$7)*2/3,CONCATENATE(""Höj helst cutoffs i ""&amp;C9),
ArrayFormula(SUM(IFERROR(SPLIT(I9,"" / ""))))&lt;=(Info!$J$6+Info!$J$7),ROUNDUP(J9*Info!$J$22),
ArrayFormula(SUM(IFERROR(SPLIT(I9,"" / ""))))&lt;=Info!$J"&amp;"$6+Info!$J$7,ROUNDUP(J9*Info!$K$22),
ArrayFormula(SUM(IFERROR(SPLIT(I9,"" / ""))))&lt;=Info!$K$6+Info!$K$7,ROUNDUP(J9*Info!L$22),
ArrayFormula(SUM(IFERROR(SPLIT(I9,"" / ""))))&lt;=Info!$L$6+Info!$L$7,ROUNDUP(J9*Info!$M$22),
ArrayFormula(SUM(IFERROR(SPLIT(I9,"" "&amp;"/ ""))))&lt;=Info!$M$6+Info!$M$7,ROUNDUP(J9*Info!$N$22),
ArrayFormula(SUM(IFERROR(SPLIT(I9,"" / ""))))&lt;=(Info!$N$6+Info!$N$7)*3/2,ROUNDUP(J9*Info!$J$26),
ArrayFormula(SUM(IFERROR(SPLIT(I9,"" / ""))))&gt;(Info!$N$6+Info!$N$7)*3/2,CONCATENATE(""Sänk helst cutoffs"&amp;" i ""&amp;C9)),
AND(I9&lt;&gt;"""",FILTER(Info!$E$2:E81, Info!$A$2:A81 = C9) = ""Yes""),
IFS(I9&lt;FILTER(Info!$J$2:J81, Info!$A$2:A81 = C9)*2/3,CONCATENATE(""Höj helst cutoff i ""&amp;C9),
I9&lt;=FILTER(Info!$J$2:J81, Info!$A$2:A81 = C9),ROUNDUP(J9*Info!$J$22),
I9&lt;=FILTER(I"&amp;"nfo!$K$2:K81, Info!$A$2:A81 = C9),ROUNDUP(J9*Info!$K$22),
I9&lt;=FILTER(Info!$L$2:L81, Info!$A$2:A81 = C9),ROUNDUP(J9*Info!L$22),
I9&lt;=FILTER(Info!$M$2:M81, Info!$A$2:A81 = C9),ROUNDUP(J9*Info!$M$22),
I9&lt;=FILTER(Info!$N$2:N81, Info!$A$2:A81 = C9),ROUNDUP(J9*I"&amp;"nfo!$N$22),
I9&lt;=FILTER(Info!$N$2:N81, Info!$A$2:A81 = C9)*3/2,ROUNDUP(J9*Info!$J$26),
I9&gt;FILTER(Info!$N$2:N81, Info!$A$2:A81 = C9)*3/2,CONCATENATE(""Sänk helst cutoff i ""&amp;C9)),
AND(H9&lt;&gt;"""",""6x6 / 7x7""=C9),
IFS(H9/3&lt;=(Info!$J$6+Info!$J$7)*2/3,""Höj hel"&amp;"st cumulative time limit"",
H9/3&lt;=Info!$J$6+Info!$J$7,ROUNDUP(J9*Info!$J$24),
H9/3&lt;=Info!$K$6+Info!$K$7,ROUNDUP(J9*Info!$K$24),
H9/3&lt;=Info!$L$6+Info!$L$7,ROUNDUP(J9*Info!L$24),
H9/3&lt;=Info!$M$6+Info!$M$7,ROUNDUP(J9*Info!$M$24),
H9/3&lt;=Info!$N$6+Info!$N$7,RO"&amp;"UNDUP(J9*Info!$N$24),
H9/3&lt;=(Info!$N$6+Info!$N$7)*3/2,ROUNDUP(J9*Info!$L$26),
H9/3&gt;(Info!$J$6+Info!$J$7)*3/2,""Sänk helst cumulative time limit""),
AND(H9&lt;&gt;"""",FILTER(Info!$F$2:F81, Info!$A$2:A81 = C9) = ""Yes""),
IFS(H9&lt;=FILTER(Info!$J$2:J81, Info!$A$2:"&amp;"A81 = C9)*2/3,CONCATENATE(""Höj helst c.t.l. i ""&amp;C9),
H9&lt;=FILTER(Info!$J$2:J81, Info!$A$2:A81 = C9),ROUNDUP(J9*Info!$J$24),
H9&lt;=FILTER(Info!$K$2:K81, Info!$A$2:A81 = C9),ROUNDUP(J9*Info!$K$24),
H9&lt;=FILTER(Info!$L$2:L81, Info!$A$2:A81 = C9),ROUNDUP(J9*Inf"&amp;"o!L$24),
H9&lt;=FILTER(Info!$M$2:M81, Info!$A$2:A81 = C9),ROUNDUP(J9*Info!$M$24),
H9&lt;=FILTER(Info!$N$2:N81, Info!$A$2:A81 = C9),ROUNDUP(J9*Info!$N$24),
H9&lt;=FILTER(Info!$N$2:N81, Info!$A$2:A81 = C9)*3/2,ROUNDUP(J9*Info!$L$26),
H9&gt;FILTER(Info!$N$2:N81, Info!$A"&amp;"$2:A81 = C9)*3/2,CONCATENATE(""Sänk helst c.t.l. i ""&amp;C9)),
AND(H9&lt;&gt;"""",FILTER(Info!$F$2:F81, Info!$A$2:A81 = C9) = ""No""),
IFS(H9/AA9&lt;=FILTER(Info!$J$2:J81, Info!$A$2:A81 = C9)*2/3,CONCATENATE(""Höj helst c.t.l. i ""&amp;C9),
H9/AA9&lt;=FILTER(Info!$J$2:J81, "&amp;"Info!$A$2:A81 = C9),ROUNDUP(J9*Info!$J$24),
H9/AA9&lt;=FILTER(Info!$K$2:K81, Info!$A$2:A81 = C9),ROUNDUP(J9*Info!$K$24),
H9/AA9&lt;=FILTER(Info!$L$2:L81, Info!$A$2:A81 = C9),ROUNDUP(J9*Info!L$24),
H9/AA9&lt;=FILTER(Info!$M$2:M81, Info!$A$2:A81 = C9),ROUNDUP(J9*Inf"&amp;"o!$M$24),
H9/AA9&lt;=FILTER(Info!$N$2:N81, Info!$A$2:A81 = C9),ROUNDUP(J9*Info!$N$24),
H9/AA9&lt;=FILTER(Info!$N$2:N81, Info!$A$2:A81 = C9)*3/2,ROUNDUP(J9*Info!$L$26),
H9/AA9&gt;FILTER(Info!$N$2:N81, Info!$A$2:A81 = C9)*3/2,CONCATENATE(""Sänk helst c.t.l. i ""&amp;C9)"&amp;"),
AND(I9="""",H9&lt;&gt;"""",J9&lt;&gt;""""),ROUNDUP(J9*Info!$T$29),
AND(I9&lt;&gt;"""",H9="""",J9&lt;&gt;""""),ROUNDUP(J9*Info!$T$26))"),"")</f>
        <v/>
      </c>
      <c r="L9" s="42">
        <f>IFERROR(__xludf.DUMMYFUNCTION("IFS(C9="""",0,
C9=""3x3 FMC"",Info!$B$9*N9+M9, C9=""3x3 MBLD"",Info!$B$18*N9+M9,
COUNTIF(Info!$A$22:A81,C9)&gt;0,FILTER(Info!$B$22:B81,Info!$A$22:A81=C9)+M9,
AND(C9&lt;&gt;"""",E9=""""),CONCATENATE(""Fyll i E""&amp;row()),
AND(C9&lt;&gt;"""",E9&lt;&gt;"""",E9&lt;&gt;1,E9&lt;&gt;2,E9&lt;&gt;3,E9&lt;&gt;"&amp;"""Final""),CONCATENATE(""Fel format på E""&amp;row()),
K9=CONCATENATE(""Runda ""&amp;E9&amp;"" i ""&amp;C9&amp;"" finns redan""),CONCATENATE(""Fel i E""&amp;row()),
AND(C9&lt;&gt;"""",F9=""""),CONCATENATE(""Fyll i F""&amp;row()),
K9=CONCATENATE(C9&amp;"" måste ha formatet ""&amp;FILTER(Info!$D$2:"&amp;"D81, Info!$A$2:A81 = C9)),CONCATENATE(""Fel format på F""&amp;row()),
AND(C9&lt;&gt;"""",D9=1,H9="""",FILTER(Info!$F$2:F81, Info!$A$2:A81 = C9) = ""Yes""),CONCATENATE(""Fyll i H""&amp;row()),
AND(C9&lt;&gt;"""",D9=1,I9="""",FILTER(Info!$E$2:E81, Info!$A$2:A81 = C9) = ""Yes"""&amp;"),CONCATENATE(""Fyll i I""&amp;row()),
AND(C9&lt;&gt;"""",J9=""""),CONCATENATE(""Fyll i J""&amp;row()),
AND(C9&lt;&gt;"""",K9="""",OR(H9&lt;&gt;"""",I9&lt;&gt;"""")),CONCATENATE(""Fyll i K""&amp;row()),
AND(C9&lt;&gt;"""",K9=""""),CONCATENATE(""Skriv samma i K""&amp;row()&amp;"" som i J""&amp;row()),
AND(OR("&amp;"C9=""4x4 BLD"",C9=""5x5 BLD"",C9=""4x4 / 5x5 BLD"")=TRUE,V9&lt;=P9),
MROUND(H9*(Info!$T$20-((Info!$T$20-1)/2)*(1-V9/P9))*(1+((J9/K9)-1)*(1-Info!$J$24))*N9+(Info!$T$11/2)+(N9*Info!$T$11)+(N9*Info!$T$14*(O9-1)),0.01)+M9,
AND(OR(C9=""4x4 BLD"",C9=""5x5 BLD"",C9"&amp;"=""4x4 / 5x5 BLD"")=TRUE,V9&gt;P9),
MROUND((((J9*Z9+K9*(AA9-Z9))*(H9*Info!$T$20/AA9))/X9)*(1+((J9/K9)-1)*(1-Info!$J$24))*(1+(X9-Info!$T$8)/100)+(Info!$T$11/2)+(N9*Info!$T$11)+(N9*Info!$T$14*(O9-1)),0.01)+M9,
AND(C9=""3x3 BLD"",V9&lt;=P9),
MROUND(H9*(Info!$T$23-"&amp;"((Info!$T$23-1)/2)*(1-V9/P9))*(1+((J9/K9)-1)*(1-Info!$J$24))*N9+(Info!$T$11/2)+(N9*Info!$T$11)+(N9*Info!$T$14*(O9-1)),0.01)+M9,
AND(C9=""3x3 BLD"",V9&gt;P9),
MROUND((((J9*Z9+K9*(AA9-Z9))*(H9*Info!$T$23/AA9))/X9)*(1+((J9/K9)-1)*(1-Info!$J$24))*(1+(X9-Info!$T$"&amp;"8)/100)+(Info!$T$11/2)+(N9*Info!$T$11)+(N9*Info!$T$14*(O9-1)),0.01)+M9,
E9=1,MROUND((((J9*Z9+K9*(AA9-Z9))*Y9)/X9)*(1+(X9-Info!$T$8)/100)+(N9*Info!$T$11)+(N9*Info!$T$14*(O9-1)),0.01)+M9,
AND(E9=""Final"",N9=1,FILTER(Info!$G$2:$G$20,Info!$A$2:$A$20=C9)=""My"&amp;"cket svår""),
MROUND((((J9*Z9+K9*(AA9-Z9))*(Y9*Info!$T$38))/X9)*(1+(X9-Info!$T$8)/100)+(N9*Info!$T$11)+(N9*Info!$T$14*(O9-1)),0.01)+M9,
AND(E9=""Final"",N9=1,FILTER(Info!$G$2:$G$20,Info!$A$2:$A$20=C9)=""Svår""),
MROUND((((J9*Z9+K9*(AA9-Z9))*(Y9*Info!$T$35"&amp;"))/X9)*(1+(X9-Info!$T$8)/100)+(N9*Info!$T$11)+(N9*Info!$T$14*(O9-1)),0.01)+M9,
E9=""Final"",MROUND((((J9*Z9+K9*(AA9-Z9))*(Y9*Info!$T$5))/X9)*(1+(X9-Info!$T$8)/100)+(N9*Info!$T$11)+(N9*Info!$T$14*(O9-1)),0.01)+M9,
OR(E9=2,E9=3),MROUND((((J9*Z9+K9*(AA9-Z9))"&amp;"*(Y9*Info!$T$2))/X9)*(1+(X9-Info!$T$8)/100)+(N9*Info!$T$11)+(N9*Info!$T$14*(O9-1)),0.01)+M9)"),0.0)</f>
        <v>0</v>
      </c>
      <c r="M9" s="43">
        <f t="shared" si="1"/>
        <v>0</v>
      </c>
      <c r="N9" s="43" t="str">
        <f>IFS(OR(COUNTIF(Info!$A$22:A81,C9)&gt;0,C9=""),"",
OR(C9="4x4 BLD",C9="5x5 BLD",C9="3x3 MBLD",C9="3x3 FMC",C9="4x4 / 5x5 BLD"),1,
AND(E9="Final",Q9="Yes",MAX(1,ROUNDUP(J9/P9))&gt;1),MAX(2,ROUNDUP(J9/P9)),
AND(E9="Final",Q9="No",MAX(1,ROUNDUP(J9/((P9*2)+2.625-Y9*1.5)))&gt;1),MAX(2,ROUNDUP(J9/((P9*2)+2.625-Y9*1.5))),
E9="Final",1,
Q9="Yes",MAX(2,ROUNDUP(J9/P9)),
TRUE,MAX(2,ROUNDUP(J9/((P9*2)+2.625-Y9*1.5))))</f>
        <v/>
      </c>
      <c r="O9" s="43" t="str">
        <f>IFS(OR(COUNTIF(Info!$A$22:A81,C9)&gt;0,C9=""),"",
OR("3x3 MBLD"=C9,"3x3 FMC"=C9)=TRUE,"",
D9=$E$4,$G$6,D9=$K$4,$M$6,D9=$Q$4,$S$6,D9=$W$4,$Y$6,
TRUE,$S$2)</f>
        <v/>
      </c>
      <c r="P9" s="43" t="str">
        <f>IFS(OR(COUNTIF(Info!$A$22:A81,C9)&gt;0,C9=""),"",
OR("3x3 MBLD"=C9,"3x3 FMC"=C9)=TRUE,"",
D9=$E$4,$E$6,D9=$K$4,$K$6,D9=$Q$4,$Q$6,D9=$W$4,$W$6,
TRUE,$Q$2)</f>
        <v/>
      </c>
      <c r="Q9" s="44" t="str">
        <f>IFS(OR(COUNTIF(Info!$A$22:A81,C9)&gt;0,C9=""),"",
OR("3x3 MBLD"=C9,"3x3 FMC"=C9)=TRUE,"",
D9=$E$4,$I$6,D9=$K$4,$O$6,D9=$Q$4,$U$6,D9=$W$4,$AA$6,
TRUE,$U$2)</f>
        <v/>
      </c>
      <c r="R9" s="45" t="str">
        <f>IFERROR(__xludf.DUMMYFUNCTION("IF(C9="""","""",IFERROR(FILTER(Info!$B$22:B81,Info!$A$22:A81=C9)+M9,""?""))"),"")</f>
        <v/>
      </c>
      <c r="S9" s="46" t="str">
        <f>IFS(OR(COUNTIF(Info!$A$22:A81,C9)&gt;0,C9=""),"",
AND(H9="",I9=""),J9,
TRUE,"?")</f>
        <v/>
      </c>
      <c r="T9" s="45" t="str">
        <f>IFS(OR(COUNTIF(Info!$A$22:A81,C9)&gt;0,C9=""),"",
AND(L9&lt;&gt;0,OR(R9="?",R9="")),"Fyll i R-kolumnen",
OR(C9="3x3 FMC",C9="3x3 MBLD"),R9,
AND(L9&lt;&gt;0,OR(S9="?",S9="")),"Fyll i S-kolumnen",
OR(COUNTIF(Info!$A$22:A81,C9)&gt;0,C9=""),"",
TRUE,Y9*R9/L9)</f>
        <v/>
      </c>
      <c r="U9" s="45"/>
      <c r="V9" s="47" t="str">
        <f>IFS(OR(COUNTIF(Info!$A$22:A81,C9)&gt;0,C9=""),"",
OR("3x3 MBLD"=C9,"3x3 FMC"=C9)=TRUE,"",
TRUE,MROUND((J9/N9),0.01))</f>
        <v/>
      </c>
      <c r="W9" s="48" t="str">
        <f>IFS(OR(COUNTIF(Info!$A$22:A81,C9)&gt;0,C9=""),"",
TRUE,L9/N9)</f>
        <v/>
      </c>
      <c r="X9" s="49" t="str">
        <f>IFS(OR(COUNTIF(Info!$A$22:A81,C9)&gt;0,C9=""),"",
OR("3x3 MBLD"=C9,"3x3 FMC"=C9)=TRUE,"",
OR(C9="4x4 BLD",C9="5x5 BLD",C9="4x4 / 5x5 BLD",AND(C9="3x3 BLD",H9&lt;&gt;""))=TRUE,MIN(V9,P9),
TRUE,MIN(P9,V9,MROUND(((V9*2/3)+((Y9-1.625)/2)),0.01)))</f>
        <v/>
      </c>
      <c r="Y9" s="48" t="str">
        <f>IFERROR(__xludf.DUMMYFUNCTION("IFS(OR(COUNTIF(Info!$A$22:A81,C9)&gt;0,C9=""""),"""",
FILTER(Info!$F$2:F81, Info!$A$2:A81 = C9) = ""Yes"",H9/AA9,
""3x3 FMC""=C9,Info!$B$9,""3x3 MBLD""=C9,Info!$B$18,
AND(E9=1,I9="""",H9="""",Q9=""No"",G9&gt;SUMIF(Info!$A$2:A81,C9,Info!$B$2:B81)*1.5),
MIN(SUMIF"&amp;"(Info!$A$2:A81,C9,Info!$B$2:B81)*1.1,SUMIF(Info!$A$2:A81,C9,Info!$B$2:B81)*(1.15-(0.15*(SUMIF(Info!$A$2:A81,C9,Info!$B$2:B81)*1.5)/G9))),
AND(E9=1,I9="""",H9="""",Q9=""Yes"",G9&gt;SUMIF(Info!$A$2:A81,C9,Info!$C$2:C81)*1.5),
MIN(SUMIF(Info!$A$2:A81,C9,Info!$C"&amp;"$2:C81)*1.1,SUMIF(Info!$A$2:A81,C9,Info!$C$2:C81)*(1.15-(0.15*(SUMIF(Info!$A$2:A81,C9,Info!$C$2:C81)*1.5)/G9))),
Q9=""No"",SUMIF(Info!$A$2:A81,C9,Info!$B$2:B81),
Q9=""Yes"",SUMIF(Info!$A$2:A81,C9,Info!$C$2:C81))"),"")</f>
        <v/>
      </c>
      <c r="Z9" s="47" t="str">
        <f>IFS(OR(COUNTIF(Info!$A$22:A81,C9)&gt;0,C9=""),"",
AND(OR("3x3 FMC"=C9,"3x3 MBLD"=C9),I9&lt;&gt;""),1,
AND(OR(H9&lt;&gt;"",I9&lt;&gt;""),F9="Avg of 5"),2,
F9="Avg of 5",AA9,
AND(OR(H9&lt;&gt;"",I9&lt;&gt;""),F9="Mean of 3",C9="6x6 / 7x7"),2,
AND(OR(H9&lt;&gt;"",I9&lt;&gt;""),F9="Mean of 3"),1,
F9="Mean of 3",AA9,
AND(OR(H9&lt;&gt;"",I9&lt;&gt;""),F9="Best of 3",C9="4x4 / 5x5 BLD"),2,
AND(OR(H9&lt;&gt;"",I9&lt;&gt;""),F9="Best of 3"),1,
F9="Best of 2",AA9,
F9="Best of 1",AA9)</f>
        <v/>
      </c>
      <c r="AA9" s="47" t="str">
        <f>IFS(OR(COUNTIF(Info!$A$22:A81,C9)&gt;0,C9=""),"",
AND(OR("3x3 MBLD"=C9,"3x3 FMC"=C9),F9="Best of 1"=TRUE),1,
AND(OR("3x3 MBLD"=C9,"3x3 FMC"=C9),F9="Best of 2"=TRUE),2,
AND(OR("3x3 MBLD"=C9,"3x3 FMC"=C9),OR(F9="Best of 3",F9="Mean of 3")=TRUE),3,
AND(F9="Mean of 3",C9="6x6 / 7x7"),6,
AND(F9="Best of 3",C9="4x4 / 5x5 BLD"),6,
F9="Avg of 5",5,F9="Mean of 3",3,F9="Best of 3",3,F9="Best of 2",2,F9="Best of 1",1)</f>
        <v/>
      </c>
      <c r="AB9" s="50"/>
    </row>
    <row r="10" ht="15.75" customHeight="1">
      <c r="A10" s="35">
        <f>IFERROR(__xludf.DUMMYFUNCTION("IFS(indirect(""A""&amp;row()-1)=""Start"",TIME(indirect(""A""&amp;row()-2),indirect(""B""&amp;row()-2),0),
$O$2=""No"",TIME(0,($A$6*60+$B$6)+CEILING(SUM($L$7:indirect(""L""&amp;row()-1)),5),0),
D10=$E$2,TIME(0,($A$6*60+$B$6)+CEILING(SUM(IFERROR(FILTER($L$7:indirect(""L"""&amp;"&amp;row()-1),REGEXMATCH($D$7:indirect(""D""&amp;row()-1),$E$2)),0)),5),0),
TRUE,""=time(hh;mm;ss)"")"),0.4166666666666667)</f>
        <v>0.4166666667</v>
      </c>
      <c r="B10" s="36">
        <f>IFERROR(__xludf.DUMMYFUNCTION("IFS($O$2=""No"",TIME(0,($A$6*60+$B$6)+CEILING(SUM($L$7:indirect(""L""&amp;row())),5),0),
D10=$E$2,TIME(0,($A$6*60+$B$6)+CEILING(SUM(FILTER($L$7:indirect(""L""&amp;row()),REGEXMATCH($D$7:indirect(""D""&amp;row()),$E$2))),5),0),
A10=""=time(hh;mm;ss)"",CONCATENATE(""Sk"&amp;"riv tid i A""&amp;row()),
AND(A10&lt;&gt;"""",A10&lt;&gt;""=time(hh;mm;ss)""),A10+TIME(0,CEILING(indirect(""L""&amp;row()),5),0))"),0.4166666666666667)</f>
        <v>0.4166666667</v>
      </c>
      <c r="C10" s="37"/>
      <c r="D10" s="38" t="str">
        <f t="shared" si="2"/>
        <v>Stora salen</v>
      </c>
      <c r="E10" s="38" t="str">
        <f>IFERROR(__xludf.DUMMYFUNCTION("IFS(COUNTIF(Info!$A$22:A81,C10)&gt;0,"""",
AND(OR(""3x3 FMC""=C10,""3x3 MBLD""=C10),COUNTIF($C$7:indirect(""C""&amp;row()),indirect(""C""&amp;row()))&gt;=13),""E - Error"",
AND(OR(""3x3 FMC""=C10,""3x3 MBLD""=C10),COUNTIF($C$7:indirect(""C""&amp;row()),indirect(""C""&amp;row()"&amp;"))=12),""Final - A3"",
AND(OR(""3x3 FMC""=C10,""3x3 MBLD""=C10),COUNTIF($C$7:indirect(""C""&amp;row()),indirect(""C""&amp;row()))=11),""Final - A2"",
AND(OR(""3x3 FMC""=C10,""3x3 MBLD""=C10),COUNTIF($C$7:indirect(""C""&amp;row()),indirect(""C""&amp;row()))=10),""Final - "&amp;"A1"",
AND(OR(""3x3 FMC""=C10,""3x3 MBLD""=C10),COUNTIF($C$7:indirect(""C""&amp;row()),indirect(""C""&amp;row()))=9,
COUNTIF($C$7:$C$102,indirect(""C""&amp;row()))&gt;9),""R3 - A3"",
AND(OR(""3x3 FMC""=C10,""3x3 MBLD""=C10),COUNTIF($C$7:indirect(""C""&amp;row()),indirect(""C"&amp;"""&amp;row()))=9,
COUNTIF($C$7:$C$102,indirect(""C""&amp;row()))&lt;=9),""Final - A3"",
AND(OR(""3x3 FMC""=C10,""3x3 MBLD""=C10),COUNTIF($C$7:indirect(""C""&amp;row()),indirect(""C""&amp;row()))=8,
COUNTIF($C$7:$C$102,indirect(""C""&amp;row()))&gt;9),""R3 - A2"",
AND(OR(""3x3 FMC"&amp;"""=C10,""3x3 MBLD""=C10),COUNTIF($C$7:indirect(""C""&amp;row()),indirect(""C""&amp;row()))=8,
COUNTIF($C$7:$C$102,indirect(""C""&amp;row()))&lt;=9),""Final - A2"",
AND(OR(""3x3 FMC""=C10,""3x3 MBLD""=C10),COUNTIF($C$7:indirect(""C""&amp;row()),indirect(""C""&amp;row()))=7,
COUN"&amp;"TIF($C$7:$C$102,indirect(""C""&amp;row()))&gt;9),""R3 - A1"",
AND(OR(""3x3 FMC""=C10,""3x3 MBLD""=C10),COUNTIF($C$7:indirect(""C""&amp;row()),indirect(""C""&amp;row()))=7,
COUNTIF($C$7:$C$102,indirect(""C""&amp;row()))&lt;=9),""Final - A1"",
AND(OR(""3x3 FMC""=C10,""3x3 MBLD"""&amp;"=C10),COUNTIF($C$7:indirect(""C""&amp;row()),indirect(""C""&amp;row()))=6,
COUNTIF($C$7:$C$102,indirect(""C""&amp;row()))&gt;6),""R2 - A3"",
AND(OR(""3x3 FMC""=C10,""3x3 MBLD""=C10),COUNTIF($C$7:indirect(""C""&amp;row()),indirect(""C""&amp;row()))=6,
COUNTIF($C$7:$C$102,indirec"&amp;"t(""C""&amp;row()))&lt;=6),""Final - A3"",
AND(OR(""3x3 FMC""=C10,""3x3 MBLD""=C10),COUNTIF($C$7:indirect(""C""&amp;row()),indirect(""C""&amp;row()))=5,
COUNTIF($C$7:$C$102,indirect(""C""&amp;row()))&gt;6),""R2 - A2"",
AND(OR(""3x3 FMC""=C10,""3x3 MBLD""=C10),COUNTIF($C$7:indi"&amp;"rect(""C""&amp;row()),indirect(""C""&amp;row()))=5,
COUNTIF($C$7:$C$102,indirect(""C""&amp;row()))&lt;=6),""Final - A2"",
AND(OR(""3x3 FMC""=C10,""3x3 MBLD""=C10),COUNTIF($C$7:indirect(""C""&amp;row()),indirect(""C""&amp;row()))=4,
COUNTIF($C$7:$C$102,indirect(""C""&amp;row()))&gt;6),"&amp;"""R2 - A1"",
AND(OR(""3x3 FMC""=C10,""3x3 MBLD""=C10),COUNTIF($C$7:indirect(""C""&amp;row()),indirect(""C""&amp;row()))=4,
COUNTIF($C$7:$C$102,indirect(""C""&amp;row()))&lt;=6),""Final - A1"",
AND(OR(""3x3 FMC""=C10,""3x3 MBLD""=C10),COUNTIF($C$7:indirect(""C""&amp;row()),i"&amp;"ndirect(""C""&amp;row()))=3),""R1 - A3"",
AND(OR(""3x3 FMC""=C10,""3x3 MBLD""=C10),COUNTIF($C$7:indirect(""C""&amp;row()),indirect(""C""&amp;row()))=2),""R1 - A2"",
AND(OR(""3x3 FMC""=C10,""3x3 MBLD""=C10),COUNTIF($C$7:indirect(""C""&amp;row()),indirect(""C""&amp;row()))=1),"&amp;"""R1 -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C10),ROUNDUP((FILTER(Info!$H$2:H81,Info!$A$2:A81=C10)/FILTER(Info!$H$2:H81,Info!$A$2:A81=$K$2))*$I$2)&gt;99),3,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C10),ROUNDUP((FILTER(Info!$H$2:H81,Info!$A$2:A81=C10)/FILTER(Info!$H$2:H81,Info!$A$2:A81=$K$2))*$I$2)&gt;15),2,
AND(COUNTIF($C$7:indirect(""C""&amp;row()),indirect(""C""&amp;row()))=2,COUNTIF($C$7:$C$102,indirect(""C""&amp;row()))=COUNTIF($"&amp;"C$7:indirect(""C""&amp;row()),indirect(""C""&amp;row()))),""Final"",
COUNTIF($C$7:indirect(""C""&amp;row()),indirect(""C""&amp;row()))=1,1,
COUNTIF($C$7:indirect(""C""&amp;row()),indirect(""C""&amp;row()))=0,"""")"),"")</f>
        <v/>
      </c>
      <c r="F10" s="39" t="str">
        <f>IFERROR(__xludf.DUMMYFUNCTION("IFS(C10="""","""",
AND(C10=""3x3 FMC"",MOD(COUNTIF($C$7:indirect(""C""&amp;row()),indirect(""C""&amp;row())),3)=0),""Mean of 3"",
AND(C10=""3x3 MBLD"",MOD(COUNTIF($C$7:indirect(""C""&amp;row()),indirect(""C""&amp;row())),3)=0),""Best of 3"",
AND(C10=""3x3 FMC"",MOD(COUNT"&amp;"IF($C$7:indirect(""C""&amp;row()),indirect(""C""&amp;row())),3)=2,
COUNTIF($C$7:$C$102,indirect(""C""&amp;row()))&lt;=COUNTIF($C$7:indirect(""C""&amp;row()),indirect(""C""&amp;row()))),""Best of 2"",
AND(C10=""3x3 FMC"",MOD(COUNTIF($C$7:indirect(""C""&amp;row()),indirect(""C""&amp;row("&amp;"))),3)=2,
COUNTIF($C$7:$C$102,indirect(""C""&amp;row()))&gt;COUNTIF($C$7:indirect(""C""&amp;row()),indirect(""C""&amp;row()))),""Mean of 3"",
AND(C10=""3x3 MBLD"",MOD(COUNTIF($C$7:indirect(""C""&amp;row()),indirect(""C""&amp;row())),3)=2,
COUNTIF($C$7:$C$102,indirect(""C""&amp;row("&amp;")))&lt;=COUNTIF($C$7:indirect(""C""&amp;row()),indirect(""C""&amp;row()))),""Best of 2"",
AND(C10=""3x3 MBLD"",MOD(COUNTIF($C$7:indirect(""C""&amp;row()),indirect(""C""&amp;row())),3)=2,
COUNTIF($C$7:$C$102,indirect(""C""&amp;row()))&gt;COUNTIF($C$7:indirect(""C""&amp;row()),indirect("&amp;"""C""&amp;row()))),""Best of 3"",
AND(C10=""3x3 FMC"",MOD(COUNTIF($C$7:indirect(""C""&amp;row()),indirect(""C""&amp;row())),3)=1,
COUNTIF($C$7:$C$102,indirect(""C""&amp;row()))&lt;=COUNTIF($C$7:indirect(""C""&amp;row()),indirect(""C""&amp;row()))),""Best of 1"",
AND(C10=""3x3 FMC"""&amp;",MOD(COUNTIF($C$7:indirect(""C""&amp;row()),indirect(""C""&amp;row())),3)=1,
COUNTIF($C$7:$C$102,indirect(""C""&amp;row()))=COUNTIF($C$7:indirect(""C""&amp;row()),indirect(""C""&amp;row()))+1),""Best of 2"",
AND(C10=""3x3 FMC"",MOD(COUNTIF($C$7:indirect(""C""&amp;row()),indirect"&amp;"(""C""&amp;row())),3)=1,
COUNTIF($C$7:$C$102,indirect(""C""&amp;row()))&gt;COUNTIF($C$7:indirect(""C""&amp;row()),indirect(""C""&amp;row()))),""Mean of 3"",
AND(C10=""3x3 MBLD"",MOD(COUNTIF($C$7:indirect(""C""&amp;row()),indirect(""C""&amp;row())),3)=1,
COUNTIF($C$7:$C$102,indirect"&amp;"(""C""&amp;row()))&lt;=COUNTIF($C$7:indirect(""C""&amp;row()),indirect(""C""&amp;row()))),""Best of 1"",
AND(C10=""3x3 MBLD"",MOD(COUNTIF($C$7:indirect(""C""&amp;row()),indirect(""C""&amp;row())),3)=1,
COUNTIF($C$7:$C$102,indirect(""C""&amp;row()))=COUNTIF($C$7:indirect(""C""&amp;row()"&amp;"),indirect(""C""&amp;row()))+1),""Best of 2"",
AND(C10=""3x3 MBLD"",MOD(COUNTIF($C$7:indirect(""C""&amp;row()),indirect(""C""&amp;row())),3)=1,
COUNTIF($C$7:$C$102,indirect(""C""&amp;row()))&gt;COUNTIF($C$7:indirect(""C""&amp;row()),indirect(""C""&amp;row()))),""Best of 3"",
TRUE,("&amp;"IFERROR(FILTER(Info!$D$2:D81, Info!$A$2:A81 = C10), """")))"),"")</f>
        <v/>
      </c>
      <c r="G10" s="40" t="str">
        <f>IFERROR(__xludf.DUMMYFUNCTION("IFS(OR(COUNTIF(Info!$A$22:A81,C10)&gt;0,C10=""""),"""",
OR(""3x3 MBLD""=C10,""3x3 FMC""=C10),60,
AND(E10=1,FILTER(Info!$F$2:F81, Info!$A$2:A81 = C10) = ""No""),FILTER(Info!$P$2:P81, Info!$A$2:A81 = C10),
AND(E10=2,FILTER(Info!$F$2:F81, Info!$A$2:A81 = C10) ="&amp;" ""No""),FILTER(Info!$Q$2:Q81, Info!$A$2:A81 = C10),
AND(E10=3,FILTER(Info!$F$2:F81, Info!$A$2:A81 = C10) = ""No""),FILTER(Info!$R$2:R81, Info!$A$2:A81 = C10),
AND(E10=""Final"",FILTER(Info!$F$2:F81, Info!$A$2:A81 = C10) = ""No""),FILTER(Info!$S$2:S81, In"&amp;"fo!$A$2:A81 = C10),
FILTER(Info!$F$2:F81, Info!$A$2:A81 = C10) = ""Yes"","""")"),"")</f>
        <v/>
      </c>
      <c r="H10" s="40" t="str">
        <f>IFERROR(__xludf.DUMMYFUNCTION("IFS(OR(COUNTIF(Info!$A$22:A81,C10)&gt;0,C10=""""),"""",
OR(""3x3 MBLD""=C10,""3x3 FMC""=C10)=TRUE,"""",
FILTER(Info!$F$2:F81, Info!$A$2:A81 = C10) = ""Yes"",FILTER(Info!$O$2:O81, Info!$A$2:A81 = C10),
FILTER(Info!$F$2:F81, Info!$A$2:A81 = C10) = ""No"",IF(G1"&amp;"0="""",FILTER(Info!$O$2:O81, Info!$A$2:A81 = C10),""""))"),"")</f>
        <v/>
      </c>
      <c r="I10" s="40" t="str">
        <f>IFERROR(__xludf.DUMMYFUNCTION("IFS(OR(COUNTIF(Info!$A$22:A81,C10)&gt;0,C10="""",H10&lt;&gt;""""),"""",
AND(E10&lt;&gt;1,E10&lt;&gt;""R1 - A1"",E10&lt;&gt;""R1 - A2"",E10&lt;&gt;""R1 - A3""),"""",
FILTER(Info!$E$2:E81, Info!$A$2:A81 = C10) = ""Yes"",IF(H10="""",FILTER(Info!$L$2:L81, Info!$A$2:A81 = C10),""""),
FILTER(I"&amp;"nfo!$E$2:E81, Info!$A$2:A81 = C10) = ""No"","""")"),"")</f>
        <v/>
      </c>
      <c r="J10" s="40" t="str">
        <f>IFERROR(__xludf.DUMMYFUNCTION("IFS(OR(COUNTIF(Info!$A$22:A81,C10)&gt;0,C10="""",""3x3 MBLD""=C10,""3x3 FMC""=C10),"""",
AND(E10=1,FILTER(Info!$H$2:H81,Info!$A$2:A81 = C10)&lt;=FILTER(Info!$H$2:H81,Info!$A$2:A81=$K$2)),
ROUNDUP((FILTER(Info!$H$2:H81,Info!$A$2:A81 = C10)/FILTER(Info!$H$2:H81,I"&amp;"nfo!$A$2:A81=$K$2))*$I$2),
AND(E10=1,FILTER(Info!$H$2:H81,Info!$A$2:A81 = C10)&gt;FILTER(Info!$H$2:H81,Info!$A$2:A81=$K$2)),""K2 - Error"",
AND(E10=2,FILTER($J$7:indirect(""J""&amp;row()-1),$C$7:indirect(""C""&amp;row()-1)=C10)&lt;=7),""J - Error"",
E10=2,FLOOR(FILTER("&amp;"$J$7:indirect(""J""&amp;row()-1),$C$7:indirect(""C""&amp;row()-1)=C10)*Info!$T$32),
AND(E10=3,FILTER($J$7:indirect(""J""&amp;row()-1),$C$7:indirect(""C""&amp;row()-1)=C10)&lt;=15),""J - Error"",
E10=3,FLOOR(Info!$T$32*FLOOR(FILTER($J$7:indirect(""J""&amp;row()-1),$C$7:indirect("&amp;"""C""&amp;row()-1)=C10)*Info!$T$32)),
AND(E10=""Final"",COUNTIF($C$7:$C$102,C10)=2,FILTER($J$7:indirect(""J""&amp;row()-1),$C$7:indirect(""C""&amp;row()-1)=C10)&lt;=7),""J - Error"",
AND(E10=""Final"",COUNTIF($C$7:$C$102,C10)=2),
MIN(P10,FLOOR(FILTER($J$7:indirect(""J"""&amp;"&amp;row()-1),$C$7:indirect(""C""&amp;row()-1)=C10)*Info!$T$32)),
AND(E10=""Final"",COUNTIF($C$7:$C$102,C10)=3,FILTER($J$7:indirect(""J""&amp;row()-1),$C$7:indirect(""C""&amp;row()-1)=C10)&lt;=15),""J - Error"",
AND(E10=""Final"",COUNTIF($C$7:$C$102,C10)=3),
MIN(P10,FLOOR(I"&amp;"nfo!$T$32*FLOOR(FILTER($J$7:indirect(""J""&amp;row()-1),$C$7:indirect(""C""&amp;row()-1)=C10)*Info!$T$32))),
AND(E10=""Final"",COUNTIF($C$7:$C$102,C10)&gt;=4,FILTER($J$7:indirect(""J""&amp;row()-1),$C$7:indirect(""C""&amp;row()-1)=C10)&lt;=99),""J - Error"",
AND(E10=""Final"","&amp;"COUNTIF($C$7:$C$102,C10)&gt;=4),
MIN(P10,FLOOR(Info!$T$32*FLOOR(Info!$T$32*FLOOR(FILTER($J$7:indirect(""J""&amp;row()-1),$C$7:indirect(""C""&amp;row()-1)=C10)*Info!$T$32)))))"),"")</f>
        <v/>
      </c>
      <c r="K10" s="41" t="str">
        <f>IFERROR(__xludf.DUMMYFUNCTION("IFS(AND(indirect(""D""&amp;row()+2)&lt;&gt;$E$2,indirect(""D""&amp;row()+1)=""""),CONCATENATE(""Tom rad! Kopiera hela rad ""&amp;row()&amp;"" dit""),
AND(indirect(""D""&amp;row()-1)&lt;&gt;""Rum"",indirect(""D""&amp;row()-1)=""""),CONCATENATE(""Tom rad! Kopiera hela rad ""&amp;row()&amp;"" dit""),
"&amp;"C10="""","""",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OR(AND(D10&lt;&gt;$E$2,D10&lt;&gt;$E$4,D10&lt;&gt;$K$4,D10&lt;&gt;$Q$4),D10="&amp;"""""),CONCATENATE(""Rum: ""&amp;D10&amp;"" finns ej, byt i D""&amp;row()),
AND(indirect(""D""&amp;row()-1)=""Rum"",C10=""""),CONCATENATE(""För att börja: skriv i cell C""&amp;row()),
AND(C10=""Paus"",M10&lt;=0),CONCATENATE(""Skriv pausens längd i M""&amp;row()),
OR(COUNTIF(Info!$A$"&amp;"22:A81,C10)&gt;0,C10=""""),"""",
AND(D10&lt;&gt;$E$2,$O$2=""Yes"",A10=""=time(hh;mm;ss)""),CONCATENATE(""Skriv starttid för ""&amp;C10&amp;"" i A""&amp;row()),
E10=""E - Error"",CONCATENATE(""För många ""&amp;C10&amp;"" rundor!""),
AND(C10&lt;&gt;""3x3 FMC"",C10&lt;&gt;""3x3 MBLD"",E10&lt;&gt;1,E10&lt;&gt;"&amp;"""Final"",IFERROR(FILTER($E$7:indirect(""E""&amp;row()-1),
$E$7:indirect(""E""&amp;row()-1)=E10-1,$C$7:indirect(""C""&amp;row()-1)=C10))=FALSE),CONCATENATE(""Kan ej vara R""&amp;E10&amp;"", saknar R""&amp;(E10-1)),
AND(indirect(""E""&amp;row()-1)&lt;&gt;""Omgång"",IFERROR(FILTER($E$7:indi"&amp;"rect(""E""&amp;row()-1),
$E$7:indirect(""E""&amp;row()-1)=E10,$C$7:indirect(""C""&amp;row()-1)=C10)=E10)=TRUE),CONCATENATE(""Runda ""&amp;E10&amp;"" i ""&amp;C10&amp;"" finns redan""),
AND(C10&lt;&gt;""3x3 BLD"",C10&lt;&gt;""4x4 BLD"",C10&lt;&gt;""5x5 BLD"",C10&lt;&gt;""4x4 / 5x5 BLD"",OR(E10=2,E10=3,E10="&amp;"""Final""),H10&lt;&gt;""""),CONCATENATE(E10&amp;""-rundor brukar ej ha c.t.l.""),
AND(OR(E10=2,E10=3,E10=""Final""),I10&lt;&gt;""""),CONCATENATE(E10&amp;""-rundor brukar ej ha cutoff""),
AND(OR(C10=""3x3 FMC"",C10=""3x3 MBLD""),OR(E10=1,E10=2,E10=3,E10=""Final"")),CONCATENAT"&amp;"E(C10&amp;""s omgång är Rx - Ax""),
AND(C10&lt;&gt;""3x3 MBLD"",C10&lt;&gt;""3x3 FMC"",FILTER(Info!$D$2:D81, Info!$A$2:A81 = C10)&lt;&gt;F10),CONCATENATE(C10&amp;"" måste ha formatet ""&amp;FILTER(Info!$D$2:D81, Info!$A$2:A81 = C10)),
AND(C10=""3x3 MBLD"",OR(F10=""Avg of 5"",F10=""Mea"&amp;"n of 3"")),CONCATENATE(""Ogiltigt format för ""&amp;C10),
AND(C10=""3x3 FMC"",OR(F10=""Avg of 5"",F10=""Best of 3"")),CONCATENATE(""Ogiltigt format för ""&amp;C10),
AND(OR(F10=""Best of 1"",F10=""Best of 2"",F10=""Best of 3""),I10&lt;&gt;""""),CONCATENATE(F10&amp;""-rundor"&amp;" får ej ha cutoff""),
AND(OR(C10=""3x3 FMC"",C10=""3x3 MBLD""),G10&lt;&gt;60),CONCATENATE(C10&amp;"" måste ha time limit: 60""),
AND(OR(C10=""3x3 FMC"",C10=""3x3 MBLD""),H10&lt;&gt;""""),CONCATENATE(C10&amp;"" kan inte ha c.t.l.""),
AND(G10&lt;&gt;"""",H10&lt;&gt;""""),""Välj time limit"&amp;" ELLER c.t.l"",
AND(C10=""6x6 / 7x7"",G10="""",H10=""""),""Sätt time limit (x / y) eller c.t.l (z)"",
AND(G10="""",H10=""""),""Sätt en time limit eller c.t.l"",
AND(OR(C10=""6x6 / 7x7"",C10=""4x4 / 5x5 BLD""),G10&lt;&gt;"""",REGEXMATCH(TO_TEXT(G10),"" / "")=FAL"&amp;"SE),CONCATENATE(""Time limit måste vara x / y""),
AND(H10&lt;&gt;"""",I10&lt;&gt;""""),CONCATENATE(C10&amp;"" brukar ej ha cutoff OCH c.t.l""),
AND(E10=1,H10="""",I10="""",OR(FILTER(Info!$E$2:E81, Info!$A$2:A81 = C10) = ""Yes"",FILTER(Info!$F$2:F81, Info!$A$2:A81 = C10) "&amp;"= ""Yes""),OR(F10=""Avg of 5"",F10=""Mean of 3"")),CONCATENATE(C10&amp;"" bör ha cutoff eller c.t.l""),
AND(C10=""6x6 / 7x7"",I10&lt;&gt;"""",REGEXMATCH(TO_TEXT(I10),"" / "")=FALSE),CONCATENATE(""Cutoff måste vara x / y""),
AND(H10&lt;&gt;"""",ISNUMBER(H10)=FALSE),""C.t."&amp;"l. måste vara positivt tal (x)"",
AND(C10&lt;&gt;""6x6 / 7x7"",I10&lt;&gt;"""",ISNUMBER(I10)=FALSE),""Cutoff måste vara positivt tal (x)"",
AND(H10&lt;&gt;"""",FILTER(Info!$E$2:E81, Info!$A$2:A81 = C10) = ""No"",FILTER(Info!$F$2:F81, Info!$A$2:A81 = C10) = ""No""),CONCATEN"&amp;"ATE(C10&amp;"" brukar inte ha c.t.l.""),
AND(I10&lt;&gt;"""",FILTER(Info!$E$2:E81, Info!$A$2:A81 = C10) = ""No"",FILTER(Info!$F$2:F81, Info!$A$2:A81 = C10) = ""No""),CONCATENATE(C10&amp;"" brukar inte ha cutoff""),
AND(H10="""",FILTER(Info!$F$2:F81, Info!$A$2:A81 = C10"&amp;") = ""Yes""),CONCATENATE(C10&amp;"" brukar ha c.t.l.""),
AND(C10&lt;&gt;""6x6 / 7x7"",C10&lt;&gt;""4x4 / 5x5 BLD"",G10&lt;&gt;"""",ISNUMBER(G10)=FALSE),""Time limit måste vara positivt tal (x)"",
J10=""J - Error"",CONCATENATE(""För få deltagare i R1 för ""&amp;COUNTIF($C$7:$C$102,"&amp;"indirect(""C""&amp;row()))&amp;"" rundor""),
J10=""K2 - Error"",CONCATENATE(C10&amp;"" är mer populär - byt i K2!""),
AND(C10&lt;&gt;""6x6 / 7x7"",C10&lt;&gt;""4x4 / 5x5 BLD"",G10&lt;&gt;"""",I10&lt;&gt;"""",G10&lt;=I10),""Time limit måste vara &gt; cutoff"",
AND(C10&lt;&gt;""6x6 / 7x7"",C10&lt;&gt;""4x4 / 5"&amp;"x5 BLD"",H10&lt;&gt;"""",I10&lt;&gt;"""",H10&lt;=I10),""C.t.l. måste vara &gt; cutoff"",
AND(C10&lt;&gt;""3x3 FMC"",C10&lt;&gt;""3x3 MBLD"",J10=""""),CONCATENATE(""Fyll i antal deltagare i J""&amp;row()),
AND(C10="""",OR(E10&lt;&gt;"""",F10&lt;&gt;"""",G10&lt;&gt;"""",H10&lt;&gt;"""",I10&lt;&gt;"""",J10&lt;&gt;"""")),""Skri"&amp;"v ALLTID gren / aktivitet först"",
AND(I10="""",H10="""",J10&lt;&gt;""""),J10,
OR(""3x3 FMC""=C10,""3x3 MBLD""=C10),J10,
AND(I10&lt;&gt;"""",""6x6 / 7x7""=C10),
IFS(ArrayFormula(SUM(IFERROR(SPLIT(I10,"" / ""))))&lt;(Info!$J$6+Info!$J$7)*2/3,CONCATENATE(""Höj helst cutof"&amp;"fs i ""&amp;C10),
ArrayFormula(SUM(IFERROR(SPLIT(I10,"" / ""))))&lt;=(Info!$J$6+Info!$J$7),ROUNDUP(J10*Info!$J$22),
ArrayFormula(SUM(IFERROR(SPLIT(I10,"" / ""))))&lt;=Info!$J$6+Info!$J$7,ROUNDUP(J10*Info!$K$22),
ArrayFormula(SUM(IFERROR(SPLIT(I10,"" / ""))))&lt;=Info!"&amp;"$K$6+Info!$K$7,ROUNDUP(J10*Info!L$22),
ArrayFormula(SUM(IFERROR(SPLIT(I10,"" / ""))))&lt;=Info!$L$6+Info!$L$7,ROUNDUP(J10*Info!$M$22),
ArrayFormula(SUM(IFERROR(SPLIT(I10,"" / ""))))&lt;=Info!$M$6+Info!$M$7,ROUNDUP(J10*Info!$N$22),
ArrayFormula(SUM(IFERROR(SPLIT"&amp;"(I10,"" / ""))))&lt;=(Info!$N$6+Info!$N$7)*3/2,ROUNDUP(J10*Info!$J$26),
ArrayFormula(SUM(IFERROR(SPLIT(I10,"" / ""))))&gt;(Info!$N$6+Info!$N$7)*3/2,CONCATENATE(""Sänk helst cutoffs i ""&amp;C10)),
AND(I10&lt;&gt;"""",FILTER(Info!$E$2:E81, Info!$A$2:A81 = C10) = ""Yes""),"&amp;"
IFS(I10&lt;FILTER(Info!$J$2:J81, Info!$A$2:A81 = C10)*2/3,CONCATENATE(""Höj helst cutoff i ""&amp;C10),
I10&lt;=FILTER(Info!$J$2:J81, Info!$A$2:A81 = C10),ROUNDUP(J10*Info!$J$22),
I10&lt;=FILTER(Info!$K$2:K81, Info!$A$2:A81 = C10),ROUNDUP(J10*Info!$K$22),
I10&lt;=FILTER"&amp;"(Info!$L$2:L81, Info!$A$2:A81 = C10),ROUNDUP(J10*Info!L$22),
I10&lt;=FILTER(Info!$M$2:M81, Info!$A$2:A81 = C10),ROUNDUP(J10*Info!$M$22),
I10&lt;=FILTER(Info!$N$2:N81, Info!$A$2:A81 = C10),ROUNDUP(J10*Info!$N$22),
I10&lt;=FILTER(Info!$N$2:N81, Info!$A$2:A81 = C10)*"&amp;"3/2,ROUNDUP(J10*Info!$J$26),
I10&gt;FILTER(Info!$N$2:N81, Info!$A$2:A81 = C10)*3/2,CONCATENATE(""Sänk helst cutoff i ""&amp;C10)),
AND(H10&lt;&gt;"""",""6x6 / 7x7""=C10),
IFS(H10/3&lt;=(Info!$J$6+Info!$J$7)*2/3,""Höj helst cumulative time limit"",
H10/3&lt;=Info!$J$6+Info!$"&amp;"J$7,ROUNDUP(J10*Info!$J$24),
H10/3&lt;=Info!$K$6+Info!$K$7,ROUNDUP(J10*Info!$K$24),
H10/3&lt;=Info!$L$6+Info!$L$7,ROUNDUP(J10*Info!L$24),
H10/3&lt;=Info!$M$6+Info!$M$7,ROUNDUP(J10*Info!$M$24),
H10/3&lt;=Info!$N$6+Info!$N$7,ROUNDUP(J10*Info!$N$24),
H10/3&lt;=(Info!$N$6+I"&amp;"nfo!$N$7)*3/2,ROUNDUP(J10*Info!$L$26),
H10/3&gt;(Info!$J$6+Info!$J$7)*3/2,""Sänk helst cumulative time limit""),
AND(H10&lt;&gt;"""",FILTER(Info!$F$2:F81, Info!$A$2:A81 = C10) = ""Yes""),
IFS(H10&lt;=FILTER(Info!$J$2:J81, Info!$A$2:A81 = C10)*2/3,CONCATENATE(""Höj he"&amp;"lst c.t.l. i ""&amp;C10),
H10&lt;=FILTER(Info!$J$2:J81, Info!$A$2:A81 = C10),ROUNDUP(J10*Info!$J$24),
H10&lt;=FILTER(Info!$K$2:K81, Info!$A$2:A81 = C10),ROUNDUP(J10*Info!$K$24),
H10&lt;=FILTER(Info!$L$2:L81, Info!$A$2:A81 = C10),ROUNDUP(J10*Info!L$24),
H10&lt;=FILTER(Inf"&amp;"o!$M$2:M81, Info!$A$2:A81 = C10),ROUNDUP(J10*Info!$M$24),
H10&lt;=FILTER(Info!$N$2:N81, Info!$A$2:A81 = C10),ROUNDUP(J10*Info!$N$24),
H10&lt;=FILTER(Info!$N$2:N81, Info!$A$2:A81 = C10)*3/2,ROUNDUP(J10*Info!$L$26),
H10&gt;FILTER(Info!$N$2:N81, Info!$A$2:A81 = C10)*"&amp;"3/2,CONCATENATE(""Sänk helst c.t.l. i ""&amp;C10)),
AND(H10&lt;&gt;"""",FILTER(Info!$F$2:F81, Info!$A$2:A81 = C10) = ""No""),
IFS(H10/AA10&lt;=FILTER(Info!$J$2:J81, Info!$A$2:A81 = C10)*2/3,CONCATENATE(""Höj helst c.t.l. i ""&amp;C10),
H10/AA10&lt;=FILTER(Info!$J$2:J81, Info"&amp;"!$A$2:A81 = C10),ROUNDUP(J10*Info!$J$24),
H10/AA10&lt;=FILTER(Info!$K$2:K81, Info!$A$2:A81 = C10),ROUNDUP(J10*Info!$K$24),
H10/AA10&lt;=FILTER(Info!$L$2:L81, Info!$A$2:A81 = C10),ROUNDUP(J10*Info!L$24),
H10/AA10&lt;=FILTER(Info!$M$2:M81, Info!$A$2:A81 = C10),ROUND"&amp;"UP(J10*Info!$M$24),
H10/AA10&lt;=FILTER(Info!$N$2:N81, Info!$A$2:A81 = C10),ROUNDUP(J10*Info!$N$24),
H10/AA10&lt;=FILTER(Info!$N$2:N81, Info!$A$2:A81 = C10)*3/2,ROUNDUP(J10*Info!$L$26),
H10/AA10&gt;FILTER(Info!$N$2:N81, Info!$A$2:A81 = C10)*3/2,CONCATENATE(""Sänk "&amp;"helst c.t.l. i ""&amp;C10)),
AND(I10="""",H10&lt;&gt;"""",J10&lt;&gt;""""),ROUNDUP(J10*Info!$T$29),
AND(I10&lt;&gt;"""",H10="""",J10&lt;&gt;""""),ROUNDUP(J10*Info!$T$26))"),"")</f>
        <v/>
      </c>
      <c r="L10" s="42">
        <f>IFERROR(__xludf.DUMMYFUNCTION("IFS(C10="""",0,
C10=""3x3 FMC"",Info!$B$9*N10+M10, C10=""3x3 MBLD"",Info!$B$18*N10+M10,
COUNTIF(Info!$A$22:A81,C10)&gt;0,FILTER(Info!$B$22:B81,Info!$A$22:A81=C10)+M10,
AND(C10&lt;&gt;"""",E10=""""),CONCATENATE(""Fyll i E""&amp;row()),
AND(C10&lt;&gt;"""",E10&lt;&gt;"""",E10&lt;&gt;1,E1"&amp;"0&lt;&gt;2,E10&lt;&gt;3,E10&lt;&gt;""Final""),CONCATENATE(""Fel format på E""&amp;row()),
K10=CONCATENATE(""Runda ""&amp;E10&amp;"" i ""&amp;C10&amp;"" finns redan""),CONCATENATE(""Fel i E""&amp;row()),
AND(C10&lt;&gt;"""",F10=""""),CONCATENATE(""Fyll i F""&amp;row()),
K10=CONCATENATE(C10&amp;"" måste ha forma"&amp;"tet ""&amp;FILTER(Info!$D$2:D81, Info!$A$2:A81 = C10)),CONCATENATE(""Fel format på F""&amp;row()),
AND(C10&lt;&gt;"""",D10=1,H10="""",FILTER(Info!$F$2:F81, Info!$A$2:A81 = C10) = ""Yes""),CONCATENATE(""Fyll i H""&amp;row()),
AND(C10&lt;&gt;"""",D10=1,I10="""",FILTER(Info!$E$2:E8"&amp;"1, Info!$A$2:A81 = C10) = ""Yes""),CONCATENATE(""Fyll i I""&amp;row()),
AND(C10&lt;&gt;"""",J10=""""),CONCATENATE(""Fyll i J""&amp;row()),
AND(C10&lt;&gt;"""",K10="""",OR(H10&lt;&gt;"""",I10&lt;&gt;"""")),CONCATENATE(""Fyll i K""&amp;row()),
AND(C10&lt;&gt;"""",K10=""""),CONCATENATE(""Skriv samma"&amp;" i K""&amp;row()&amp;"" som i J""&amp;row()),
AND(OR(C10=""4x4 BLD"",C10=""5x5 BLD"",C10=""4x4 / 5x5 BLD"")=TRUE,V10&lt;=P10),
MROUND(H10*(Info!$T$20-((Info!$T$20-1)/2)*(1-V10/P10))*(1+((J10/K10)-1)*(1-Info!$J$24))*N10+(Info!$T$11/2)+(N10*Info!$T$11)+(N10*Info!$T$14*(O1"&amp;"0-1)),0.01)+M10,
AND(OR(C10=""4x4 BLD"",C10=""5x5 BLD"",C10=""4x4 / 5x5 BLD"")=TRUE,V10&gt;P10),
MROUND((((J10*Z10+K10*(AA10-Z10))*(H10*Info!$T$20/AA10))/X10)*(1+((J10/K10)-1)*(1-Info!$J$24))*(1+(X10-Info!$T$8)/100)+(Info!$T$11/2)+(N10*Info!$T$11)+(N10*Info!"&amp;"$T$14*(O10-1)),0.01)+M10,
AND(C10=""3x3 BLD"",V10&lt;=P10),
MROUND(H10*(Info!$T$23-((Info!$T$23-1)/2)*(1-V10/P10))*(1+((J10/K10)-1)*(1-Info!$J$24))*N10+(Info!$T$11/2)+(N10*Info!$T$11)+(N10*Info!$T$14*(O10-1)),0.01)+M10,
AND(C10=""3x3 BLD"",V10&gt;P10),
MROUND(("&amp;"((J10*Z10+K10*(AA10-Z10))*(H10*Info!$T$23/AA10))/X10)*(1+((J10/K10)-1)*(1-Info!$J$24))*(1+(X10-Info!$T$8)/100)+(Info!$T$11/2)+(N10*Info!$T$11)+(N10*Info!$T$14*(O10-1)),0.01)+M10,
E10=1,MROUND((((J10*Z10+K10*(AA10-Z10))*Y10)/X10)*(1+(X10-Info!$T$8)/100)+(N"&amp;"10*Info!$T$11)+(N10*Info!$T$14*(O10-1)),0.01)+M10,
AND(E10=""Final"",N10=1,FILTER(Info!$G$2:$G$20,Info!$A$2:$A$20=C10)=""Mycket svår""),
MROUND((((J10*Z10+K10*(AA10-Z10))*(Y10*Info!$T$38))/X10)*(1+(X10-Info!$T$8)/100)+(N10*Info!$T$11)+(N10*Info!$T$14*(O10"&amp;"-1)),0.01)+M10,
AND(E10=""Final"",N10=1,FILTER(Info!$G$2:$G$20,Info!$A$2:$A$20=C10)=""Svår""),
MROUND((((J10*Z10+K10*(AA10-Z10))*(Y10*Info!$T$35))/X10)*(1+(X10-Info!$T$8)/100)+(N10*Info!$T$11)+(N10*Info!$T$14*(O10-1)),0.01)+M10,
E10=""Final"",MROUND((((J1"&amp;"0*Z10+K10*(AA10-Z10))*(Y10*Info!$T$5))/X10)*(1+(X10-Info!$T$8)/100)+(N10*Info!$T$11)+(N10*Info!$T$14*(O10-1)),0.01)+M10,
OR(E10=2,E10=3),MROUND((((J10*Z10+K10*(AA10-Z10))*(Y10*Info!$T$2))/X10)*(1+(X10-Info!$T$8)/100)+(N10*Info!$T$11)+(N10*Info!$T$14*(O10-"&amp;"1)),0.01)+M10)"),0.0)</f>
        <v>0</v>
      </c>
      <c r="M10" s="43">
        <f t="shared" si="1"/>
        <v>0</v>
      </c>
      <c r="N10" s="43" t="str">
        <f>IFS(OR(COUNTIF(Info!$A$22:A81,C10)&gt;0,C10=""),"",
OR(C10="4x4 BLD",C10="5x5 BLD",C10="3x3 MBLD",C10="3x3 FMC",C10="4x4 / 5x5 BLD"),1,
AND(E10="Final",Q10="Yes",MAX(1,ROUNDUP(J10/P10))&gt;1),MAX(2,ROUNDUP(J10/P10)),
AND(E10="Final",Q10="No",MAX(1,ROUNDUP(J10/((P10*2)+2.625-Y10*1.5)))&gt;1),MAX(2,ROUNDUP(J10/((P10*2)+2.625-Y10*1.5))),
E10="Final",1,
Q10="Yes",MAX(2,ROUNDUP(J10/P10)),
TRUE,MAX(2,ROUNDUP(J10/((P10*2)+2.625-Y10*1.5))))</f>
        <v/>
      </c>
      <c r="O10" s="43" t="str">
        <f>IFS(OR(COUNTIF(Info!$A$22:A81,C10)&gt;0,C10=""),"",
OR("3x3 MBLD"=C10,"3x3 FMC"=C10)=TRUE,"",
D10=$E$4,$G$6,D10=$K$4,$M$6,D10=$Q$4,$S$6,D10=$W$4,$Y$6,
TRUE,$S$2)</f>
        <v/>
      </c>
      <c r="P10" s="43" t="str">
        <f>IFS(OR(COUNTIF(Info!$A$22:A81,C10)&gt;0,C10=""),"",
OR("3x3 MBLD"=C10,"3x3 FMC"=C10)=TRUE,"",
D10=$E$4,$E$6,D10=$K$4,$K$6,D10=$Q$4,$Q$6,D10=$W$4,$W$6,
TRUE,$Q$2)</f>
        <v/>
      </c>
      <c r="Q10" s="44" t="str">
        <f>IFS(OR(COUNTIF(Info!$A$22:A81,C10)&gt;0,C10=""),"",
OR("3x3 MBLD"=C10,"3x3 FMC"=C10)=TRUE,"",
D10=$E$4,$I$6,D10=$K$4,$O$6,D10=$Q$4,$U$6,D10=$W$4,$AA$6,
TRUE,$U$2)</f>
        <v/>
      </c>
      <c r="R10" s="45" t="str">
        <f>IFERROR(__xludf.DUMMYFUNCTION("IF(C10="""","""",IFERROR(FILTER(Info!$B$22:B81,Info!$A$22:A81=C10)+M10,""?""))"),"")</f>
        <v/>
      </c>
      <c r="S10" s="46" t="str">
        <f>IFS(OR(COUNTIF(Info!$A$22:A81,C10)&gt;0,C10=""),"",
AND(H10="",I10=""),J10,
TRUE,"?")</f>
        <v/>
      </c>
      <c r="T10" s="45" t="str">
        <f>IFS(OR(COUNTIF(Info!$A$22:A81,C10)&gt;0,C10=""),"",
AND(L10&lt;&gt;0,OR(R10="?",R10="")),"Fyll i R-kolumnen",
OR(C10="3x3 FMC",C10="3x3 MBLD"),R10,
AND(L10&lt;&gt;0,OR(S10="?",S10="")),"Fyll i S-kolumnen",
OR(COUNTIF(Info!$A$22:A81,C10)&gt;0,C10=""),"",
TRUE,Y10*R10/L10)</f>
        <v/>
      </c>
      <c r="U10" s="45"/>
      <c r="V10" s="47" t="str">
        <f>IFS(OR(COUNTIF(Info!$A$22:A81,C10)&gt;0,C10=""),"",
OR("3x3 MBLD"=C10,"3x3 FMC"=C10)=TRUE,"",
TRUE,MROUND((J10/N10),0.01))</f>
        <v/>
      </c>
      <c r="W10" s="48" t="str">
        <f>IFS(OR(COUNTIF(Info!$A$22:A81,C10)&gt;0,C10=""),"",
TRUE,L10/N10)</f>
        <v/>
      </c>
      <c r="X10" s="49" t="str">
        <f>IFS(OR(COUNTIF(Info!$A$22:A81,C10)&gt;0,C10=""),"",
OR("3x3 MBLD"=C10,"3x3 FMC"=C10)=TRUE,"",
OR(C10="4x4 BLD",C10="5x5 BLD",C10="4x4 / 5x5 BLD",AND(C10="3x3 BLD",H10&lt;&gt;""))=TRUE,MIN(V10,P10),
TRUE,MIN(P10,V10,MROUND(((V10*2/3)+((Y10-1.625)/2)),0.01)))</f>
        <v/>
      </c>
      <c r="Y10" s="48" t="str">
        <f>IFERROR(__xludf.DUMMYFUNCTION("IFS(OR(COUNTIF(Info!$A$22:A81,C10)&gt;0,C10=""""),"""",
FILTER(Info!$F$2:F81, Info!$A$2:A81 = C10) = ""Yes"",H10/AA10,
""3x3 FMC""=C10,Info!$B$9,""3x3 MBLD""=C10,Info!$B$18,
AND(E10=1,I10="""",H10="""",Q10=""No"",G10&gt;SUMIF(Info!$A$2:A81,C10,Info!$B$2:B81)*1."&amp;"5),
MIN(SUMIF(Info!$A$2:A81,C10,Info!$B$2:B81)*1.1,SUMIF(Info!$A$2:A81,C10,Info!$B$2:B81)*(1.15-(0.15*(SUMIF(Info!$A$2:A81,C10,Info!$B$2:B81)*1.5)/G10))),
AND(E10=1,I10="""",H10="""",Q10=""Yes"",G10&gt;SUMIF(Info!$A$2:A81,C10,Info!$C$2:C81)*1.5),
MIN(SUMIF(I"&amp;"nfo!$A$2:A81,C10,Info!$C$2:C81)*1.1,SUMIF(Info!$A$2:A81,C10,Info!$C$2:C81)*(1.15-(0.15*(SUMIF(Info!$A$2:A81,C10,Info!$C$2:C81)*1.5)/G10))),
Q10=""No"",SUMIF(Info!$A$2:A81,C10,Info!$B$2:B81),
Q10=""Yes"",SUMIF(Info!$A$2:A81,C10,Info!$C$2:C81))"),"")</f>
        <v/>
      </c>
      <c r="Z10" s="47" t="str">
        <f>IFS(OR(COUNTIF(Info!$A$22:A81,C10)&gt;0,C10=""),"",
AND(OR("3x3 FMC"=C10,"3x3 MBLD"=C10),I10&lt;&gt;""),1,
AND(OR(H10&lt;&gt;"",I10&lt;&gt;""),F10="Avg of 5"),2,
F10="Avg of 5",AA10,
AND(OR(H10&lt;&gt;"",I10&lt;&gt;""),F10="Mean of 3",C10="6x6 / 7x7"),2,
AND(OR(H10&lt;&gt;"",I10&lt;&gt;""),F10="Mean of 3"),1,
F10="Mean of 3",AA10,
AND(OR(H10&lt;&gt;"",I10&lt;&gt;""),F10="Best of 3",C10="4x4 / 5x5 BLD"),2,
AND(OR(H10&lt;&gt;"",I10&lt;&gt;""),F10="Best of 3"),1,
F10="Best of 2",AA10,
F10="Best of 1",AA10)</f>
        <v/>
      </c>
      <c r="AA10" s="47" t="str">
        <f>IFS(OR(COUNTIF(Info!$A$22:A81,C10)&gt;0,C10=""),"",
AND(OR("3x3 MBLD"=C10,"3x3 FMC"=C10),F10="Best of 1"=TRUE),1,
AND(OR("3x3 MBLD"=C10,"3x3 FMC"=C10),F10="Best of 2"=TRUE),2,
AND(OR("3x3 MBLD"=C10,"3x3 FMC"=C10),OR(F10="Best of 3",F10="Mean of 3")=TRUE),3,
AND(F10="Mean of 3",C10="6x6 / 7x7"),6,
AND(F10="Best of 3",C10="4x4 / 5x5 BLD"),6,
F10="Avg of 5",5,F10="Mean of 3",3,F10="Best of 3",3,F10="Best of 2",2,F10="Best of 1",1)</f>
        <v/>
      </c>
      <c r="AB10" s="50"/>
    </row>
    <row r="11" ht="15.75" customHeight="1">
      <c r="A11" s="35">
        <f>IFERROR(__xludf.DUMMYFUNCTION("IFS(indirect(""A""&amp;row()-1)=""Start"",TIME(indirect(""A""&amp;row()-2),indirect(""B""&amp;row()-2),0),
$O$2=""No"",TIME(0,($A$6*60+$B$6)+CEILING(SUM($L$7:indirect(""L""&amp;row()-1)),5),0),
D11=$E$2,TIME(0,($A$6*60+$B$6)+CEILING(SUM(IFERROR(FILTER($L$7:indirect(""L"""&amp;"&amp;row()-1),REGEXMATCH($D$7:indirect(""D""&amp;row()-1),$E$2)),0)),5),0),
TRUE,""=time(hh;mm;ss)"")"),0.4166666666666667)</f>
        <v>0.4166666667</v>
      </c>
      <c r="B11" s="36">
        <f>IFERROR(__xludf.DUMMYFUNCTION("IFS($O$2=""No"",TIME(0,($A$6*60+$B$6)+CEILING(SUM($L$7:indirect(""L""&amp;row())),5),0),
D11=$E$2,TIME(0,($A$6*60+$B$6)+CEILING(SUM(FILTER($L$7:indirect(""L""&amp;row()),REGEXMATCH($D$7:indirect(""D""&amp;row()),$E$2))),5),0),
A11=""=time(hh;mm;ss)"",CONCATENATE(""Sk"&amp;"riv tid i A""&amp;row()),
AND(A11&lt;&gt;"""",A11&lt;&gt;""=time(hh;mm;ss)""),A11+TIME(0,CEILING(indirect(""L""&amp;row()),5),0))"),0.4166666666666667)</f>
        <v>0.4166666667</v>
      </c>
      <c r="C11" s="37"/>
      <c r="D11" s="38" t="str">
        <f t="shared" si="2"/>
        <v>Stora salen</v>
      </c>
      <c r="E11" s="38" t="str">
        <f>IFERROR(__xludf.DUMMYFUNCTION("IFS(COUNTIF(Info!$A$22:A81,C11)&gt;0,"""",
AND(OR(""3x3 FMC""=C11,""3x3 MBLD""=C11),COUNTIF($C$7:indirect(""C""&amp;row()),indirect(""C""&amp;row()))&gt;=13),""E - Error"",
AND(OR(""3x3 FMC""=C11,""3x3 MBLD""=C11),COUNTIF($C$7:indirect(""C""&amp;row()),indirect(""C""&amp;row()"&amp;"))=12),""Final - A3"",
AND(OR(""3x3 FMC""=C11,""3x3 MBLD""=C11),COUNTIF($C$7:indirect(""C""&amp;row()),indirect(""C""&amp;row()))=11),""Final - A2"",
AND(OR(""3x3 FMC""=C11,""3x3 MBLD""=C11),COUNTIF($C$7:indirect(""C""&amp;row()),indirect(""C""&amp;row()))=10),""Final - "&amp;"A1"",
AND(OR(""3x3 FMC""=C11,""3x3 MBLD""=C11),COUNTIF($C$7:indirect(""C""&amp;row()),indirect(""C""&amp;row()))=9,
COUNTIF($C$7:$C$102,indirect(""C""&amp;row()))&gt;9),""R3 - A3"",
AND(OR(""3x3 FMC""=C11,""3x3 MBLD""=C11),COUNTIF($C$7:indirect(""C""&amp;row()),indirect(""C"&amp;"""&amp;row()))=9,
COUNTIF($C$7:$C$102,indirect(""C""&amp;row()))&lt;=9),""Final - A3"",
AND(OR(""3x3 FMC""=C11,""3x3 MBLD""=C11),COUNTIF($C$7:indirect(""C""&amp;row()),indirect(""C""&amp;row()))=8,
COUNTIF($C$7:$C$102,indirect(""C""&amp;row()))&gt;9),""R3 - A2"",
AND(OR(""3x3 FMC"&amp;"""=C11,""3x3 MBLD""=C11),COUNTIF($C$7:indirect(""C""&amp;row()),indirect(""C""&amp;row()))=8,
COUNTIF($C$7:$C$102,indirect(""C""&amp;row()))&lt;=9),""Final - A2"",
AND(OR(""3x3 FMC""=C11,""3x3 MBLD""=C11),COUNTIF($C$7:indirect(""C""&amp;row()),indirect(""C""&amp;row()))=7,
COUN"&amp;"TIF($C$7:$C$102,indirect(""C""&amp;row()))&gt;9),""R3 - A1"",
AND(OR(""3x3 FMC""=C11,""3x3 MBLD""=C11),COUNTIF($C$7:indirect(""C""&amp;row()),indirect(""C""&amp;row()))=7,
COUNTIF($C$7:$C$102,indirect(""C""&amp;row()))&lt;=9),""Final - A1"",
AND(OR(""3x3 FMC""=C11,""3x3 MBLD"""&amp;"=C11),COUNTIF($C$7:indirect(""C""&amp;row()),indirect(""C""&amp;row()))=6,
COUNTIF($C$7:$C$102,indirect(""C""&amp;row()))&gt;6),""R2 - A3"",
AND(OR(""3x3 FMC""=C11,""3x3 MBLD""=C11),COUNTIF($C$7:indirect(""C""&amp;row()),indirect(""C""&amp;row()))=6,
COUNTIF($C$7:$C$102,indirec"&amp;"t(""C""&amp;row()))&lt;=6),""Final - A3"",
AND(OR(""3x3 FMC""=C11,""3x3 MBLD""=C11),COUNTIF($C$7:indirect(""C""&amp;row()),indirect(""C""&amp;row()))=5,
COUNTIF($C$7:$C$102,indirect(""C""&amp;row()))&gt;6),""R2 - A2"",
AND(OR(""3x3 FMC""=C11,""3x3 MBLD""=C11),COUNTIF($C$7:indi"&amp;"rect(""C""&amp;row()),indirect(""C""&amp;row()))=5,
COUNTIF($C$7:$C$102,indirect(""C""&amp;row()))&lt;=6),""Final - A2"",
AND(OR(""3x3 FMC""=C11,""3x3 MBLD""=C11),COUNTIF($C$7:indirect(""C""&amp;row()),indirect(""C""&amp;row()))=4,
COUNTIF($C$7:$C$102,indirect(""C""&amp;row()))&gt;6),"&amp;"""R2 - A1"",
AND(OR(""3x3 FMC""=C11,""3x3 MBLD""=C11),COUNTIF($C$7:indirect(""C""&amp;row()),indirect(""C""&amp;row()))=4,
COUNTIF($C$7:$C$102,indirect(""C""&amp;row()))&lt;=6),""Final - A1"",
AND(OR(""3x3 FMC""=C11,""3x3 MBLD""=C11),COUNTIF($C$7:indirect(""C""&amp;row()),i"&amp;"ndirect(""C""&amp;row()))=3),""R1 - A3"",
AND(OR(""3x3 FMC""=C11,""3x3 MBLD""=C11),COUNTIF($C$7:indirect(""C""&amp;row()),indirect(""C""&amp;row()))=2),""R1 - A2"",
AND(OR(""3x3 FMC""=C11,""3x3 MBLD""=C11),COUNTIF($C$7:indirect(""C""&amp;row()),indirect(""C""&amp;row()))=1),"&amp;"""R1 -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C11),ROUNDUP((FILTER(Info!$H$2:H81,Info!$A$2:A81=C11)/FILTER(Info!$H$2:H81,Info!$A$2:A81=$K$2))*$I$2)&gt;99),3,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C11),ROUNDUP((FILTER(Info!$H$2:H81,Info!$A$2:A81=C11)/FILTER(Info!$H$2:H81,Info!$A$2:A81=$K$2))*$I$2)&gt;15),2,
AND(COUNTIF($C$7:indirect(""C""&amp;row()),indirect(""C""&amp;row()))=2,COUNTIF($C$7:$C$102,indirect(""C""&amp;row()))=COUNTIF($"&amp;"C$7:indirect(""C""&amp;row()),indirect(""C""&amp;row()))),""Final"",
COUNTIF($C$7:indirect(""C""&amp;row()),indirect(""C""&amp;row()))=1,1,
COUNTIF($C$7:indirect(""C""&amp;row()),indirect(""C""&amp;row()))=0,"""")"),"")</f>
        <v/>
      </c>
      <c r="F11" s="39" t="str">
        <f>IFERROR(__xludf.DUMMYFUNCTION("IFS(C11="""","""",
AND(C11=""3x3 FMC"",MOD(COUNTIF($C$7:indirect(""C""&amp;row()),indirect(""C""&amp;row())),3)=0),""Mean of 3"",
AND(C11=""3x3 MBLD"",MOD(COUNTIF($C$7:indirect(""C""&amp;row()),indirect(""C""&amp;row())),3)=0),""Best of 3"",
AND(C11=""3x3 FMC"",MOD(COUNT"&amp;"IF($C$7:indirect(""C""&amp;row()),indirect(""C""&amp;row())),3)=2,
COUNTIF($C$7:$C$102,indirect(""C""&amp;row()))&lt;=COUNTIF($C$7:indirect(""C""&amp;row()),indirect(""C""&amp;row()))),""Best of 2"",
AND(C11=""3x3 FMC"",MOD(COUNTIF($C$7:indirect(""C""&amp;row()),indirect(""C""&amp;row("&amp;"))),3)=2,
COUNTIF($C$7:$C$102,indirect(""C""&amp;row()))&gt;COUNTIF($C$7:indirect(""C""&amp;row()),indirect(""C""&amp;row()))),""Mean of 3"",
AND(C11=""3x3 MBLD"",MOD(COUNTIF($C$7:indirect(""C""&amp;row()),indirect(""C""&amp;row())),3)=2,
COUNTIF($C$7:$C$102,indirect(""C""&amp;row("&amp;")))&lt;=COUNTIF($C$7:indirect(""C""&amp;row()),indirect(""C""&amp;row()))),""Best of 2"",
AND(C11=""3x3 MBLD"",MOD(COUNTIF($C$7:indirect(""C""&amp;row()),indirect(""C""&amp;row())),3)=2,
COUNTIF($C$7:$C$102,indirect(""C""&amp;row()))&gt;COUNTIF($C$7:indirect(""C""&amp;row()),indirect("&amp;"""C""&amp;row()))),""Best of 3"",
AND(C11=""3x3 FMC"",MOD(COUNTIF($C$7:indirect(""C""&amp;row()),indirect(""C""&amp;row())),3)=1,
COUNTIF($C$7:$C$102,indirect(""C""&amp;row()))&lt;=COUNTIF($C$7:indirect(""C""&amp;row()),indirect(""C""&amp;row()))),""Best of 1"",
AND(C11=""3x3 FMC"""&amp;",MOD(COUNTIF($C$7:indirect(""C""&amp;row()),indirect(""C""&amp;row())),3)=1,
COUNTIF($C$7:$C$102,indirect(""C""&amp;row()))=COUNTIF($C$7:indirect(""C""&amp;row()),indirect(""C""&amp;row()))+1),""Best of 2"",
AND(C11=""3x3 FMC"",MOD(COUNTIF($C$7:indirect(""C""&amp;row()),indirect"&amp;"(""C""&amp;row())),3)=1,
COUNTIF($C$7:$C$102,indirect(""C""&amp;row()))&gt;COUNTIF($C$7:indirect(""C""&amp;row()),indirect(""C""&amp;row()))),""Mean of 3"",
AND(C11=""3x3 MBLD"",MOD(COUNTIF($C$7:indirect(""C""&amp;row()),indirect(""C""&amp;row())),3)=1,
COUNTIF($C$7:$C$102,indirect"&amp;"(""C""&amp;row()))&lt;=COUNTIF($C$7:indirect(""C""&amp;row()),indirect(""C""&amp;row()))),""Best of 1"",
AND(C11=""3x3 MBLD"",MOD(COUNTIF($C$7:indirect(""C""&amp;row()),indirect(""C""&amp;row())),3)=1,
COUNTIF($C$7:$C$102,indirect(""C""&amp;row()))=COUNTIF($C$7:indirect(""C""&amp;row()"&amp;"),indirect(""C""&amp;row()))+1),""Best of 2"",
AND(C11=""3x3 MBLD"",MOD(COUNTIF($C$7:indirect(""C""&amp;row()),indirect(""C""&amp;row())),3)=1,
COUNTIF($C$7:$C$102,indirect(""C""&amp;row()))&gt;COUNTIF($C$7:indirect(""C""&amp;row()),indirect(""C""&amp;row()))),""Best of 3"",
TRUE,("&amp;"IFERROR(FILTER(Info!$D$2:D81, Info!$A$2:A81 = C11), """")))"),"")</f>
        <v/>
      </c>
      <c r="G11" s="40" t="str">
        <f>IFERROR(__xludf.DUMMYFUNCTION("IFS(OR(COUNTIF(Info!$A$22:A81,C11)&gt;0,C11=""""),"""",
OR(""3x3 MBLD""=C11,""3x3 FMC""=C11),60,
AND(E11=1,FILTER(Info!$F$2:F81, Info!$A$2:A81 = C11) = ""No""),FILTER(Info!$P$2:P81, Info!$A$2:A81 = C11),
AND(E11=2,FILTER(Info!$F$2:F81, Info!$A$2:A81 = C11) ="&amp;" ""No""),FILTER(Info!$Q$2:Q81, Info!$A$2:A81 = C11),
AND(E11=3,FILTER(Info!$F$2:F81, Info!$A$2:A81 = C11) = ""No""),FILTER(Info!$R$2:R81, Info!$A$2:A81 = C11),
AND(E11=""Final"",FILTER(Info!$F$2:F81, Info!$A$2:A81 = C11) = ""No""),FILTER(Info!$S$2:S81, In"&amp;"fo!$A$2:A81 = C11),
FILTER(Info!$F$2:F81, Info!$A$2:A81 = C11) = ""Yes"","""")"),"")</f>
        <v/>
      </c>
      <c r="H11" s="40" t="str">
        <f>IFERROR(__xludf.DUMMYFUNCTION("IFS(OR(COUNTIF(Info!$A$22:A81,C11)&gt;0,C11=""""),"""",
OR(""3x3 MBLD""=C11,""3x3 FMC""=C11)=TRUE,"""",
FILTER(Info!$F$2:F81, Info!$A$2:A81 = C11) = ""Yes"",FILTER(Info!$O$2:O81, Info!$A$2:A81 = C11),
FILTER(Info!$F$2:F81, Info!$A$2:A81 = C11) = ""No"",IF(G1"&amp;"1="""",FILTER(Info!$O$2:O81, Info!$A$2:A81 = C11),""""))"),"")</f>
        <v/>
      </c>
      <c r="I11" s="40" t="str">
        <f>IFERROR(__xludf.DUMMYFUNCTION("IFS(OR(COUNTIF(Info!$A$22:A81,C11)&gt;0,C11="""",H11&lt;&gt;""""),"""",
AND(E11&lt;&gt;1,E11&lt;&gt;""R1 - A1"",E11&lt;&gt;""R1 - A2"",E11&lt;&gt;""R1 - A3""),"""",
FILTER(Info!$E$2:E81, Info!$A$2:A81 = C11) = ""Yes"",IF(H11="""",FILTER(Info!$L$2:L81, Info!$A$2:A81 = C11),""""),
FILTER(I"&amp;"nfo!$E$2:E81, Info!$A$2:A81 = C11) = ""No"","""")"),"")</f>
        <v/>
      </c>
      <c r="J11" s="40" t="str">
        <f>IFERROR(__xludf.DUMMYFUNCTION("IFS(OR(COUNTIF(Info!$A$22:A81,C11)&gt;0,C11="""",""3x3 MBLD""=C11,""3x3 FMC""=C11),"""",
AND(E11=1,FILTER(Info!$H$2:H81,Info!$A$2:A81 = C11)&lt;=FILTER(Info!$H$2:H81,Info!$A$2:A81=$K$2)),
ROUNDUP((FILTER(Info!$H$2:H81,Info!$A$2:A81 = C11)/FILTER(Info!$H$2:H81,I"&amp;"nfo!$A$2:A81=$K$2))*$I$2),
AND(E11=1,FILTER(Info!$H$2:H81,Info!$A$2:A81 = C11)&gt;FILTER(Info!$H$2:H81,Info!$A$2:A81=$K$2)),""K2 - Error"",
AND(E11=2,FILTER($J$7:indirect(""J""&amp;row()-1),$C$7:indirect(""C""&amp;row()-1)=C11)&lt;=7),""J - Error"",
E11=2,FLOOR(FILTER("&amp;"$J$7:indirect(""J""&amp;row()-1),$C$7:indirect(""C""&amp;row()-1)=C11)*Info!$T$32),
AND(E11=3,FILTER($J$7:indirect(""J""&amp;row()-1),$C$7:indirect(""C""&amp;row()-1)=C11)&lt;=15),""J - Error"",
E11=3,FLOOR(Info!$T$32*FLOOR(FILTER($J$7:indirect(""J""&amp;row()-1),$C$7:indirect("&amp;"""C""&amp;row()-1)=C11)*Info!$T$32)),
AND(E11=""Final"",COUNTIF($C$7:$C$102,C11)=2,FILTER($J$7:indirect(""J""&amp;row()-1),$C$7:indirect(""C""&amp;row()-1)=C11)&lt;=7),""J - Error"",
AND(E11=""Final"",COUNTIF($C$7:$C$102,C11)=2),
MIN(P11,FLOOR(FILTER($J$7:indirect(""J"""&amp;"&amp;row()-1),$C$7:indirect(""C""&amp;row()-1)=C11)*Info!$T$32)),
AND(E11=""Final"",COUNTIF($C$7:$C$102,C11)=3,FILTER($J$7:indirect(""J""&amp;row()-1),$C$7:indirect(""C""&amp;row()-1)=C11)&lt;=15),""J - Error"",
AND(E11=""Final"",COUNTIF($C$7:$C$102,C11)=3),
MIN(P11,FLOOR(I"&amp;"nfo!$T$32*FLOOR(FILTER($J$7:indirect(""J""&amp;row()-1),$C$7:indirect(""C""&amp;row()-1)=C11)*Info!$T$32))),
AND(E11=""Final"",COUNTIF($C$7:$C$102,C11)&gt;=4,FILTER($J$7:indirect(""J""&amp;row()-1),$C$7:indirect(""C""&amp;row()-1)=C11)&lt;=99),""J - Error"",
AND(E11=""Final"","&amp;"COUNTIF($C$7:$C$102,C11)&gt;=4),
MIN(P11,FLOOR(Info!$T$32*FLOOR(Info!$T$32*FLOOR(FILTER($J$7:indirect(""J""&amp;row()-1),$C$7:indirect(""C""&amp;row()-1)=C11)*Info!$T$32)))))"),"")</f>
        <v/>
      </c>
      <c r="K11" s="41" t="str">
        <f>IFERROR(__xludf.DUMMYFUNCTION("IFS(AND(indirect(""D""&amp;row()+2)&lt;&gt;$E$2,indirect(""D""&amp;row()+1)=""""),CONCATENATE(""Tom rad! Kopiera hela rad ""&amp;row()&amp;"" dit""),
AND(indirect(""D""&amp;row()-1)&lt;&gt;""Rum"",indirect(""D""&amp;row()-1)=""""),CONCATENATE(""Tom rad! Kopiera hela rad ""&amp;row()&amp;"" dit""),
"&amp;"C11="""","""",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OR(AND(D11&lt;&gt;$E$2,D11&lt;&gt;$E$4,D11&lt;&gt;$K$4,D11&lt;&gt;$Q$4),D11="&amp;"""""),CONCATENATE(""Rum: ""&amp;D11&amp;"" finns ej, byt i D""&amp;row()),
AND(indirect(""D""&amp;row()-1)=""Rum"",C11=""""),CONCATENATE(""För att börja: skriv i cell C""&amp;row()),
AND(C11=""Paus"",M11&lt;=0),CONCATENATE(""Skriv pausens längd i M""&amp;row()),
OR(COUNTIF(Info!$A$"&amp;"22:A81,C11)&gt;0,C11=""""),"""",
AND(D11&lt;&gt;$E$2,$O$2=""Yes"",A11=""=time(hh;mm;ss)""),CONCATENATE(""Skriv starttid för ""&amp;C11&amp;"" i A""&amp;row()),
E11=""E - Error"",CONCATENATE(""För många ""&amp;C11&amp;"" rundor!""),
AND(C11&lt;&gt;""3x3 FMC"",C11&lt;&gt;""3x3 MBLD"",E11&lt;&gt;1,E11&lt;&gt;"&amp;"""Final"",IFERROR(FILTER($E$7:indirect(""E""&amp;row()-1),
$E$7:indirect(""E""&amp;row()-1)=E11-1,$C$7:indirect(""C""&amp;row()-1)=C11))=FALSE),CONCATENATE(""Kan ej vara R""&amp;E11&amp;"", saknar R""&amp;(E11-1)),
AND(indirect(""E""&amp;row()-1)&lt;&gt;""Omgång"",IFERROR(FILTER($E$7:indi"&amp;"rect(""E""&amp;row()-1),
$E$7:indirect(""E""&amp;row()-1)=E11,$C$7:indirect(""C""&amp;row()-1)=C11)=E11)=TRUE),CONCATENATE(""Runda ""&amp;E11&amp;"" i ""&amp;C11&amp;"" finns redan""),
AND(C11&lt;&gt;""3x3 BLD"",C11&lt;&gt;""4x4 BLD"",C11&lt;&gt;""5x5 BLD"",C11&lt;&gt;""4x4 / 5x5 BLD"",OR(E11=2,E11=3,E11="&amp;"""Final""),H11&lt;&gt;""""),CONCATENATE(E11&amp;""-rundor brukar ej ha c.t.l.""),
AND(OR(E11=2,E11=3,E11=""Final""),I11&lt;&gt;""""),CONCATENATE(E11&amp;""-rundor brukar ej ha cutoff""),
AND(OR(C11=""3x3 FMC"",C11=""3x3 MBLD""),OR(E11=1,E11=2,E11=3,E11=""Final"")),CONCATENAT"&amp;"E(C11&amp;""s omgång är Rx - Ax""),
AND(C11&lt;&gt;""3x3 MBLD"",C11&lt;&gt;""3x3 FMC"",FILTER(Info!$D$2:D81, Info!$A$2:A81 = C11)&lt;&gt;F11),CONCATENATE(C11&amp;"" måste ha formatet ""&amp;FILTER(Info!$D$2:D81, Info!$A$2:A81 = C11)),
AND(C11=""3x3 MBLD"",OR(F11=""Avg of 5"",F11=""Mea"&amp;"n of 3"")),CONCATENATE(""Ogiltigt format för ""&amp;C11),
AND(C11=""3x3 FMC"",OR(F11=""Avg of 5"",F11=""Best of 3"")),CONCATENATE(""Ogiltigt format för ""&amp;C11),
AND(OR(F11=""Best of 1"",F11=""Best of 2"",F11=""Best of 3""),I11&lt;&gt;""""),CONCATENATE(F11&amp;""-rundor"&amp;" får ej ha cutoff""),
AND(OR(C11=""3x3 FMC"",C11=""3x3 MBLD""),G11&lt;&gt;60),CONCATENATE(C11&amp;"" måste ha time limit: 60""),
AND(OR(C11=""3x3 FMC"",C11=""3x3 MBLD""),H11&lt;&gt;""""),CONCATENATE(C11&amp;"" kan inte ha c.t.l.""),
AND(G11&lt;&gt;"""",H11&lt;&gt;""""),""Välj time limit"&amp;" ELLER c.t.l"",
AND(C11=""6x6 / 7x7"",G11="""",H11=""""),""Sätt time limit (x / y) eller c.t.l (z)"",
AND(G11="""",H11=""""),""Sätt en time limit eller c.t.l"",
AND(OR(C11=""6x6 / 7x7"",C11=""4x4 / 5x5 BLD""),G11&lt;&gt;"""",REGEXMATCH(TO_TEXT(G11),"" / "")=FAL"&amp;"SE),CONCATENATE(""Time limit måste vara x / y""),
AND(H11&lt;&gt;"""",I11&lt;&gt;""""),CONCATENATE(C11&amp;"" brukar ej ha cutoff OCH c.t.l""),
AND(E11=1,H11="""",I11="""",OR(FILTER(Info!$E$2:E81, Info!$A$2:A81 = C11) = ""Yes"",FILTER(Info!$F$2:F81, Info!$A$2:A81 = C11) "&amp;"= ""Yes""),OR(F11=""Avg of 5"",F11=""Mean of 3"")),CONCATENATE(C11&amp;"" bör ha cutoff eller c.t.l""),
AND(C11=""6x6 / 7x7"",I11&lt;&gt;"""",REGEXMATCH(TO_TEXT(I11),"" / "")=FALSE),CONCATENATE(""Cutoff måste vara x / y""),
AND(H11&lt;&gt;"""",ISNUMBER(H11)=FALSE),""C.t."&amp;"l. måste vara positivt tal (x)"",
AND(C11&lt;&gt;""6x6 / 7x7"",I11&lt;&gt;"""",ISNUMBER(I11)=FALSE),""Cutoff måste vara positivt tal (x)"",
AND(H11&lt;&gt;"""",FILTER(Info!$E$2:E81, Info!$A$2:A81 = C11) = ""No"",FILTER(Info!$F$2:F81, Info!$A$2:A81 = C11) = ""No""),CONCATEN"&amp;"ATE(C11&amp;"" brukar inte ha c.t.l.""),
AND(I11&lt;&gt;"""",FILTER(Info!$E$2:E81, Info!$A$2:A81 = C11) = ""No"",FILTER(Info!$F$2:F81, Info!$A$2:A81 = C11) = ""No""),CONCATENATE(C11&amp;"" brukar inte ha cutoff""),
AND(H11="""",FILTER(Info!$F$2:F81, Info!$A$2:A81 = C11"&amp;") = ""Yes""),CONCATENATE(C11&amp;"" brukar ha c.t.l.""),
AND(C11&lt;&gt;""6x6 / 7x7"",C11&lt;&gt;""4x4 / 5x5 BLD"",G11&lt;&gt;"""",ISNUMBER(G11)=FALSE),""Time limit måste vara positivt tal (x)"",
J11=""J - Error"",CONCATENATE(""För få deltagare i R1 för ""&amp;COUNTIF($C$7:$C$102,"&amp;"indirect(""C""&amp;row()))&amp;"" rundor""),
J11=""K2 - Error"",CONCATENATE(C11&amp;"" är mer populär - byt i K2!""),
AND(C11&lt;&gt;""6x6 / 7x7"",C11&lt;&gt;""4x4 / 5x5 BLD"",G11&lt;&gt;"""",I11&lt;&gt;"""",G11&lt;=I11),""Time limit måste vara &gt; cutoff"",
AND(C11&lt;&gt;""6x6 / 7x7"",C11&lt;&gt;""4x4 / 5"&amp;"x5 BLD"",H11&lt;&gt;"""",I11&lt;&gt;"""",H11&lt;=I11),""C.t.l. måste vara &gt; cutoff"",
AND(C11&lt;&gt;""3x3 FMC"",C11&lt;&gt;""3x3 MBLD"",J11=""""),CONCATENATE(""Fyll i antal deltagare i J""&amp;row()),
AND(C11="""",OR(E11&lt;&gt;"""",F11&lt;&gt;"""",G11&lt;&gt;"""",H11&lt;&gt;"""",I11&lt;&gt;"""",J11&lt;&gt;"""")),""Skri"&amp;"v ALLTID gren / aktivitet först"",
AND(I11="""",H11="""",J11&lt;&gt;""""),J11,
OR(""3x3 FMC""=C11,""3x3 MBLD""=C11),J11,
AND(I11&lt;&gt;"""",""6x6 / 7x7""=C11),
IFS(ArrayFormula(SUM(IFERROR(SPLIT(I11,"" / ""))))&lt;(Info!$J$6+Info!$J$7)*2/3,CONCATENATE(""Höj helst cutof"&amp;"fs i ""&amp;C11),
ArrayFormula(SUM(IFERROR(SPLIT(I11,"" / ""))))&lt;=(Info!$J$6+Info!$J$7),ROUNDUP(J11*Info!$J$22),
ArrayFormula(SUM(IFERROR(SPLIT(I11,"" / ""))))&lt;=Info!$J$6+Info!$J$7,ROUNDUP(J11*Info!$K$22),
ArrayFormula(SUM(IFERROR(SPLIT(I11,"" / ""))))&lt;=Info!"&amp;"$K$6+Info!$K$7,ROUNDUP(J11*Info!L$22),
ArrayFormula(SUM(IFERROR(SPLIT(I11,"" / ""))))&lt;=Info!$L$6+Info!$L$7,ROUNDUP(J11*Info!$M$22),
ArrayFormula(SUM(IFERROR(SPLIT(I11,"" / ""))))&lt;=Info!$M$6+Info!$M$7,ROUNDUP(J11*Info!$N$22),
ArrayFormula(SUM(IFERROR(SPLIT"&amp;"(I11,"" / ""))))&lt;=(Info!$N$6+Info!$N$7)*3/2,ROUNDUP(J11*Info!$J$26),
ArrayFormula(SUM(IFERROR(SPLIT(I11,"" / ""))))&gt;(Info!$N$6+Info!$N$7)*3/2,CONCATENATE(""Sänk helst cutoffs i ""&amp;C11)),
AND(I11&lt;&gt;"""",FILTER(Info!$E$2:E81, Info!$A$2:A81 = C11) = ""Yes""),"&amp;"
IFS(I11&lt;FILTER(Info!$J$2:J81, Info!$A$2:A81 = C11)*2/3,CONCATENATE(""Höj helst cutoff i ""&amp;C11),
I11&lt;=FILTER(Info!$J$2:J81, Info!$A$2:A81 = C11),ROUNDUP(J11*Info!$J$22),
I11&lt;=FILTER(Info!$K$2:K81, Info!$A$2:A81 = C11),ROUNDUP(J11*Info!$K$22),
I11&lt;=FILTER"&amp;"(Info!$L$2:L81, Info!$A$2:A81 = C11),ROUNDUP(J11*Info!L$22),
I11&lt;=FILTER(Info!$M$2:M81, Info!$A$2:A81 = C11),ROUNDUP(J11*Info!$M$22),
I11&lt;=FILTER(Info!$N$2:N81, Info!$A$2:A81 = C11),ROUNDUP(J11*Info!$N$22),
I11&lt;=FILTER(Info!$N$2:N81, Info!$A$2:A81 = C11)*"&amp;"3/2,ROUNDUP(J11*Info!$J$26),
I11&gt;FILTER(Info!$N$2:N81, Info!$A$2:A81 = C11)*3/2,CONCATENATE(""Sänk helst cutoff i ""&amp;C11)),
AND(H11&lt;&gt;"""",""6x6 / 7x7""=C11),
IFS(H11/3&lt;=(Info!$J$6+Info!$J$7)*2/3,""Höj helst cumulative time limit"",
H11/3&lt;=Info!$J$6+Info!$"&amp;"J$7,ROUNDUP(J11*Info!$J$24),
H11/3&lt;=Info!$K$6+Info!$K$7,ROUNDUP(J11*Info!$K$24),
H11/3&lt;=Info!$L$6+Info!$L$7,ROUNDUP(J11*Info!L$24),
H11/3&lt;=Info!$M$6+Info!$M$7,ROUNDUP(J11*Info!$M$24),
H11/3&lt;=Info!$N$6+Info!$N$7,ROUNDUP(J11*Info!$N$24),
H11/3&lt;=(Info!$N$6+I"&amp;"nfo!$N$7)*3/2,ROUNDUP(J11*Info!$L$26),
H11/3&gt;(Info!$J$6+Info!$J$7)*3/2,""Sänk helst cumulative time limit""),
AND(H11&lt;&gt;"""",FILTER(Info!$F$2:F81, Info!$A$2:A81 = C11) = ""Yes""),
IFS(H11&lt;=FILTER(Info!$J$2:J81, Info!$A$2:A81 = C11)*2/3,CONCATENATE(""Höj he"&amp;"lst c.t.l. i ""&amp;C11),
H11&lt;=FILTER(Info!$J$2:J81, Info!$A$2:A81 = C11),ROUNDUP(J11*Info!$J$24),
H11&lt;=FILTER(Info!$K$2:K81, Info!$A$2:A81 = C11),ROUNDUP(J11*Info!$K$24),
H11&lt;=FILTER(Info!$L$2:L81, Info!$A$2:A81 = C11),ROUNDUP(J11*Info!L$24),
H11&lt;=FILTER(Inf"&amp;"o!$M$2:M81, Info!$A$2:A81 = C11),ROUNDUP(J11*Info!$M$24),
H11&lt;=FILTER(Info!$N$2:N81, Info!$A$2:A81 = C11),ROUNDUP(J11*Info!$N$24),
H11&lt;=FILTER(Info!$N$2:N81, Info!$A$2:A81 = C11)*3/2,ROUNDUP(J11*Info!$L$26),
H11&gt;FILTER(Info!$N$2:N81, Info!$A$2:A81 = C11)*"&amp;"3/2,CONCATENATE(""Sänk helst c.t.l. i ""&amp;C11)),
AND(H11&lt;&gt;"""",FILTER(Info!$F$2:F81, Info!$A$2:A81 = C11) = ""No""),
IFS(H11/AA11&lt;=FILTER(Info!$J$2:J81, Info!$A$2:A81 = C11)*2/3,CONCATENATE(""Höj helst c.t.l. i ""&amp;C11),
H11/AA11&lt;=FILTER(Info!$J$2:J81, Info"&amp;"!$A$2:A81 = C11),ROUNDUP(J11*Info!$J$24),
H11/AA11&lt;=FILTER(Info!$K$2:K81, Info!$A$2:A81 = C11),ROUNDUP(J11*Info!$K$24),
H11/AA11&lt;=FILTER(Info!$L$2:L81, Info!$A$2:A81 = C11),ROUNDUP(J11*Info!L$24),
H11/AA11&lt;=FILTER(Info!$M$2:M81, Info!$A$2:A81 = C11),ROUND"&amp;"UP(J11*Info!$M$24),
H11/AA11&lt;=FILTER(Info!$N$2:N81, Info!$A$2:A81 = C11),ROUNDUP(J11*Info!$N$24),
H11/AA11&lt;=FILTER(Info!$N$2:N81, Info!$A$2:A81 = C11)*3/2,ROUNDUP(J11*Info!$L$26),
H11/AA11&gt;FILTER(Info!$N$2:N81, Info!$A$2:A81 = C11)*3/2,CONCATENATE(""Sänk "&amp;"helst c.t.l. i ""&amp;C11)),
AND(I11="""",H11&lt;&gt;"""",J11&lt;&gt;""""),ROUNDUP(J11*Info!$T$29),
AND(I11&lt;&gt;"""",H11="""",J11&lt;&gt;""""),ROUNDUP(J11*Info!$T$26))"),"")</f>
        <v/>
      </c>
      <c r="L11" s="42">
        <f>IFERROR(__xludf.DUMMYFUNCTION("IFS(C11="""",0,
C11=""3x3 FMC"",Info!$B$9*N11+M11, C11=""3x3 MBLD"",Info!$B$18*N11+M11,
COUNTIF(Info!$A$22:A81,C11)&gt;0,FILTER(Info!$B$22:B81,Info!$A$22:A81=C11)+M11,
AND(C11&lt;&gt;"""",E11=""""),CONCATENATE(""Fyll i E""&amp;row()),
AND(C11&lt;&gt;"""",E11&lt;&gt;"""",E11&lt;&gt;1,E1"&amp;"1&lt;&gt;2,E11&lt;&gt;3,E11&lt;&gt;""Final""),CONCATENATE(""Fel format på E""&amp;row()),
K11=CONCATENATE(""Runda ""&amp;E11&amp;"" i ""&amp;C11&amp;"" finns redan""),CONCATENATE(""Fel i E""&amp;row()),
AND(C11&lt;&gt;"""",F11=""""),CONCATENATE(""Fyll i F""&amp;row()),
K11=CONCATENATE(C11&amp;"" måste ha forma"&amp;"tet ""&amp;FILTER(Info!$D$2:D81, Info!$A$2:A81 = C11)),CONCATENATE(""Fel format på F""&amp;row()),
AND(C11&lt;&gt;"""",D11=1,H11="""",FILTER(Info!$F$2:F81, Info!$A$2:A81 = C11) = ""Yes""),CONCATENATE(""Fyll i H""&amp;row()),
AND(C11&lt;&gt;"""",D11=1,I11="""",FILTER(Info!$E$2:E8"&amp;"1, Info!$A$2:A81 = C11) = ""Yes""),CONCATENATE(""Fyll i I""&amp;row()),
AND(C11&lt;&gt;"""",J11=""""),CONCATENATE(""Fyll i J""&amp;row()),
AND(C11&lt;&gt;"""",K11="""",OR(H11&lt;&gt;"""",I11&lt;&gt;"""")),CONCATENATE(""Fyll i K""&amp;row()),
AND(C11&lt;&gt;"""",K11=""""),CONCATENATE(""Skriv samma"&amp;" i K""&amp;row()&amp;"" som i J""&amp;row()),
AND(OR(C11=""4x4 BLD"",C11=""5x5 BLD"",C11=""4x4 / 5x5 BLD"")=TRUE,V11&lt;=P11),
MROUND(H11*(Info!$T$20-((Info!$T$20-1)/2)*(1-V11/P11))*(1+((J11/K11)-1)*(1-Info!$J$24))*N11+(Info!$T$11/2)+(N11*Info!$T$11)+(N11*Info!$T$14*(O1"&amp;"1-1)),0.01)+M11,
AND(OR(C11=""4x4 BLD"",C11=""5x5 BLD"",C11=""4x4 / 5x5 BLD"")=TRUE,V11&gt;P11),
MROUND((((J11*Z11+K11*(AA11-Z11))*(H11*Info!$T$20/AA11))/X11)*(1+((J11/K11)-1)*(1-Info!$J$24))*(1+(X11-Info!$T$8)/100)+(Info!$T$11/2)+(N11*Info!$T$11)+(N11*Info!"&amp;"$T$14*(O11-1)),0.01)+M11,
AND(C11=""3x3 BLD"",V11&lt;=P11),
MROUND(H11*(Info!$T$23-((Info!$T$23-1)/2)*(1-V11/P11))*(1+((J11/K11)-1)*(1-Info!$J$24))*N11+(Info!$T$11/2)+(N11*Info!$T$11)+(N11*Info!$T$14*(O11-1)),0.01)+M11,
AND(C11=""3x3 BLD"",V11&gt;P11),
MROUND(("&amp;"((J11*Z11+K11*(AA11-Z11))*(H11*Info!$T$23/AA11))/X11)*(1+((J11/K11)-1)*(1-Info!$J$24))*(1+(X11-Info!$T$8)/100)+(Info!$T$11/2)+(N11*Info!$T$11)+(N11*Info!$T$14*(O11-1)),0.01)+M11,
E11=1,MROUND((((J11*Z11+K11*(AA11-Z11))*Y11)/X11)*(1+(X11-Info!$T$8)/100)+(N"&amp;"11*Info!$T$11)+(N11*Info!$T$14*(O11-1)),0.01)+M11,
AND(E11=""Final"",N11=1,FILTER(Info!$G$2:$G$20,Info!$A$2:$A$20=C11)=""Mycket svår""),
MROUND((((J11*Z11+K11*(AA11-Z11))*(Y11*Info!$T$38))/X11)*(1+(X11-Info!$T$8)/100)+(N11*Info!$T$11)+(N11*Info!$T$14*(O11"&amp;"-1)),0.01)+M11,
AND(E11=""Final"",N11=1,FILTER(Info!$G$2:$G$20,Info!$A$2:$A$20=C11)=""Svår""),
MROUND((((J11*Z11+K11*(AA11-Z11))*(Y11*Info!$T$35))/X11)*(1+(X11-Info!$T$8)/100)+(N11*Info!$T$11)+(N11*Info!$T$14*(O11-1)),0.01)+M11,
E11=""Final"",MROUND((((J1"&amp;"1*Z11+K11*(AA11-Z11))*(Y11*Info!$T$5))/X11)*(1+(X11-Info!$T$8)/100)+(N11*Info!$T$11)+(N11*Info!$T$14*(O11-1)),0.01)+M11,
OR(E11=2,E11=3),MROUND((((J11*Z11+K11*(AA11-Z11))*(Y11*Info!$T$2))/X11)*(1+(X11-Info!$T$8)/100)+(N11*Info!$T$11)+(N11*Info!$T$14*(O11-"&amp;"1)),0.01)+M11)"),0.0)</f>
        <v>0</v>
      </c>
      <c r="M11" s="43">
        <f t="shared" si="1"/>
        <v>0</v>
      </c>
      <c r="N11" s="43" t="str">
        <f>IFS(OR(COUNTIF(Info!$A$22:A81,C11)&gt;0,C11=""),"",
OR(C11="4x4 BLD",C11="5x5 BLD",C11="3x3 MBLD",C11="3x3 FMC",C11="4x4 / 5x5 BLD"),1,
AND(E11="Final",Q11="Yes",MAX(1,ROUNDUP(J11/P11))&gt;1),MAX(2,ROUNDUP(J11/P11)),
AND(E11="Final",Q11="No",MAX(1,ROUNDUP(J11/((P11*2)+2.625-Y11*1.5)))&gt;1),MAX(2,ROUNDUP(J11/((P11*2)+2.625-Y11*1.5))),
E11="Final",1,
Q11="Yes",MAX(2,ROUNDUP(J11/P11)),
TRUE,MAX(2,ROUNDUP(J11/((P11*2)+2.625-Y11*1.5))))</f>
        <v/>
      </c>
      <c r="O11" s="43" t="str">
        <f>IFS(OR(COUNTIF(Info!$A$22:A81,C11)&gt;0,C11=""),"",
OR("3x3 MBLD"=C11,"3x3 FMC"=C11)=TRUE,"",
D11=$E$4,$G$6,D11=$K$4,$M$6,D11=$Q$4,$S$6,D11=$W$4,$Y$6,
TRUE,$S$2)</f>
        <v/>
      </c>
      <c r="P11" s="43" t="str">
        <f>IFS(OR(COUNTIF(Info!$A$22:A81,C11)&gt;0,C11=""),"",
OR("3x3 MBLD"=C11,"3x3 FMC"=C11)=TRUE,"",
D11=$E$4,$E$6,D11=$K$4,$K$6,D11=$Q$4,$Q$6,D11=$W$4,$W$6,
TRUE,$Q$2)</f>
        <v/>
      </c>
      <c r="Q11" s="44" t="str">
        <f>IFS(OR(COUNTIF(Info!$A$22:A81,C11)&gt;0,C11=""),"",
OR("3x3 MBLD"=C11,"3x3 FMC"=C11)=TRUE,"",
D11=$E$4,$I$6,D11=$K$4,$O$6,D11=$Q$4,$U$6,D11=$W$4,$AA$6,
TRUE,$U$2)</f>
        <v/>
      </c>
      <c r="R11" s="45" t="str">
        <f>IFERROR(__xludf.DUMMYFUNCTION("IF(C11="""","""",IFERROR(FILTER(Info!$B$22:B81,Info!$A$22:A81=C11)+M11,""?""))"),"")</f>
        <v/>
      </c>
      <c r="S11" s="46" t="str">
        <f>IFS(OR(COUNTIF(Info!$A$22:A81,C11)&gt;0,C11=""),"",
AND(H11="",I11=""),J11,
TRUE,"?")</f>
        <v/>
      </c>
      <c r="T11" s="45" t="str">
        <f>IFS(OR(COUNTIF(Info!$A$22:A81,C11)&gt;0,C11=""),"",
AND(L11&lt;&gt;0,OR(R11="?",R11="")),"Fyll i R-kolumnen",
OR(C11="3x3 FMC",C11="3x3 MBLD"),R11,
AND(L11&lt;&gt;0,OR(S11="?",S11="")),"Fyll i S-kolumnen",
OR(COUNTIF(Info!$A$22:A81,C11)&gt;0,C11=""),"",
TRUE,Y11*R11/L11)</f>
        <v/>
      </c>
      <c r="U11" s="45"/>
      <c r="V11" s="47" t="str">
        <f>IFS(OR(COUNTIF(Info!$A$22:A81,C11)&gt;0,C11=""),"",
OR("3x3 MBLD"=C11,"3x3 FMC"=C11)=TRUE,"",
TRUE,MROUND((J11/N11),0.01))</f>
        <v/>
      </c>
      <c r="W11" s="48" t="str">
        <f>IFS(OR(COUNTIF(Info!$A$22:A81,C11)&gt;0,C11=""),"",
TRUE,L11/N11)</f>
        <v/>
      </c>
      <c r="X11" s="49" t="str">
        <f>IFS(OR(COUNTIF(Info!$A$22:A81,C11)&gt;0,C11=""),"",
OR("3x3 MBLD"=C11,"3x3 FMC"=C11)=TRUE,"",
OR(C11="4x4 BLD",C11="5x5 BLD",C11="4x4 / 5x5 BLD",AND(C11="3x3 BLD",H11&lt;&gt;""))=TRUE,MIN(V11,P11),
TRUE,MIN(P11,V11,MROUND(((V11*2/3)+((Y11-1.625)/2)),0.01)))</f>
        <v/>
      </c>
      <c r="Y11" s="48" t="str">
        <f>IFERROR(__xludf.DUMMYFUNCTION("IFS(OR(COUNTIF(Info!$A$22:A81,C11)&gt;0,C11=""""),"""",
FILTER(Info!$F$2:F81, Info!$A$2:A81 = C11) = ""Yes"",H11/AA11,
""3x3 FMC""=C11,Info!$B$9,""3x3 MBLD""=C11,Info!$B$18,
AND(E11=1,I11="""",H11="""",Q11=""No"",G11&gt;SUMIF(Info!$A$2:A81,C11,Info!$B$2:B81)*1."&amp;"5),
MIN(SUMIF(Info!$A$2:A81,C11,Info!$B$2:B81)*1.1,SUMIF(Info!$A$2:A81,C11,Info!$B$2:B81)*(1.15-(0.15*(SUMIF(Info!$A$2:A81,C11,Info!$B$2:B81)*1.5)/G11))),
AND(E11=1,I11="""",H11="""",Q11=""Yes"",G11&gt;SUMIF(Info!$A$2:A81,C11,Info!$C$2:C81)*1.5),
MIN(SUMIF(I"&amp;"nfo!$A$2:A81,C11,Info!$C$2:C81)*1.1,SUMIF(Info!$A$2:A81,C11,Info!$C$2:C81)*(1.15-(0.15*(SUMIF(Info!$A$2:A81,C11,Info!$C$2:C81)*1.5)/G11))),
Q11=""No"",SUMIF(Info!$A$2:A81,C11,Info!$B$2:B81),
Q11=""Yes"",SUMIF(Info!$A$2:A81,C11,Info!$C$2:C81))"),"")</f>
        <v/>
      </c>
      <c r="Z11" s="47" t="str">
        <f>IFS(OR(COUNTIF(Info!$A$22:A81,C11)&gt;0,C11=""),"",
AND(OR("3x3 FMC"=C11,"3x3 MBLD"=C11),I11&lt;&gt;""),1,
AND(OR(H11&lt;&gt;"",I11&lt;&gt;""),F11="Avg of 5"),2,
F11="Avg of 5",AA11,
AND(OR(H11&lt;&gt;"",I11&lt;&gt;""),F11="Mean of 3",C11="6x6 / 7x7"),2,
AND(OR(H11&lt;&gt;"",I11&lt;&gt;""),F11="Mean of 3"),1,
F11="Mean of 3",AA11,
AND(OR(H11&lt;&gt;"",I11&lt;&gt;""),F11="Best of 3",C11="4x4 / 5x5 BLD"),2,
AND(OR(H11&lt;&gt;"",I11&lt;&gt;""),F11="Best of 3"),1,
F11="Best of 2",AA11,
F11="Best of 1",AA11)</f>
        <v/>
      </c>
      <c r="AA11" s="47" t="str">
        <f>IFS(OR(COUNTIF(Info!$A$22:A81,C11)&gt;0,C11=""),"",
AND(OR("3x3 MBLD"=C11,"3x3 FMC"=C11),F11="Best of 1"=TRUE),1,
AND(OR("3x3 MBLD"=C11,"3x3 FMC"=C11),F11="Best of 2"=TRUE),2,
AND(OR("3x3 MBLD"=C11,"3x3 FMC"=C11),OR(F11="Best of 3",F11="Mean of 3")=TRUE),3,
AND(F11="Mean of 3",C11="6x6 / 7x7"),6,
AND(F11="Best of 3",C11="4x4 / 5x5 BLD"),6,
F11="Avg of 5",5,F11="Mean of 3",3,F11="Best of 3",3,F11="Best of 2",2,F11="Best of 1",1)</f>
        <v/>
      </c>
      <c r="AB11" s="50"/>
    </row>
    <row r="12" ht="15.75" customHeight="1">
      <c r="A12" s="35">
        <f>IFERROR(__xludf.DUMMYFUNCTION("IFS(indirect(""A""&amp;row()-1)=""Start"",TIME(indirect(""A""&amp;row()-2),indirect(""B""&amp;row()-2),0),
$O$2=""No"",TIME(0,($A$6*60+$B$6)+CEILING(SUM($L$7:indirect(""L""&amp;row()-1)),5),0),
D12=$E$2,TIME(0,($A$6*60+$B$6)+CEILING(SUM(IFERROR(FILTER($L$7:indirect(""L"""&amp;"&amp;row()-1),REGEXMATCH($D$7:indirect(""D""&amp;row()-1),$E$2)),0)),5),0),
TRUE,""=time(hh;mm;ss)"")"),0.4166666666666667)</f>
        <v>0.4166666667</v>
      </c>
      <c r="B12" s="36">
        <f>IFERROR(__xludf.DUMMYFUNCTION("IFS($O$2=""No"",TIME(0,($A$6*60+$B$6)+CEILING(SUM($L$7:indirect(""L""&amp;row())),5),0),
D12=$E$2,TIME(0,($A$6*60+$B$6)+CEILING(SUM(FILTER($L$7:indirect(""L""&amp;row()),REGEXMATCH($D$7:indirect(""D""&amp;row()),$E$2))),5),0),
A12=""=time(hh;mm;ss)"",CONCATENATE(""Sk"&amp;"riv tid i A""&amp;row()),
AND(A12&lt;&gt;"""",A12&lt;&gt;""=time(hh;mm;ss)""),A12+TIME(0,CEILING(indirect(""L""&amp;row()),5),0))"),0.4166666666666667)</f>
        <v>0.4166666667</v>
      </c>
      <c r="C12" s="37"/>
      <c r="D12" s="38" t="str">
        <f t="shared" si="2"/>
        <v>Stora salen</v>
      </c>
      <c r="E12" s="38" t="str">
        <f>IFERROR(__xludf.DUMMYFUNCTION("IFS(COUNTIF(Info!$A$22:A81,C12)&gt;0,"""",
AND(OR(""3x3 FMC""=C12,""3x3 MBLD""=C12),COUNTIF($C$7:indirect(""C""&amp;row()),indirect(""C""&amp;row()))&gt;=13),""E - Error"",
AND(OR(""3x3 FMC""=C12,""3x3 MBLD""=C12),COUNTIF($C$7:indirect(""C""&amp;row()),indirect(""C""&amp;row()"&amp;"))=12),""Final - A3"",
AND(OR(""3x3 FMC""=C12,""3x3 MBLD""=C12),COUNTIF($C$7:indirect(""C""&amp;row()),indirect(""C""&amp;row()))=11),""Final - A2"",
AND(OR(""3x3 FMC""=C12,""3x3 MBLD""=C12),COUNTIF($C$7:indirect(""C""&amp;row()),indirect(""C""&amp;row()))=10),""Final - "&amp;"A1"",
AND(OR(""3x3 FMC""=C12,""3x3 MBLD""=C12),COUNTIF($C$7:indirect(""C""&amp;row()),indirect(""C""&amp;row()))=9,
COUNTIF($C$7:$C$102,indirect(""C""&amp;row()))&gt;9),""R3 - A3"",
AND(OR(""3x3 FMC""=C12,""3x3 MBLD""=C12),COUNTIF($C$7:indirect(""C""&amp;row()),indirect(""C"&amp;"""&amp;row()))=9,
COUNTIF($C$7:$C$102,indirect(""C""&amp;row()))&lt;=9),""Final - A3"",
AND(OR(""3x3 FMC""=C12,""3x3 MBLD""=C12),COUNTIF($C$7:indirect(""C""&amp;row()),indirect(""C""&amp;row()))=8,
COUNTIF($C$7:$C$102,indirect(""C""&amp;row()))&gt;9),""R3 - A2"",
AND(OR(""3x3 FMC"&amp;"""=C12,""3x3 MBLD""=C12),COUNTIF($C$7:indirect(""C""&amp;row()),indirect(""C""&amp;row()))=8,
COUNTIF($C$7:$C$102,indirect(""C""&amp;row()))&lt;=9),""Final - A2"",
AND(OR(""3x3 FMC""=C12,""3x3 MBLD""=C12),COUNTIF($C$7:indirect(""C""&amp;row()),indirect(""C""&amp;row()))=7,
COUN"&amp;"TIF($C$7:$C$102,indirect(""C""&amp;row()))&gt;9),""R3 - A1"",
AND(OR(""3x3 FMC""=C12,""3x3 MBLD""=C12),COUNTIF($C$7:indirect(""C""&amp;row()),indirect(""C""&amp;row()))=7,
COUNTIF($C$7:$C$102,indirect(""C""&amp;row()))&lt;=9),""Final - A1"",
AND(OR(""3x3 FMC""=C12,""3x3 MBLD"""&amp;"=C12),COUNTIF($C$7:indirect(""C""&amp;row()),indirect(""C""&amp;row()))=6,
COUNTIF($C$7:$C$102,indirect(""C""&amp;row()))&gt;6),""R2 - A3"",
AND(OR(""3x3 FMC""=C12,""3x3 MBLD""=C12),COUNTIF($C$7:indirect(""C""&amp;row()),indirect(""C""&amp;row()))=6,
COUNTIF($C$7:$C$102,indirec"&amp;"t(""C""&amp;row()))&lt;=6),""Final - A3"",
AND(OR(""3x3 FMC""=C12,""3x3 MBLD""=C12),COUNTIF($C$7:indirect(""C""&amp;row()),indirect(""C""&amp;row()))=5,
COUNTIF($C$7:$C$102,indirect(""C""&amp;row()))&gt;6),""R2 - A2"",
AND(OR(""3x3 FMC""=C12,""3x3 MBLD""=C12),COUNTIF($C$7:indi"&amp;"rect(""C""&amp;row()),indirect(""C""&amp;row()))=5,
COUNTIF($C$7:$C$102,indirect(""C""&amp;row()))&lt;=6),""Final - A2"",
AND(OR(""3x3 FMC""=C12,""3x3 MBLD""=C12),COUNTIF($C$7:indirect(""C""&amp;row()),indirect(""C""&amp;row()))=4,
COUNTIF($C$7:$C$102,indirect(""C""&amp;row()))&gt;6),"&amp;"""R2 - A1"",
AND(OR(""3x3 FMC""=C12,""3x3 MBLD""=C12),COUNTIF($C$7:indirect(""C""&amp;row()),indirect(""C""&amp;row()))=4,
COUNTIF($C$7:$C$102,indirect(""C""&amp;row()))&lt;=6),""Final - A1"",
AND(OR(""3x3 FMC""=C12,""3x3 MBLD""=C12),COUNTIF($C$7:indirect(""C""&amp;row()),i"&amp;"ndirect(""C""&amp;row()))=3),""R1 - A3"",
AND(OR(""3x3 FMC""=C12,""3x3 MBLD""=C12),COUNTIF($C$7:indirect(""C""&amp;row()),indirect(""C""&amp;row()))=2),""R1 - A2"",
AND(OR(""3x3 FMC""=C12,""3x3 MBLD""=C12),COUNTIF($C$7:indirect(""C""&amp;row()),indirect(""C""&amp;row()))=1),"&amp;"""R1 -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C12),ROUNDUP((FILTER(Info!$H$2:H81,Info!$A$2:A81=C12)/FILTER(Info!$H$2:H81,Info!$A$2:A81=$K$2))*$I$2)&gt;99),3,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C12),ROUNDUP((FILTER(Info!$H$2:H81,Info!$A$2:A81=C12)/FILTER(Info!$H$2:H81,Info!$A$2:A81=$K$2))*$I$2)&gt;15),2,
AND(COUNTIF($C$7:indirect(""C""&amp;row()),indirect(""C""&amp;row()))=2,COUNTIF($C$7:$C$102,indirect(""C""&amp;row()))=COUNTIF($"&amp;"C$7:indirect(""C""&amp;row()),indirect(""C""&amp;row()))),""Final"",
COUNTIF($C$7:indirect(""C""&amp;row()),indirect(""C""&amp;row()))=1,1,
COUNTIF($C$7:indirect(""C""&amp;row()),indirect(""C""&amp;row()))=0,"""")"),"")</f>
        <v/>
      </c>
      <c r="F12" s="39" t="str">
        <f>IFERROR(__xludf.DUMMYFUNCTION("IFS(C12="""","""",
AND(C12=""3x3 FMC"",MOD(COUNTIF($C$7:indirect(""C""&amp;row()),indirect(""C""&amp;row())),3)=0),""Mean of 3"",
AND(C12=""3x3 MBLD"",MOD(COUNTIF($C$7:indirect(""C""&amp;row()),indirect(""C""&amp;row())),3)=0),""Best of 3"",
AND(C12=""3x3 FMC"",MOD(COUNT"&amp;"IF($C$7:indirect(""C""&amp;row()),indirect(""C""&amp;row())),3)=2,
COUNTIF($C$7:$C$102,indirect(""C""&amp;row()))&lt;=COUNTIF($C$7:indirect(""C""&amp;row()),indirect(""C""&amp;row()))),""Best of 2"",
AND(C12=""3x3 FMC"",MOD(COUNTIF($C$7:indirect(""C""&amp;row()),indirect(""C""&amp;row("&amp;"))),3)=2,
COUNTIF($C$7:$C$102,indirect(""C""&amp;row()))&gt;COUNTIF($C$7:indirect(""C""&amp;row()),indirect(""C""&amp;row()))),""Mean of 3"",
AND(C12=""3x3 MBLD"",MOD(COUNTIF($C$7:indirect(""C""&amp;row()),indirect(""C""&amp;row())),3)=2,
COUNTIF($C$7:$C$102,indirect(""C""&amp;row("&amp;")))&lt;=COUNTIF($C$7:indirect(""C""&amp;row()),indirect(""C""&amp;row()))),""Best of 2"",
AND(C12=""3x3 MBLD"",MOD(COUNTIF($C$7:indirect(""C""&amp;row()),indirect(""C""&amp;row())),3)=2,
COUNTIF($C$7:$C$102,indirect(""C""&amp;row()))&gt;COUNTIF($C$7:indirect(""C""&amp;row()),indirect("&amp;"""C""&amp;row()))),""Best of 3"",
AND(C12=""3x3 FMC"",MOD(COUNTIF($C$7:indirect(""C""&amp;row()),indirect(""C""&amp;row())),3)=1,
COUNTIF($C$7:$C$102,indirect(""C""&amp;row()))&lt;=COUNTIF($C$7:indirect(""C""&amp;row()),indirect(""C""&amp;row()))),""Best of 1"",
AND(C12=""3x3 FMC"""&amp;",MOD(COUNTIF($C$7:indirect(""C""&amp;row()),indirect(""C""&amp;row())),3)=1,
COUNTIF($C$7:$C$102,indirect(""C""&amp;row()))=COUNTIF($C$7:indirect(""C""&amp;row()),indirect(""C""&amp;row()))+1),""Best of 2"",
AND(C12=""3x3 FMC"",MOD(COUNTIF($C$7:indirect(""C""&amp;row()),indirect"&amp;"(""C""&amp;row())),3)=1,
COUNTIF($C$7:$C$102,indirect(""C""&amp;row()))&gt;COUNTIF($C$7:indirect(""C""&amp;row()),indirect(""C""&amp;row()))),""Mean of 3"",
AND(C12=""3x3 MBLD"",MOD(COUNTIF($C$7:indirect(""C""&amp;row()),indirect(""C""&amp;row())),3)=1,
COUNTIF($C$7:$C$102,indirect"&amp;"(""C""&amp;row()))&lt;=COUNTIF($C$7:indirect(""C""&amp;row()),indirect(""C""&amp;row()))),""Best of 1"",
AND(C12=""3x3 MBLD"",MOD(COUNTIF($C$7:indirect(""C""&amp;row()),indirect(""C""&amp;row())),3)=1,
COUNTIF($C$7:$C$102,indirect(""C""&amp;row()))=COUNTIF($C$7:indirect(""C""&amp;row()"&amp;"),indirect(""C""&amp;row()))+1),""Best of 2"",
AND(C12=""3x3 MBLD"",MOD(COUNTIF($C$7:indirect(""C""&amp;row()),indirect(""C""&amp;row())),3)=1,
COUNTIF($C$7:$C$102,indirect(""C""&amp;row()))&gt;COUNTIF($C$7:indirect(""C""&amp;row()),indirect(""C""&amp;row()))),""Best of 3"",
TRUE,("&amp;"IFERROR(FILTER(Info!$D$2:D81, Info!$A$2:A81 = C12), """")))"),"")</f>
        <v/>
      </c>
      <c r="G12" s="40" t="str">
        <f>IFERROR(__xludf.DUMMYFUNCTION("IFS(OR(COUNTIF(Info!$A$22:A81,C12)&gt;0,C12=""""),"""",
OR(""3x3 MBLD""=C12,""3x3 FMC""=C12),60,
AND(E12=1,FILTER(Info!$F$2:F81, Info!$A$2:A81 = C12) = ""No""),FILTER(Info!$P$2:P81, Info!$A$2:A81 = C12),
AND(E12=2,FILTER(Info!$F$2:F81, Info!$A$2:A81 = C12) ="&amp;" ""No""),FILTER(Info!$Q$2:Q81, Info!$A$2:A81 = C12),
AND(E12=3,FILTER(Info!$F$2:F81, Info!$A$2:A81 = C12) = ""No""),FILTER(Info!$R$2:R81, Info!$A$2:A81 = C12),
AND(E12=""Final"",FILTER(Info!$F$2:F81, Info!$A$2:A81 = C12) = ""No""),FILTER(Info!$S$2:S81, In"&amp;"fo!$A$2:A81 = C12),
FILTER(Info!$F$2:F81, Info!$A$2:A81 = C12) = ""Yes"","""")"),"")</f>
        <v/>
      </c>
      <c r="H12" s="40" t="str">
        <f>IFERROR(__xludf.DUMMYFUNCTION("IFS(OR(COUNTIF(Info!$A$22:A81,C12)&gt;0,C12=""""),"""",
OR(""3x3 MBLD""=C12,""3x3 FMC""=C12)=TRUE,"""",
FILTER(Info!$F$2:F81, Info!$A$2:A81 = C12) = ""Yes"",FILTER(Info!$O$2:O81, Info!$A$2:A81 = C12),
FILTER(Info!$F$2:F81, Info!$A$2:A81 = C12) = ""No"",IF(G1"&amp;"2="""",FILTER(Info!$O$2:O81, Info!$A$2:A81 = C12),""""))"),"")</f>
        <v/>
      </c>
      <c r="I12" s="40" t="str">
        <f>IFERROR(__xludf.DUMMYFUNCTION("IFS(OR(COUNTIF(Info!$A$22:A81,C12)&gt;0,C12="""",H12&lt;&gt;""""),"""",
AND(E12&lt;&gt;1,E12&lt;&gt;""R1 - A1"",E12&lt;&gt;""R1 - A2"",E12&lt;&gt;""R1 - A3""),"""",
FILTER(Info!$E$2:E81, Info!$A$2:A81 = C12) = ""Yes"",IF(H12="""",FILTER(Info!$L$2:L81, Info!$A$2:A81 = C12),""""),
FILTER(I"&amp;"nfo!$E$2:E81, Info!$A$2:A81 = C12) = ""No"","""")"),"")</f>
        <v/>
      </c>
      <c r="J12" s="40" t="str">
        <f>IFERROR(__xludf.DUMMYFUNCTION("IFS(OR(COUNTIF(Info!$A$22:A81,C12)&gt;0,C12="""",""3x3 MBLD""=C12,""3x3 FMC""=C12),"""",
AND(E12=1,FILTER(Info!$H$2:H81,Info!$A$2:A81 = C12)&lt;=FILTER(Info!$H$2:H81,Info!$A$2:A81=$K$2)),
ROUNDUP((FILTER(Info!$H$2:H81,Info!$A$2:A81 = C12)/FILTER(Info!$H$2:H81,I"&amp;"nfo!$A$2:A81=$K$2))*$I$2),
AND(E12=1,FILTER(Info!$H$2:H81,Info!$A$2:A81 = C12)&gt;FILTER(Info!$H$2:H81,Info!$A$2:A81=$K$2)),""K2 - Error"",
AND(E12=2,FILTER($J$7:indirect(""J""&amp;row()-1),$C$7:indirect(""C""&amp;row()-1)=C12)&lt;=7),""J - Error"",
E12=2,FLOOR(FILTER("&amp;"$J$7:indirect(""J""&amp;row()-1),$C$7:indirect(""C""&amp;row()-1)=C12)*Info!$T$32),
AND(E12=3,FILTER($J$7:indirect(""J""&amp;row()-1),$C$7:indirect(""C""&amp;row()-1)=C12)&lt;=15),""J - Error"",
E12=3,FLOOR(Info!$T$32*FLOOR(FILTER($J$7:indirect(""J""&amp;row()-1),$C$7:indirect("&amp;"""C""&amp;row()-1)=C12)*Info!$T$32)),
AND(E12=""Final"",COUNTIF($C$7:$C$102,C12)=2,FILTER($J$7:indirect(""J""&amp;row()-1),$C$7:indirect(""C""&amp;row()-1)=C12)&lt;=7),""J - Error"",
AND(E12=""Final"",COUNTIF($C$7:$C$102,C12)=2),
MIN(P12,FLOOR(FILTER($J$7:indirect(""J"""&amp;"&amp;row()-1),$C$7:indirect(""C""&amp;row()-1)=C12)*Info!$T$32)),
AND(E12=""Final"",COUNTIF($C$7:$C$102,C12)=3,FILTER($J$7:indirect(""J""&amp;row()-1),$C$7:indirect(""C""&amp;row()-1)=C12)&lt;=15),""J - Error"",
AND(E12=""Final"",COUNTIF($C$7:$C$102,C12)=3),
MIN(P12,FLOOR(I"&amp;"nfo!$T$32*FLOOR(FILTER($J$7:indirect(""J""&amp;row()-1),$C$7:indirect(""C""&amp;row()-1)=C12)*Info!$T$32))),
AND(E12=""Final"",COUNTIF($C$7:$C$102,C12)&gt;=4,FILTER($J$7:indirect(""J""&amp;row()-1),$C$7:indirect(""C""&amp;row()-1)=C12)&lt;=99),""J - Error"",
AND(E12=""Final"","&amp;"COUNTIF($C$7:$C$102,C12)&gt;=4),
MIN(P12,FLOOR(Info!$T$32*FLOOR(Info!$T$32*FLOOR(FILTER($J$7:indirect(""J""&amp;row()-1),$C$7:indirect(""C""&amp;row()-1)=C12)*Info!$T$32)))))"),"")</f>
        <v/>
      </c>
      <c r="K12" s="41" t="str">
        <f>IFERROR(__xludf.DUMMYFUNCTION("IFS(AND(indirect(""D""&amp;row()+2)&lt;&gt;$E$2,indirect(""D""&amp;row()+1)=""""),CONCATENATE(""Tom rad! Kopiera hela rad ""&amp;row()&amp;"" dit""),
AND(indirect(""D""&amp;row()-1)&lt;&gt;""Rum"",indirect(""D""&amp;row()-1)=""""),CONCATENATE(""Tom rad! Kopiera hela rad ""&amp;row()&amp;"" dit""),
"&amp;"C12="""","""",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OR(AND(D12&lt;&gt;$E$2,D12&lt;&gt;$E$4,D12&lt;&gt;$K$4,D12&lt;&gt;$Q$4),D12="&amp;"""""),CONCATENATE(""Rum: ""&amp;D12&amp;"" finns ej, byt i D""&amp;row()),
AND(indirect(""D""&amp;row()-1)=""Rum"",C12=""""),CONCATENATE(""För att börja: skriv i cell C""&amp;row()),
AND(C12=""Paus"",M12&lt;=0),CONCATENATE(""Skriv pausens längd i M""&amp;row()),
OR(COUNTIF(Info!$A$"&amp;"22:A81,C12)&gt;0,C12=""""),"""",
AND(D12&lt;&gt;$E$2,$O$2=""Yes"",A12=""=time(hh;mm;ss)""),CONCATENATE(""Skriv starttid för ""&amp;C12&amp;"" i A""&amp;row()),
E12=""E - Error"",CONCATENATE(""För många ""&amp;C12&amp;"" rundor!""),
AND(C12&lt;&gt;""3x3 FMC"",C12&lt;&gt;""3x3 MBLD"",E12&lt;&gt;1,E12&lt;&gt;"&amp;"""Final"",IFERROR(FILTER($E$7:indirect(""E""&amp;row()-1),
$E$7:indirect(""E""&amp;row()-1)=E12-1,$C$7:indirect(""C""&amp;row()-1)=C12))=FALSE),CONCATENATE(""Kan ej vara R""&amp;E12&amp;"", saknar R""&amp;(E12-1)),
AND(indirect(""E""&amp;row()-1)&lt;&gt;""Omgång"",IFERROR(FILTER($E$7:indi"&amp;"rect(""E""&amp;row()-1),
$E$7:indirect(""E""&amp;row()-1)=E12,$C$7:indirect(""C""&amp;row()-1)=C12)=E12)=TRUE),CONCATENATE(""Runda ""&amp;E12&amp;"" i ""&amp;C12&amp;"" finns redan""),
AND(C12&lt;&gt;""3x3 BLD"",C12&lt;&gt;""4x4 BLD"",C12&lt;&gt;""5x5 BLD"",C12&lt;&gt;""4x4 / 5x5 BLD"",OR(E12=2,E12=3,E12="&amp;"""Final""),H12&lt;&gt;""""),CONCATENATE(E12&amp;""-rundor brukar ej ha c.t.l.""),
AND(OR(E12=2,E12=3,E12=""Final""),I12&lt;&gt;""""),CONCATENATE(E12&amp;""-rundor brukar ej ha cutoff""),
AND(OR(C12=""3x3 FMC"",C12=""3x3 MBLD""),OR(E12=1,E12=2,E12=3,E12=""Final"")),CONCATENAT"&amp;"E(C12&amp;""s omgång är Rx - Ax""),
AND(C12&lt;&gt;""3x3 MBLD"",C12&lt;&gt;""3x3 FMC"",FILTER(Info!$D$2:D81, Info!$A$2:A81 = C12)&lt;&gt;F12),CONCATENATE(C12&amp;"" måste ha formatet ""&amp;FILTER(Info!$D$2:D81, Info!$A$2:A81 = C12)),
AND(C12=""3x3 MBLD"",OR(F12=""Avg of 5"",F12=""Mea"&amp;"n of 3"")),CONCATENATE(""Ogiltigt format för ""&amp;C12),
AND(C12=""3x3 FMC"",OR(F12=""Avg of 5"",F12=""Best of 3"")),CONCATENATE(""Ogiltigt format för ""&amp;C12),
AND(OR(F12=""Best of 1"",F12=""Best of 2"",F12=""Best of 3""),I12&lt;&gt;""""),CONCATENATE(F12&amp;""-rundor"&amp;" får ej ha cutoff""),
AND(OR(C12=""3x3 FMC"",C12=""3x3 MBLD""),G12&lt;&gt;60),CONCATENATE(C12&amp;"" måste ha time limit: 60""),
AND(OR(C12=""3x3 FMC"",C12=""3x3 MBLD""),H12&lt;&gt;""""),CONCATENATE(C12&amp;"" kan inte ha c.t.l.""),
AND(G12&lt;&gt;"""",H12&lt;&gt;""""),""Välj time limit"&amp;" ELLER c.t.l"",
AND(C12=""6x6 / 7x7"",G12="""",H12=""""),""Sätt time limit (x / y) eller c.t.l (z)"",
AND(G12="""",H12=""""),""Sätt en time limit eller c.t.l"",
AND(OR(C12=""6x6 / 7x7"",C12=""4x4 / 5x5 BLD""),G12&lt;&gt;"""",REGEXMATCH(TO_TEXT(G12),"" / "")=FAL"&amp;"SE),CONCATENATE(""Time limit måste vara x / y""),
AND(H12&lt;&gt;"""",I12&lt;&gt;""""),CONCATENATE(C12&amp;"" brukar ej ha cutoff OCH c.t.l""),
AND(E12=1,H12="""",I12="""",OR(FILTER(Info!$E$2:E81, Info!$A$2:A81 = C12) = ""Yes"",FILTER(Info!$F$2:F81, Info!$A$2:A81 = C12) "&amp;"= ""Yes""),OR(F12=""Avg of 5"",F12=""Mean of 3"")),CONCATENATE(C12&amp;"" bör ha cutoff eller c.t.l""),
AND(C12=""6x6 / 7x7"",I12&lt;&gt;"""",REGEXMATCH(TO_TEXT(I12),"" / "")=FALSE),CONCATENATE(""Cutoff måste vara x / y""),
AND(H12&lt;&gt;"""",ISNUMBER(H12)=FALSE),""C.t."&amp;"l. måste vara positivt tal (x)"",
AND(C12&lt;&gt;""6x6 / 7x7"",I12&lt;&gt;"""",ISNUMBER(I12)=FALSE),""Cutoff måste vara positivt tal (x)"",
AND(H12&lt;&gt;"""",FILTER(Info!$E$2:E81, Info!$A$2:A81 = C12) = ""No"",FILTER(Info!$F$2:F81, Info!$A$2:A81 = C12) = ""No""),CONCATEN"&amp;"ATE(C12&amp;"" brukar inte ha c.t.l.""),
AND(I12&lt;&gt;"""",FILTER(Info!$E$2:E81, Info!$A$2:A81 = C12) = ""No"",FILTER(Info!$F$2:F81, Info!$A$2:A81 = C12) = ""No""),CONCATENATE(C12&amp;"" brukar inte ha cutoff""),
AND(H12="""",FILTER(Info!$F$2:F81, Info!$A$2:A81 = C12"&amp;") = ""Yes""),CONCATENATE(C12&amp;"" brukar ha c.t.l.""),
AND(C12&lt;&gt;""6x6 / 7x7"",C12&lt;&gt;""4x4 / 5x5 BLD"",G12&lt;&gt;"""",ISNUMBER(G12)=FALSE),""Time limit måste vara positivt tal (x)"",
J12=""J - Error"",CONCATENATE(""För få deltagare i R1 för ""&amp;COUNTIF($C$7:$C$102,"&amp;"indirect(""C""&amp;row()))&amp;"" rundor""),
J12=""K2 - Error"",CONCATENATE(C12&amp;"" är mer populär - byt i K2!""),
AND(C12&lt;&gt;""6x6 / 7x7"",C12&lt;&gt;""4x4 / 5x5 BLD"",G12&lt;&gt;"""",I12&lt;&gt;"""",G12&lt;=I12),""Time limit måste vara &gt; cutoff"",
AND(C12&lt;&gt;""6x6 / 7x7"",C12&lt;&gt;""4x4 / 5"&amp;"x5 BLD"",H12&lt;&gt;"""",I12&lt;&gt;"""",H12&lt;=I12),""C.t.l. måste vara &gt; cutoff"",
AND(C12&lt;&gt;""3x3 FMC"",C12&lt;&gt;""3x3 MBLD"",J12=""""),CONCATENATE(""Fyll i antal deltagare i J""&amp;row()),
AND(C12="""",OR(E12&lt;&gt;"""",F12&lt;&gt;"""",G12&lt;&gt;"""",H12&lt;&gt;"""",I12&lt;&gt;"""",J12&lt;&gt;"""")),""Skri"&amp;"v ALLTID gren / aktivitet först"",
AND(I12="""",H12="""",J12&lt;&gt;""""),J12,
OR(""3x3 FMC""=C12,""3x3 MBLD""=C12),J12,
AND(I12&lt;&gt;"""",""6x6 / 7x7""=C12),
IFS(ArrayFormula(SUM(IFERROR(SPLIT(I12,"" / ""))))&lt;(Info!$J$6+Info!$J$7)*2/3,CONCATENATE(""Höj helst cutof"&amp;"fs i ""&amp;C12),
ArrayFormula(SUM(IFERROR(SPLIT(I12,"" / ""))))&lt;=(Info!$J$6+Info!$J$7),ROUNDUP(J12*Info!$J$22),
ArrayFormula(SUM(IFERROR(SPLIT(I12,"" / ""))))&lt;=Info!$J$6+Info!$J$7,ROUNDUP(J12*Info!$K$22),
ArrayFormula(SUM(IFERROR(SPLIT(I12,"" / ""))))&lt;=Info!"&amp;"$K$6+Info!$K$7,ROUNDUP(J12*Info!L$22),
ArrayFormula(SUM(IFERROR(SPLIT(I12,"" / ""))))&lt;=Info!$L$6+Info!$L$7,ROUNDUP(J12*Info!$M$22),
ArrayFormula(SUM(IFERROR(SPLIT(I12,"" / ""))))&lt;=Info!$M$6+Info!$M$7,ROUNDUP(J12*Info!$N$22),
ArrayFormula(SUM(IFERROR(SPLIT"&amp;"(I12,"" / ""))))&lt;=(Info!$N$6+Info!$N$7)*3/2,ROUNDUP(J12*Info!$J$26),
ArrayFormula(SUM(IFERROR(SPLIT(I12,"" / ""))))&gt;(Info!$N$6+Info!$N$7)*3/2,CONCATENATE(""Sänk helst cutoffs i ""&amp;C12)),
AND(I12&lt;&gt;"""",FILTER(Info!$E$2:E81, Info!$A$2:A81 = C12) = ""Yes""),"&amp;"
IFS(I12&lt;FILTER(Info!$J$2:J81, Info!$A$2:A81 = C12)*2/3,CONCATENATE(""Höj helst cutoff i ""&amp;C12),
I12&lt;=FILTER(Info!$J$2:J81, Info!$A$2:A81 = C12),ROUNDUP(J12*Info!$J$22),
I12&lt;=FILTER(Info!$K$2:K81, Info!$A$2:A81 = C12),ROUNDUP(J12*Info!$K$22),
I12&lt;=FILTER"&amp;"(Info!$L$2:L81, Info!$A$2:A81 = C12),ROUNDUP(J12*Info!L$22),
I12&lt;=FILTER(Info!$M$2:M81, Info!$A$2:A81 = C12),ROUNDUP(J12*Info!$M$22),
I12&lt;=FILTER(Info!$N$2:N81, Info!$A$2:A81 = C12),ROUNDUP(J12*Info!$N$22),
I12&lt;=FILTER(Info!$N$2:N81, Info!$A$2:A81 = C12)*"&amp;"3/2,ROUNDUP(J12*Info!$J$26),
I12&gt;FILTER(Info!$N$2:N81, Info!$A$2:A81 = C12)*3/2,CONCATENATE(""Sänk helst cutoff i ""&amp;C12)),
AND(H12&lt;&gt;"""",""6x6 / 7x7""=C12),
IFS(H12/3&lt;=(Info!$J$6+Info!$J$7)*2/3,""Höj helst cumulative time limit"",
H12/3&lt;=Info!$J$6+Info!$"&amp;"J$7,ROUNDUP(J12*Info!$J$24),
H12/3&lt;=Info!$K$6+Info!$K$7,ROUNDUP(J12*Info!$K$24),
H12/3&lt;=Info!$L$6+Info!$L$7,ROUNDUP(J12*Info!L$24),
H12/3&lt;=Info!$M$6+Info!$M$7,ROUNDUP(J12*Info!$M$24),
H12/3&lt;=Info!$N$6+Info!$N$7,ROUNDUP(J12*Info!$N$24),
H12/3&lt;=(Info!$N$6+I"&amp;"nfo!$N$7)*3/2,ROUNDUP(J12*Info!$L$26),
H12/3&gt;(Info!$J$6+Info!$J$7)*3/2,""Sänk helst cumulative time limit""),
AND(H12&lt;&gt;"""",FILTER(Info!$F$2:F81, Info!$A$2:A81 = C12) = ""Yes""),
IFS(H12&lt;=FILTER(Info!$J$2:J81, Info!$A$2:A81 = C12)*2/3,CONCATENATE(""Höj he"&amp;"lst c.t.l. i ""&amp;C12),
H12&lt;=FILTER(Info!$J$2:J81, Info!$A$2:A81 = C12),ROUNDUP(J12*Info!$J$24),
H12&lt;=FILTER(Info!$K$2:K81, Info!$A$2:A81 = C12),ROUNDUP(J12*Info!$K$24),
H12&lt;=FILTER(Info!$L$2:L81, Info!$A$2:A81 = C12),ROUNDUP(J12*Info!L$24),
H12&lt;=FILTER(Inf"&amp;"o!$M$2:M81, Info!$A$2:A81 = C12),ROUNDUP(J12*Info!$M$24),
H12&lt;=FILTER(Info!$N$2:N81, Info!$A$2:A81 = C12),ROUNDUP(J12*Info!$N$24),
H12&lt;=FILTER(Info!$N$2:N81, Info!$A$2:A81 = C12)*3/2,ROUNDUP(J12*Info!$L$26),
H12&gt;FILTER(Info!$N$2:N81, Info!$A$2:A81 = C12)*"&amp;"3/2,CONCATENATE(""Sänk helst c.t.l. i ""&amp;C12)),
AND(H12&lt;&gt;"""",FILTER(Info!$F$2:F81, Info!$A$2:A81 = C12) = ""No""),
IFS(H12/AA12&lt;=FILTER(Info!$J$2:J81, Info!$A$2:A81 = C12)*2/3,CONCATENATE(""Höj helst c.t.l. i ""&amp;C12),
H12/AA12&lt;=FILTER(Info!$J$2:J81, Info"&amp;"!$A$2:A81 = C12),ROUNDUP(J12*Info!$J$24),
H12/AA12&lt;=FILTER(Info!$K$2:K81, Info!$A$2:A81 = C12),ROUNDUP(J12*Info!$K$24),
H12/AA12&lt;=FILTER(Info!$L$2:L81, Info!$A$2:A81 = C12),ROUNDUP(J12*Info!L$24),
H12/AA12&lt;=FILTER(Info!$M$2:M81, Info!$A$2:A81 = C12),ROUND"&amp;"UP(J12*Info!$M$24),
H12/AA12&lt;=FILTER(Info!$N$2:N81, Info!$A$2:A81 = C12),ROUNDUP(J12*Info!$N$24),
H12/AA12&lt;=FILTER(Info!$N$2:N81, Info!$A$2:A81 = C12)*3/2,ROUNDUP(J12*Info!$L$26),
H12/AA12&gt;FILTER(Info!$N$2:N81, Info!$A$2:A81 = C12)*3/2,CONCATENATE(""Sänk "&amp;"helst c.t.l. i ""&amp;C12)),
AND(I12="""",H12&lt;&gt;"""",J12&lt;&gt;""""),ROUNDUP(J12*Info!$T$29),
AND(I12&lt;&gt;"""",H12="""",J12&lt;&gt;""""),ROUNDUP(J12*Info!$T$26))"),"")</f>
        <v/>
      </c>
      <c r="L12" s="42">
        <f>IFERROR(__xludf.DUMMYFUNCTION("IFS(C12="""",0,
C12=""3x3 FMC"",Info!$B$9*N12+M12, C12=""3x3 MBLD"",Info!$B$18*N12+M12,
COUNTIF(Info!$A$22:A81,C12)&gt;0,FILTER(Info!$B$22:B81,Info!$A$22:A81=C12)+M12,
AND(C12&lt;&gt;"""",E12=""""),CONCATENATE(""Fyll i E""&amp;row()),
AND(C12&lt;&gt;"""",E12&lt;&gt;"""",E12&lt;&gt;1,E1"&amp;"2&lt;&gt;2,E12&lt;&gt;3,E12&lt;&gt;""Final""),CONCATENATE(""Fel format på E""&amp;row()),
K12=CONCATENATE(""Runda ""&amp;E12&amp;"" i ""&amp;C12&amp;"" finns redan""),CONCATENATE(""Fel i E""&amp;row()),
AND(C12&lt;&gt;"""",F12=""""),CONCATENATE(""Fyll i F""&amp;row()),
K12=CONCATENATE(C12&amp;"" måste ha forma"&amp;"tet ""&amp;FILTER(Info!$D$2:D81, Info!$A$2:A81 = C12)),CONCATENATE(""Fel format på F""&amp;row()),
AND(C12&lt;&gt;"""",D12=1,H12="""",FILTER(Info!$F$2:F81, Info!$A$2:A81 = C12) = ""Yes""),CONCATENATE(""Fyll i H""&amp;row()),
AND(C12&lt;&gt;"""",D12=1,I12="""",FILTER(Info!$E$2:E8"&amp;"1, Info!$A$2:A81 = C12) = ""Yes""),CONCATENATE(""Fyll i I""&amp;row()),
AND(C12&lt;&gt;"""",J12=""""),CONCATENATE(""Fyll i J""&amp;row()),
AND(C12&lt;&gt;"""",K12="""",OR(H12&lt;&gt;"""",I12&lt;&gt;"""")),CONCATENATE(""Fyll i K""&amp;row()),
AND(C12&lt;&gt;"""",K12=""""),CONCATENATE(""Skriv samma"&amp;" i K""&amp;row()&amp;"" som i J""&amp;row()),
AND(OR(C12=""4x4 BLD"",C12=""5x5 BLD"",C12=""4x4 / 5x5 BLD"")=TRUE,V12&lt;=P12),
MROUND(H12*(Info!$T$20-((Info!$T$20-1)/2)*(1-V12/P12))*(1+((J12/K12)-1)*(1-Info!$J$24))*N12+(Info!$T$11/2)+(N12*Info!$T$11)+(N12*Info!$T$14*(O1"&amp;"2-1)),0.01)+M12,
AND(OR(C12=""4x4 BLD"",C12=""5x5 BLD"",C12=""4x4 / 5x5 BLD"")=TRUE,V12&gt;P12),
MROUND((((J12*Z12+K12*(AA12-Z12))*(H12*Info!$T$20/AA12))/X12)*(1+((J12/K12)-1)*(1-Info!$J$24))*(1+(X12-Info!$T$8)/100)+(Info!$T$11/2)+(N12*Info!$T$11)+(N12*Info!"&amp;"$T$14*(O12-1)),0.01)+M12,
AND(C12=""3x3 BLD"",V12&lt;=P12),
MROUND(H12*(Info!$T$23-((Info!$T$23-1)/2)*(1-V12/P12))*(1+((J12/K12)-1)*(1-Info!$J$24))*N12+(Info!$T$11/2)+(N12*Info!$T$11)+(N12*Info!$T$14*(O12-1)),0.01)+M12,
AND(C12=""3x3 BLD"",V12&gt;P12),
MROUND(("&amp;"((J12*Z12+K12*(AA12-Z12))*(H12*Info!$T$23/AA12))/X12)*(1+((J12/K12)-1)*(1-Info!$J$24))*(1+(X12-Info!$T$8)/100)+(Info!$T$11/2)+(N12*Info!$T$11)+(N12*Info!$T$14*(O12-1)),0.01)+M12,
E12=1,MROUND((((J12*Z12+K12*(AA12-Z12))*Y12)/X12)*(1+(X12-Info!$T$8)/100)+(N"&amp;"12*Info!$T$11)+(N12*Info!$T$14*(O12-1)),0.01)+M12,
AND(E12=""Final"",N12=1,FILTER(Info!$G$2:$G$20,Info!$A$2:$A$20=C12)=""Mycket svår""),
MROUND((((J12*Z12+K12*(AA12-Z12))*(Y12*Info!$T$38))/X12)*(1+(X12-Info!$T$8)/100)+(N12*Info!$T$11)+(N12*Info!$T$14*(O12"&amp;"-1)),0.01)+M12,
AND(E12=""Final"",N12=1,FILTER(Info!$G$2:$G$20,Info!$A$2:$A$20=C12)=""Svår""),
MROUND((((J12*Z12+K12*(AA12-Z12))*(Y12*Info!$T$35))/X12)*(1+(X12-Info!$T$8)/100)+(N12*Info!$T$11)+(N12*Info!$T$14*(O12-1)),0.01)+M12,
E12=""Final"",MROUND((((J1"&amp;"2*Z12+K12*(AA12-Z12))*(Y12*Info!$T$5))/X12)*(1+(X12-Info!$T$8)/100)+(N12*Info!$T$11)+(N12*Info!$T$14*(O12-1)),0.01)+M12,
OR(E12=2,E12=3),MROUND((((J12*Z12+K12*(AA12-Z12))*(Y12*Info!$T$2))/X12)*(1+(X12-Info!$T$8)/100)+(N12*Info!$T$11)+(N12*Info!$T$14*(O12-"&amp;"1)),0.01)+M12)"),0.0)</f>
        <v>0</v>
      </c>
      <c r="M12" s="43">
        <f t="shared" si="1"/>
        <v>0</v>
      </c>
      <c r="N12" s="43" t="str">
        <f>IFS(OR(COUNTIF(Info!$A$22:A81,C12)&gt;0,C12=""),"",
OR(C12="4x4 BLD",C12="5x5 BLD",C12="3x3 MBLD",C12="3x3 FMC",C12="4x4 / 5x5 BLD"),1,
AND(E12="Final",Q12="Yes",MAX(1,ROUNDUP(J12/P12))&gt;1),MAX(2,ROUNDUP(J12/P12)),
AND(E12="Final",Q12="No",MAX(1,ROUNDUP(J12/((P12*2)+2.625-Y12*1.5)))&gt;1),MAX(2,ROUNDUP(J12/((P12*2)+2.625-Y12*1.5))),
E12="Final",1,
Q12="Yes",MAX(2,ROUNDUP(J12/P12)),
TRUE,MAX(2,ROUNDUP(J12/((P12*2)+2.625-Y12*1.5))))</f>
        <v/>
      </c>
      <c r="O12" s="43" t="str">
        <f>IFS(OR(COUNTIF(Info!$A$22:A81,C12)&gt;0,C12=""),"",
OR("3x3 MBLD"=C12,"3x3 FMC"=C12)=TRUE,"",
D12=$E$4,$G$6,D12=$K$4,$M$6,D12=$Q$4,$S$6,D12=$W$4,$Y$6,
TRUE,$S$2)</f>
        <v/>
      </c>
      <c r="P12" s="43" t="str">
        <f>IFS(OR(COUNTIF(Info!$A$22:A81,C12)&gt;0,C12=""),"",
OR("3x3 MBLD"=C12,"3x3 FMC"=C12)=TRUE,"",
D12=$E$4,$E$6,D12=$K$4,$K$6,D12=$Q$4,$Q$6,D12=$W$4,$W$6,
TRUE,$Q$2)</f>
        <v/>
      </c>
      <c r="Q12" s="44" t="str">
        <f>IFS(OR(COUNTIF(Info!$A$22:A81,C12)&gt;0,C12=""),"",
OR("3x3 MBLD"=C12,"3x3 FMC"=C12)=TRUE,"",
D12=$E$4,$I$6,D12=$K$4,$O$6,D12=$Q$4,$U$6,D12=$W$4,$AA$6,
TRUE,$U$2)</f>
        <v/>
      </c>
      <c r="R12" s="45" t="str">
        <f>IFERROR(__xludf.DUMMYFUNCTION("IF(C12="""","""",IFERROR(FILTER(Info!$B$22:B81,Info!$A$22:A81=C12)+M12,""?""))"),"")</f>
        <v/>
      </c>
      <c r="S12" s="46" t="str">
        <f>IFS(OR(COUNTIF(Info!$A$22:A81,C12)&gt;0,C12=""),"",
AND(H12="",I12=""),J12,
TRUE,"?")</f>
        <v/>
      </c>
      <c r="T12" s="45" t="str">
        <f>IFS(OR(COUNTIF(Info!$A$22:A81,C12)&gt;0,C12=""),"",
AND(L12&lt;&gt;0,OR(R12="?",R12="")),"Fyll i R-kolumnen",
OR(C12="3x3 FMC",C12="3x3 MBLD"),R12,
AND(L12&lt;&gt;0,OR(S12="?",S12="")),"Fyll i S-kolumnen",
OR(COUNTIF(Info!$A$22:A81,C12)&gt;0,C12=""),"",
TRUE,Y12*R12/L12)</f>
        <v/>
      </c>
      <c r="U12" s="45"/>
      <c r="V12" s="47" t="str">
        <f>IFS(OR(COUNTIF(Info!$A$22:A81,C12)&gt;0,C12=""),"",
OR("3x3 MBLD"=C12,"3x3 FMC"=C12)=TRUE,"",
TRUE,MROUND((J12/N12),0.01))</f>
        <v/>
      </c>
      <c r="W12" s="48" t="str">
        <f>IFS(OR(COUNTIF(Info!$A$22:A81,C12)&gt;0,C12=""),"",
TRUE,L12/N12)</f>
        <v/>
      </c>
      <c r="X12" s="49" t="str">
        <f>IFS(OR(COUNTIF(Info!$A$22:A81,C12)&gt;0,C12=""),"",
OR("3x3 MBLD"=C12,"3x3 FMC"=C12)=TRUE,"",
OR(C12="4x4 BLD",C12="5x5 BLD",C12="4x4 / 5x5 BLD",AND(C12="3x3 BLD",H12&lt;&gt;""))=TRUE,MIN(V12,P12),
TRUE,MIN(P12,V12,MROUND(((V12*2/3)+((Y12-1.625)/2)),0.01)))</f>
        <v/>
      </c>
      <c r="Y12" s="48" t="str">
        <f>IFERROR(__xludf.DUMMYFUNCTION("IFS(OR(COUNTIF(Info!$A$22:A81,C12)&gt;0,C12=""""),"""",
FILTER(Info!$F$2:F81, Info!$A$2:A81 = C12) = ""Yes"",H12/AA12,
""3x3 FMC""=C12,Info!$B$9,""3x3 MBLD""=C12,Info!$B$18,
AND(E12=1,I12="""",H12="""",Q12=""No"",G12&gt;SUMIF(Info!$A$2:A81,C12,Info!$B$2:B81)*1."&amp;"5),
MIN(SUMIF(Info!$A$2:A81,C12,Info!$B$2:B81)*1.1,SUMIF(Info!$A$2:A81,C12,Info!$B$2:B81)*(1.15-(0.15*(SUMIF(Info!$A$2:A81,C12,Info!$B$2:B81)*1.5)/G12))),
AND(E12=1,I12="""",H12="""",Q12=""Yes"",G12&gt;SUMIF(Info!$A$2:A81,C12,Info!$C$2:C81)*1.5),
MIN(SUMIF(I"&amp;"nfo!$A$2:A81,C12,Info!$C$2:C81)*1.1,SUMIF(Info!$A$2:A81,C12,Info!$C$2:C81)*(1.15-(0.15*(SUMIF(Info!$A$2:A81,C12,Info!$C$2:C81)*1.5)/G12))),
Q12=""No"",SUMIF(Info!$A$2:A81,C12,Info!$B$2:B81),
Q12=""Yes"",SUMIF(Info!$A$2:A81,C12,Info!$C$2:C81))"),"")</f>
        <v/>
      </c>
      <c r="Z12" s="47" t="str">
        <f>IFS(OR(COUNTIF(Info!$A$22:A81,C12)&gt;0,C12=""),"",
AND(OR("3x3 FMC"=C12,"3x3 MBLD"=C12),I12&lt;&gt;""),1,
AND(OR(H12&lt;&gt;"",I12&lt;&gt;""),F12="Avg of 5"),2,
F12="Avg of 5",AA12,
AND(OR(H12&lt;&gt;"",I12&lt;&gt;""),F12="Mean of 3",C12="6x6 / 7x7"),2,
AND(OR(H12&lt;&gt;"",I12&lt;&gt;""),F12="Mean of 3"),1,
F12="Mean of 3",AA12,
AND(OR(H12&lt;&gt;"",I12&lt;&gt;""),F12="Best of 3",C12="4x4 / 5x5 BLD"),2,
AND(OR(H12&lt;&gt;"",I12&lt;&gt;""),F12="Best of 3"),1,
F12="Best of 2",AA12,
F12="Best of 1",AA12)</f>
        <v/>
      </c>
      <c r="AA12" s="47" t="str">
        <f>IFS(OR(COUNTIF(Info!$A$22:A81,C12)&gt;0,C12=""),"",
AND(OR("3x3 MBLD"=C12,"3x3 FMC"=C12),F12="Best of 1"=TRUE),1,
AND(OR("3x3 MBLD"=C12,"3x3 FMC"=C12),F12="Best of 2"=TRUE),2,
AND(OR("3x3 MBLD"=C12,"3x3 FMC"=C12),OR(F12="Best of 3",F12="Mean of 3")=TRUE),3,
AND(F12="Mean of 3",C12="6x6 / 7x7"),6,
AND(F12="Best of 3",C12="4x4 / 5x5 BLD"),6,
F12="Avg of 5",5,F12="Mean of 3",3,F12="Best of 3",3,F12="Best of 2",2,F12="Best of 1",1)</f>
        <v/>
      </c>
      <c r="AB12" s="50"/>
    </row>
    <row r="13" ht="15.75" customHeight="1">
      <c r="A13" s="35">
        <f>IFERROR(__xludf.DUMMYFUNCTION("IFS(indirect(""A""&amp;row()-1)=""Start"",TIME(indirect(""A""&amp;row()-2),indirect(""B""&amp;row()-2),0),
$O$2=""No"",TIME(0,($A$6*60+$B$6)+CEILING(SUM($L$7:indirect(""L""&amp;row()-1)),5),0),
D13=$E$2,TIME(0,($A$6*60+$B$6)+CEILING(SUM(IFERROR(FILTER($L$7:indirect(""L"""&amp;"&amp;row()-1),REGEXMATCH($D$7:indirect(""D""&amp;row()-1),$E$2)),0)),5),0),
TRUE,""=time(hh;mm;ss)"")"),0.4166666666666667)</f>
        <v>0.4166666667</v>
      </c>
      <c r="B13" s="36">
        <f>IFERROR(__xludf.DUMMYFUNCTION("IFS($O$2=""No"",TIME(0,($A$6*60+$B$6)+CEILING(SUM($L$7:indirect(""L""&amp;row())),5),0),
D13=$E$2,TIME(0,($A$6*60+$B$6)+CEILING(SUM(FILTER($L$7:indirect(""L""&amp;row()),REGEXMATCH($D$7:indirect(""D""&amp;row()),$E$2))),5),0),
A13=""=time(hh;mm;ss)"",CONCATENATE(""Sk"&amp;"riv tid i A""&amp;row()),
AND(A13&lt;&gt;"""",A13&lt;&gt;""=time(hh;mm;ss)""),A13+TIME(0,CEILING(indirect(""L""&amp;row()),5),0))"),0.4166666666666667)</f>
        <v>0.4166666667</v>
      </c>
      <c r="C13" s="37"/>
      <c r="D13" s="38" t="str">
        <f t="shared" si="2"/>
        <v>Stora salen</v>
      </c>
      <c r="E13" s="38" t="str">
        <f>IFERROR(__xludf.DUMMYFUNCTION("IFS(COUNTIF(Info!$A$22:A81,C13)&gt;0,"""",
AND(OR(""3x3 FMC""=C13,""3x3 MBLD""=C13),COUNTIF($C$7:indirect(""C""&amp;row()),indirect(""C""&amp;row()))&gt;=13),""E - Error"",
AND(OR(""3x3 FMC""=C13,""3x3 MBLD""=C13),COUNTIF($C$7:indirect(""C""&amp;row()),indirect(""C""&amp;row()"&amp;"))=12),""Final - A3"",
AND(OR(""3x3 FMC""=C13,""3x3 MBLD""=C13),COUNTIF($C$7:indirect(""C""&amp;row()),indirect(""C""&amp;row()))=11),""Final - A2"",
AND(OR(""3x3 FMC""=C13,""3x3 MBLD""=C13),COUNTIF($C$7:indirect(""C""&amp;row()),indirect(""C""&amp;row()))=10),""Final - "&amp;"A1"",
AND(OR(""3x3 FMC""=C13,""3x3 MBLD""=C13),COUNTIF($C$7:indirect(""C""&amp;row()),indirect(""C""&amp;row()))=9,
COUNTIF($C$7:$C$102,indirect(""C""&amp;row()))&gt;9),""R3 - A3"",
AND(OR(""3x3 FMC""=C13,""3x3 MBLD""=C13),COUNTIF($C$7:indirect(""C""&amp;row()),indirect(""C"&amp;"""&amp;row()))=9,
COUNTIF($C$7:$C$102,indirect(""C""&amp;row()))&lt;=9),""Final - A3"",
AND(OR(""3x3 FMC""=C13,""3x3 MBLD""=C13),COUNTIF($C$7:indirect(""C""&amp;row()),indirect(""C""&amp;row()))=8,
COUNTIF($C$7:$C$102,indirect(""C""&amp;row()))&gt;9),""R3 - A2"",
AND(OR(""3x3 FMC"&amp;"""=C13,""3x3 MBLD""=C13),COUNTIF($C$7:indirect(""C""&amp;row()),indirect(""C""&amp;row()))=8,
COUNTIF($C$7:$C$102,indirect(""C""&amp;row()))&lt;=9),""Final - A2"",
AND(OR(""3x3 FMC""=C13,""3x3 MBLD""=C13),COUNTIF($C$7:indirect(""C""&amp;row()),indirect(""C""&amp;row()))=7,
COUN"&amp;"TIF($C$7:$C$102,indirect(""C""&amp;row()))&gt;9),""R3 - A1"",
AND(OR(""3x3 FMC""=C13,""3x3 MBLD""=C13),COUNTIF($C$7:indirect(""C""&amp;row()),indirect(""C""&amp;row()))=7,
COUNTIF($C$7:$C$102,indirect(""C""&amp;row()))&lt;=9),""Final - A1"",
AND(OR(""3x3 FMC""=C13,""3x3 MBLD"""&amp;"=C13),COUNTIF($C$7:indirect(""C""&amp;row()),indirect(""C""&amp;row()))=6,
COUNTIF($C$7:$C$102,indirect(""C""&amp;row()))&gt;6),""R2 - A3"",
AND(OR(""3x3 FMC""=C13,""3x3 MBLD""=C13),COUNTIF($C$7:indirect(""C""&amp;row()),indirect(""C""&amp;row()))=6,
COUNTIF($C$7:$C$102,indirec"&amp;"t(""C""&amp;row()))&lt;=6),""Final - A3"",
AND(OR(""3x3 FMC""=C13,""3x3 MBLD""=C13),COUNTIF($C$7:indirect(""C""&amp;row()),indirect(""C""&amp;row()))=5,
COUNTIF($C$7:$C$102,indirect(""C""&amp;row()))&gt;6),""R2 - A2"",
AND(OR(""3x3 FMC""=C13,""3x3 MBLD""=C13),COUNTIF($C$7:indi"&amp;"rect(""C""&amp;row()),indirect(""C""&amp;row()))=5,
COUNTIF($C$7:$C$102,indirect(""C""&amp;row()))&lt;=6),""Final - A2"",
AND(OR(""3x3 FMC""=C13,""3x3 MBLD""=C13),COUNTIF($C$7:indirect(""C""&amp;row()),indirect(""C""&amp;row()))=4,
COUNTIF($C$7:$C$102,indirect(""C""&amp;row()))&gt;6),"&amp;"""R2 - A1"",
AND(OR(""3x3 FMC""=C13,""3x3 MBLD""=C13),COUNTIF($C$7:indirect(""C""&amp;row()),indirect(""C""&amp;row()))=4,
COUNTIF($C$7:$C$102,indirect(""C""&amp;row()))&lt;=6),""Final - A1"",
AND(OR(""3x3 FMC""=C13,""3x3 MBLD""=C13),COUNTIF($C$7:indirect(""C""&amp;row()),i"&amp;"ndirect(""C""&amp;row()))=3),""R1 - A3"",
AND(OR(""3x3 FMC""=C13,""3x3 MBLD""=C13),COUNTIF($C$7:indirect(""C""&amp;row()),indirect(""C""&amp;row()))=2),""R1 - A2"",
AND(OR(""3x3 FMC""=C13,""3x3 MBLD""=C13),COUNTIF($C$7:indirect(""C""&amp;row()),indirect(""C""&amp;row()))=1),"&amp;"""R1 -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C13),ROUNDUP((FILTER(Info!$H$2:H81,Info!$A$2:A81=C13)/FILTER(Info!$H$2:H81,Info!$A$2:A81=$K$2))*$I$2)&gt;99),3,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C13),ROUNDUP((FILTER(Info!$H$2:H81,Info!$A$2:A81=C13)/FILTER(Info!$H$2:H81,Info!$A$2:A81=$K$2))*$I$2)&gt;15),2,
AND(COUNTIF($C$7:indirect(""C""&amp;row()),indirect(""C""&amp;row()))=2,COUNTIF($C$7:$C$102,indirect(""C""&amp;row()))=COUNTIF($"&amp;"C$7:indirect(""C""&amp;row()),indirect(""C""&amp;row()))),""Final"",
COUNTIF($C$7:indirect(""C""&amp;row()),indirect(""C""&amp;row()))=1,1,
COUNTIF($C$7:indirect(""C""&amp;row()),indirect(""C""&amp;row()))=0,"""")"),"")</f>
        <v/>
      </c>
      <c r="F13" s="39" t="str">
        <f>IFERROR(__xludf.DUMMYFUNCTION("IFS(C13="""","""",
AND(C13=""3x3 FMC"",MOD(COUNTIF($C$7:indirect(""C""&amp;row()),indirect(""C""&amp;row())),3)=0),""Mean of 3"",
AND(C13=""3x3 MBLD"",MOD(COUNTIF($C$7:indirect(""C""&amp;row()),indirect(""C""&amp;row())),3)=0),""Best of 3"",
AND(C13=""3x3 FMC"",MOD(COUNT"&amp;"IF($C$7:indirect(""C""&amp;row()),indirect(""C""&amp;row())),3)=2,
COUNTIF($C$7:$C$102,indirect(""C""&amp;row()))&lt;=COUNTIF($C$7:indirect(""C""&amp;row()),indirect(""C""&amp;row()))),""Best of 2"",
AND(C13=""3x3 FMC"",MOD(COUNTIF($C$7:indirect(""C""&amp;row()),indirect(""C""&amp;row("&amp;"))),3)=2,
COUNTIF($C$7:$C$102,indirect(""C""&amp;row()))&gt;COUNTIF($C$7:indirect(""C""&amp;row()),indirect(""C""&amp;row()))),""Mean of 3"",
AND(C13=""3x3 MBLD"",MOD(COUNTIF($C$7:indirect(""C""&amp;row()),indirect(""C""&amp;row())),3)=2,
COUNTIF($C$7:$C$102,indirect(""C""&amp;row("&amp;")))&lt;=COUNTIF($C$7:indirect(""C""&amp;row()),indirect(""C""&amp;row()))),""Best of 2"",
AND(C13=""3x3 MBLD"",MOD(COUNTIF($C$7:indirect(""C""&amp;row()),indirect(""C""&amp;row())),3)=2,
COUNTIF($C$7:$C$102,indirect(""C""&amp;row()))&gt;COUNTIF($C$7:indirect(""C""&amp;row()),indirect("&amp;"""C""&amp;row()))),""Best of 3"",
AND(C13=""3x3 FMC"",MOD(COUNTIF($C$7:indirect(""C""&amp;row()),indirect(""C""&amp;row())),3)=1,
COUNTIF($C$7:$C$102,indirect(""C""&amp;row()))&lt;=COUNTIF($C$7:indirect(""C""&amp;row()),indirect(""C""&amp;row()))),""Best of 1"",
AND(C13=""3x3 FMC"""&amp;",MOD(COUNTIF($C$7:indirect(""C""&amp;row()),indirect(""C""&amp;row())),3)=1,
COUNTIF($C$7:$C$102,indirect(""C""&amp;row()))=COUNTIF($C$7:indirect(""C""&amp;row()),indirect(""C""&amp;row()))+1),""Best of 2"",
AND(C13=""3x3 FMC"",MOD(COUNTIF($C$7:indirect(""C""&amp;row()),indirect"&amp;"(""C""&amp;row())),3)=1,
COUNTIF($C$7:$C$102,indirect(""C""&amp;row()))&gt;COUNTIF($C$7:indirect(""C""&amp;row()),indirect(""C""&amp;row()))),""Mean of 3"",
AND(C13=""3x3 MBLD"",MOD(COUNTIF($C$7:indirect(""C""&amp;row()),indirect(""C""&amp;row())),3)=1,
COUNTIF($C$7:$C$102,indirect"&amp;"(""C""&amp;row()))&lt;=COUNTIF($C$7:indirect(""C""&amp;row()),indirect(""C""&amp;row()))),""Best of 1"",
AND(C13=""3x3 MBLD"",MOD(COUNTIF($C$7:indirect(""C""&amp;row()),indirect(""C""&amp;row())),3)=1,
COUNTIF($C$7:$C$102,indirect(""C""&amp;row()))=COUNTIF($C$7:indirect(""C""&amp;row()"&amp;"),indirect(""C""&amp;row()))+1),""Best of 2"",
AND(C13=""3x3 MBLD"",MOD(COUNTIF($C$7:indirect(""C""&amp;row()),indirect(""C""&amp;row())),3)=1,
COUNTIF($C$7:$C$102,indirect(""C""&amp;row()))&gt;COUNTIF($C$7:indirect(""C""&amp;row()),indirect(""C""&amp;row()))),""Best of 3"",
TRUE,("&amp;"IFERROR(FILTER(Info!$D$2:D81, Info!$A$2:A81 = C13), """")))"),"")</f>
        <v/>
      </c>
      <c r="G13" s="40" t="str">
        <f>IFERROR(__xludf.DUMMYFUNCTION("IFS(OR(COUNTIF(Info!$A$22:A81,C13)&gt;0,C13=""""),"""",
OR(""3x3 MBLD""=C13,""3x3 FMC""=C13),60,
AND(E13=1,FILTER(Info!$F$2:F81, Info!$A$2:A81 = C13) = ""No""),FILTER(Info!$P$2:P81, Info!$A$2:A81 = C13),
AND(E13=2,FILTER(Info!$F$2:F81, Info!$A$2:A81 = C13) ="&amp;" ""No""),FILTER(Info!$Q$2:Q81, Info!$A$2:A81 = C13),
AND(E13=3,FILTER(Info!$F$2:F81, Info!$A$2:A81 = C13) = ""No""),FILTER(Info!$R$2:R81, Info!$A$2:A81 = C13),
AND(E13=""Final"",FILTER(Info!$F$2:F81, Info!$A$2:A81 = C13) = ""No""),FILTER(Info!$S$2:S81, In"&amp;"fo!$A$2:A81 = C13),
FILTER(Info!$F$2:F81, Info!$A$2:A81 = C13) = ""Yes"","""")"),"")</f>
        <v/>
      </c>
      <c r="H13" s="40" t="str">
        <f>IFERROR(__xludf.DUMMYFUNCTION("IFS(OR(COUNTIF(Info!$A$22:A81,C13)&gt;0,C13=""""),"""",
OR(""3x3 MBLD""=C13,""3x3 FMC""=C13)=TRUE,"""",
FILTER(Info!$F$2:F81, Info!$A$2:A81 = C13) = ""Yes"",FILTER(Info!$O$2:O81, Info!$A$2:A81 = C13),
FILTER(Info!$F$2:F81, Info!$A$2:A81 = C13) = ""No"",IF(G1"&amp;"3="""",FILTER(Info!$O$2:O81, Info!$A$2:A81 = C13),""""))"),"")</f>
        <v/>
      </c>
      <c r="I13" s="40" t="str">
        <f>IFERROR(__xludf.DUMMYFUNCTION("IFS(OR(COUNTIF(Info!$A$22:A81,C13)&gt;0,C13="""",H13&lt;&gt;""""),"""",
AND(E13&lt;&gt;1,E13&lt;&gt;""R1 - A1"",E13&lt;&gt;""R1 - A2"",E13&lt;&gt;""R1 - A3""),"""",
FILTER(Info!$E$2:E81, Info!$A$2:A81 = C13) = ""Yes"",IF(H13="""",FILTER(Info!$L$2:L81, Info!$A$2:A81 = C13),""""),
FILTER(I"&amp;"nfo!$E$2:E81, Info!$A$2:A81 = C13) = ""No"","""")"),"")</f>
        <v/>
      </c>
      <c r="J13" s="40" t="str">
        <f>IFERROR(__xludf.DUMMYFUNCTION("IFS(OR(COUNTIF(Info!$A$22:A81,C13)&gt;0,C13="""",""3x3 MBLD""=C13,""3x3 FMC""=C13),"""",
AND(E13=1,FILTER(Info!$H$2:H81,Info!$A$2:A81 = C13)&lt;=FILTER(Info!$H$2:H81,Info!$A$2:A81=$K$2)),
ROUNDUP((FILTER(Info!$H$2:H81,Info!$A$2:A81 = C13)/FILTER(Info!$H$2:H81,I"&amp;"nfo!$A$2:A81=$K$2))*$I$2),
AND(E13=1,FILTER(Info!$H$2:H81,Info!$A$2:A81 = C13)&gt;FILTER(Info!$H$2:H81,Info!$A$2:A81=$K$2)),""K2 - Error"",
AND(E13=2,FILTER($J$7:indirect(""J""&amp;row()-1),$C$7:indirect(""C""&amp;row()-1)=C13)&lt;=7),""J - Error"",
E13=2,FLOOR(FILTER("&amp;"$J$7:indirect(""J""&amp;row()-1),$C$7:indirect(""C""&amp;row()-1)=C13)*Info!$T$32),
AND(E13=3,FILTER($J$7:indirect(""J""&amp;row()-1),$C$7:indirect(""C""&amp;row()-1)=C13)&lt;=15),""J - Error"",
E13=3,FLOOR(Info!$T$32*FLOOR(FILTER($J$7:indirect(""J""&amp;row()-1),$C$7:indirect("&amp;"""C""&amp;row()-1)=C13)*Info!$T$32)),
AND(E13=""Final"",COUNTIF($C$7:$C$102,C13)=2,FILTER($J$7:indirect(""J""&amp;row()-1),$C$7:indirect(""C""&amp;row()-1)=C13)&lt;=7),""J - Error"",
AND(E13=""Final"",COUNTIF($C$7:$C$102,C13)=2),
MIN(P13,FLOOR(FILTER($J$7:indirect(""J"""&amp;"&amp;row()-1),$C$7:indirect(""C""&amp;row()-1)=C13)*Info!$T$32)),
AND(E13=""Final"",COUNTIF($C$7:$C$102,C13)=3,FILTER($J$7:indirect(""J""&amp;row()-1),$C$7:indirect(""C""&amp;row()-1)=C13)&lt;=15),""J - Error"",
AND(E13=""Final"",COUNTIF($C$7:$C$102,C13)=3),
MIN(P13,FLOOR(I"&amp;"nfo!$T$32*FLOOR(FILTER($J$7:indirect(""J""&amp;row()-1),$C$7:indirect(""C""&amp;row()-1)=C13)*Info!$T$32))),
AND(E13=""Final"",COUNTIF($C$7:$C$102,C13)&gt;=4,FILTER($J$7:indirect(""J""&amp;row()-1),$C$7:indirect(""C""&amp;row()-1)=C13)&lt;=99),""J - Error"",
AND(E13=""Final"","&amp;"COUNTIF($C$7:$C$102,C13)&gt;=4),
MIN(P13,FLOOR(Info!$T$32*FLOOR(Info!$T$32*FLOOR(FILTER($J$7:indirect(""J""&amp;row()-1),$C$7:indirect(""C""&amp;row()-1)=C13)*Info!$T$32)))))"),"")</f>
        <v/>
      </c>
      <c r="K13" s="41" t="str">
        <f>IFERROR(__xludf.DUMMYFUNCTION("IFS(AND(indirect(""D""&amp;row()+2)&lt;&gt;$E$2,indirect(""D""&amp;row()+1)=""""),CONCATENATE(""Tom rad! Kopiera hela rad ""&amp;row()&amp;"" dit""),
AND(indirect(""D""&amp;row()-1)&lt;&gt;""Rum"",indirect(""D""&amp;row()-1)=""""),CONCATENATE(""Tom rad! Kopiera hela rad ""&amp;row()&amp;"" dit""),
"&amp;"C13="""","""",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OR(AND(D13&lt;&gt;$E$2,D13&lt;&gt;$E$4,D13&lt;&gt;$K$4,D13&lt;&gt;$Q$4),D13="&amp;"""""),CONCATENATE(""Rum: ""&amp;D13&amp;"" finns ej, byt i D""&amp;row()),
AND(indirect(""D""&amp;row()-1)=""Rum"",C13=""""),CONCATENATE(""För att börja: skriv i cell C""&amp;row()),
AND(C13=""Paus"",M13&lt;=0),CONCATENATE(""Skriv pausens längd i M""&amp;row()),
OR(COUNTIF(Info!$A$"&amp;"22:A81,C13)&gt;0,C13=""""),"""",
AND(D13&lt;&gt;$E$2,$O$2=""Yes"",A13=""=time(hh;mm;ss)""),CONCATENATE(""Skriv starttid för ""&amp;C13&amp;"" i A""&amp;row()),
E13=""E - Error"",CONCATENATE(""För många ""&amp;C13&amp;"" rundor!""),
AND(C13&lt;&gt;""3x3 FMC"",C13&lt;&gt;""3x3 MBLD"",E13&lt;&gt;1,E13&lt;&gt;"&amp;"""Final"",IFERROR(FILTER($E$7:indirect(""E""&amp;row()-1),
$E$7:indirect(""E""&amp;row()-1)=E13-1,$C$7:indirect(""C""&amp;row()-1)=C13))=FALSE),CONCATENATE(""Kan ej vara R""&amp;E13&amp;"", saknar R""&amp;(E13-1)),
AND(indirect(""E""&amp;row()-1)&lt;&gt;""Omgång"",IFERROR(FILTER($E$7:indi"&amp;"rect(""E""&amp;row()-1),
$E$7:indirect(""E""&amp;row()-1)=E13,$C$7:indirect(""C""&amp;row()-1)=C13)=E13)=TRUE),CONCATENATE(""Runda ""&amp;E13&amp;"" i ""&amp;C13&amp;"" finns redan""),
AND(C13&lt;&gt;""3x3 BLD"",C13&lt;&gt;""4x4 BLD"",C13&lt;&gt;""5x5 BLD"",C13&lt;&gt;""4x4 / 5x5 BLD"",OR(E13=2,E13=3,E13="&amp;"""Final""),H13&lt;&gt;""""),CONCATENATE(E13&amp;""-rundor brukar ej ha c.t.l.""),
AND(OR(E13=2,E13=3,E13=""Final""),I13&lt;&gt;""""),CONCATENATE(E13&amp;""-rundor brukar ej ha cutoff""),
AND(OR(C13=""3x3 FMC"",C13=""3x3 MBLD""),OR(E13=1,E13=2,E13=3,E13=""Final"")),CONCATENAT"&amp;"E(C13&amp;""s omgång är Rx - Ax""),
AND(C13&lt;&gt;""3x3 MBLD"",C13&lt;&gt;""3x3 FMC"",FILTER(Info!$D$2:D81, Info!$A$2:A81 = C13)&lt;&gt;F13),CONCATENATE(C13&amp;"" måste ha formatet ""&amp;FILTER(Info!$D$2:D81, Info!$A$2:A81 = C13)),
AND(C13=""3x3 MBLD"",OR(F13=""Avg of 5"",F13=""Mea"&amp;"n of 3"")),CONCATENATE(""Ogiltigt format för ""&amp;C13),
AND(C13=""3x3 FMC"",OR(F13=""Avg of 5"",F13=""Best of 3"")),CONCATENATE(""Ogiltigt format för ""&amp;C13),
AND(OR(F13=""Best of 1"",F13=""Best of 2"",F13=""Best of 3""),I13&lt;&gt;""""),CONCATENATE(F13&amp;""-rundor"&amp;" får ej ha cutoff""),
AND(OR(C13=""3x3 FMC"",C13=""3x3 MBLD""),G13&lt;&gt;60),CONCATENATE(C13&amp;"" måste ha time limit: 60""),
AND(OR(C13=""3x3 FMC"",C13=""3x3 MBLD""),H13&lt;&gt;""""),CONCATENATE(C13&amp;"" kan inte ha c.t.l.""),
AND(G13&lt;&gt;"""",H13&lt;&gt;""""),""Välj time limit"&amp;" ELLER c.t.l"",
AND(C13=""6x6 / 7x7"",G13="""",H13=""""),""Sätt time limit (x / y) eller c.t.l (z)"",
AND(G13="""",H13=""""),""Sätt en time limit eller c.t.l"",
AND(OR(C13=""6x6 / 7x7"",C13=""4x4 / 5x5 BLD""),G13&lt;&gt;"""",REGEXMATCH(TO_TEXT(G13),"" / "")=FAL"&amp;"SE),CONCATENATE(""Time limit måste vara x / y""),
AND(H13&lt;&gt;"""",I13&lt;&gt;""""),CONCATENATE(C13&amp;"" brukar ej ha cutoff OCH c.t.l""),
AND(E13=1,H13="""",I13="""",OR(FILTER(Info!$E$2:E81, Info!$A$2:A81 = C13) = ""Yes"",FILTER(Info!$F$2:F81, Info!$A$2:A81 = C13) "&amp;"= ""Yes""),OR(F13=""Avg of 5"",F13=""Mean of 3"")),CONCATENATE(C13&amp;"" bör ha cutoff eller c.t.l""),
AND(C13=""6x6 / 7x7"",I13&lt;&gt;"""",REGEXMATCH(TO_TEXT(I13),"" / "")=FALSE),CONCATENATE(""Cutoff måste vara x / y""),
AND(H13&lt;&gt;"""",ISNUMBER(H13)=FALSE),""C.t."&amp;"l. måste vara positivt tal (x)"",
AND(C13&lt;&gt;""6x6 / 7x7"",I13&lt;&gt;"""",ISNUMBER(I13)=FALSE),""Cutoff måste vara positivt tal (x)"",
AND(H13&lt;&gt;"""",FILTER(Info!$E$2:E81, Info!$A$2:A81 = C13) = ""No"",FILTER(Info!$F$2:F81, Info!$A$2:A81 = C13) = ""No""),CONCATEN"&amp;"ATE(C13&amp;"" brukar inte ha c.t.l.""),
AND(I13&lt;&gt;"""",FILTER(Info!$E$2:E81, Info!$A$2:A81 = C13) = ""No"",FILTER(Info!$F$2:F81, Info!$A$2:A81 = C13) = ""No""),CONCATENATE(C13&amp;"" brukar inte ha cutoff""),
AND(H13="""",FILTER(Info!$F$2:F81, Info!$A$2:A81 = C13"&amp;") = ""Yes""),CONCATENATE(C13&amp;"" brukar ha c.t.l.""),
AND(C13&lt;&gt;""6x6 / 7x7"",C13&lt;&gt;""4x4 / 5x5 BLD"",G13&lt;&gt;"""",ISNUMBER(G13)=FALSE),""Time limit måste vara positivt tal (x)"",
J13=""J - Error"",CONCATENATE(""För få deltagare i R1 för ""&amp;COUNTIF($C$7:$C$102,"&amp;"indirect(""C""&amp;row()))&amp;"" rundor""),
J13=""K2 - Error"",CONCATENATE(C13&amp;"" är mer populär - byt i K2!""),
AND(C13&lt;&gt;""6x6 / 7x7"",C13&lt;&gt;""4x4 / 5x5 BLD"",G13&lt;&gt;"""",I13&lt;&gt;"""",G13&lt;=I13),""Time limit måste vara &gt; cutoff"",
AND(C13&lt;&gt;""6x6 / 7x7"",C13&lt;&gt;""4x4 / 5"&amp;"x5 BLD"",H13&lt;&gt;"""",I13&lt;&gt;"""",H13&lt;=I13),""C.t.l. måste vara &gt; cutoff"",
AND(C13&lt;&gt;""3x3 FMC"",C13&lt;&gt;""3x3 MBLD"",J13=""""),CONCATENATE(""Fyll i antal deltagare i J""&amp;row()),
AND(C13="""",OR(E13&lt;&gt;"""",F13&lt;&gt;"""",G13&lt;&gt;"""",H13&lt;&gt;"""",I13&lt;&gt;"""",J13&lt;&gt;"""")),""Skri"&amp;"v ALLTID gren / aktivitet först"",
AND(I13="""",H13="""",J13&lt;&gt;""""),J13,
OR(""3x3 FMC""=C13,""3x3 MBLD""=C13),J13,
AND(I13&lt;&gt;"""",""6x6 / 7x7""=C13),
IFS(ArrayFormula(SUM(IFERROR(SPLIT(I13,"" / ""))))&lt;(Info!$J$6+Info!$J$7)*2/3,CONCATENATE(""Höj helst cutof"&amp;"fs i ""&amp;C13),
ArrayFormula(SUM(IFERROR(SPLIT(I13,"" / ""))))&lt;=(Info!$J$6+Info!$J$7),ROUNDUP(J13*Info!$J$22),
ArrayFormula(SUM(IFERROR(SPLIT(I13,"" / ""))))&lt;=Info!$J$6+Info!$J$7,ROUNDUP(J13*Info!$K$22),
ArrayFormula(SUM(IFERROR(SPLIT(I13,"" / ""))))&lt;=Info!"&amp;"$K$6+Info!$K$7,ROUNDUP(J13*Info!L$22),
ArrayFormula(SUM(IFERROR(SPLIT(I13,"" / ""))))&lt;=Info!$L$6+Info!$L$7,ROUNDUP(J13*Info!$M$22),
ArrayFormula(SUM(IFERROR(SPLIT(I13,"" / ""))))&lt;=Info!$M$6+Info!$M$7,ROUNDUP(J13*Info!$N$22),
ArrayFormula(SUM(IFERROR(SPLIT"&amp;"(I13,"" / ""))))&lt;=(Info!$N$6+Info!$N$7)*3/2,ROUNDUP(J13*Info!$J$26),
ArrayFormula(SUM(IFERROR(SPLIT(I13,"" / ""))))&gt;(Info!$N$6+Info!$N$7)*3/2,CONCATENATE(""Sänk helst cutoffs i ""&amp;C13)),
AND(I13&lt;&gt;"""",FILTER(Info!$E$2:E81, Info!$A$2:A81 = C13) = ""Yes""),"&amp;"
IFS(I13&lt;FILTER(Info!$J$2:J81, Info!$A$2:A81 = C13)*2/3,CONCATENATE(""Höj helst cutoff i ""&amp;C13),
I13&lt;=FILTER(Info!$J$2:J81, Info!$A$2:A81 = C13),ROUNDUP(J13*Info!$J$22),
I13&lt;=FILTER(Info!$K$2:K81, Info!$A$2:A81 = C13),ROUNDUP(J13*Info!$K$22),
I13&lt;=FILTER"&amp;"(Info!$L$2:L81, Info!$A$2:A81 = C13),ROUNDUP(J13*Info!L$22),
I13&lt;=FILTER(Info!$M$2:M81, Info!$A$2:A81 = C13),ROUNDUP(J13*Info!$M$22),
I13&lt;=FILTER(Info!$N$2:N81, Info!$A$2:A81 = C13),ROUNDUP(J13*Info!$N$22),
I13&lt;=FILTER(Info!$N$2:N81, Info!$A$2:A81 = C13)*"&amp;"3/2,ROUNDUP(J13*Info!$J$26),
I13&gt;FILTER(Info!$N$2:N81, Info!$A$2:A81 = C13)*3/2,CONCATENATE(""Sänk helst cutoff i ""&amp;C13)),
AND(H13&lt;&gt;"""",""6x6 / 7x7""=C13),
IFS(H13/3&lt;=(Info!$J$6+Info!$J$7)*2/3,""Höj helst cumulative time limit"",
H13/3&lt;=Info!$J$6+Info!$"&amp;"J$7,ROUNDUP(J13*Info!$J$24),
H13/3&lt;=Info!$K$6+Info!$K$7,ROUNDUP(J13*Info!$K$24),
H13/3&lt;=Info!$L$6+Info!$L$7,ROUNDUP(J13*Info!L$24),
H13/3&lt;=Info!$M$6+Info!$M$7,ROUNDUP(J13*Info!$M$24),
H13/3&lt;=Info!$N$6+Info!$N$7,ROUNDUP(J13*Info!$N$24),
H13/3&lt;=(Info!$N$6+I"&amp;"nfo!$N$7)*3/2,ROUNDUP(J13*Info!$L$26),
H13/3&gt;(Info!$J$6+Info!$J$7)*3/2,""Sänk helst cumulative time limit""),
AND(H13&lt;&gt;"""",FILTER(Info!$F$2:F81, Info!$A$2:A81 = C13) = ""Yes""),
IFS(H13&lt;=FILTER(Info!$J$2:J81, Info!$A$2:A81 = C13)*2/3,CONCATENATE(""Höj he"&amp;"lst c.t.l. i ""&amp;C13),
H13&lt;=FILTER(Info!$J$2:J81, Info!$A$2:A81 = C13),ROUNDUP(J13*Info!$J$24),
H13&lt;=FILTER(Info!$K$2:K81, Info!$A$2:A81 = C13),ROUNDUP(J13*Info!$K$24),
H13&lt;=FILTER(Info!$L$2:L81, Info!$A$2:A81 = C13),ROUNDUP(J13*Info!L$24),
H13&lt;=FILTER(Inf"&amp;"o!$M$2:M81, Info!$A$2:A81 = C13),ROUNDUP(J13*Info!$M$24),
H13&lt;=FILTER(Info!$N$2:N81, Info!$A$2:A81 = C13),ROUNDUP(J13*Info!$N$24),
H13&lt;=FILTER(Info!$N$2:N81, Info!$A$2:A81 = C13)*3/2,ROUNDUP(J13*Info!$L$26),
H13&gt;FILTER(Info!$N$2:N81, Info!$A$2:A81 = C13)*"&amp;"3/2,CONCATENATE(""Sänk helst c.t.l. i ""&amp;C13)),
AND(H13&lt;&gt;"""",FILTER(Info!$F$2:F81, Info!$A$2:A81 = C13) = ""No""),
IFS(H13/AA13&lt;=FILTER(Info!$J$2:J81, Info!$A$2:A81 = C13)*2/3,CONCATENATE(""Höj helst c.t.l. i ""&amp;C13),
H13/AA13&lt;=FILTER(Info!$J$2:J81, Info"&amp;"!$A$2:A81 = C13),ROUNDUP(J13*Info!$J$24),
H13/AA13&lt;=FILTER(Info!$K$2:K81, Info!$A$2:A81 = C13),ROUNDUP(J13*Info!$K$24),
H13/AA13&lt;=FILTER(Info!$L$2:L81, Info!$A$2:A81 = C13),ROUNDUP(J13*Info!L$24),
H13/AA13&lt;=FILTER(Info!$M$2:M81, Info!$A$2:A81 = C13),ROUND"&amp;"UP(J13*Info!$M$24),
H13/AA13&lt;=FILTER(Info!$N$2:N81, Info!$A$2:A81 = C13),ROUNDUP(J13*Info!$N$24),
H13/AA13&lt;=FILTER(Info!$N$2:N81, Info!$A$2:A81 = C13)*3/2,ROUNDUP(J13*Info!$L$26),
H13/AA13&gt;FILTER(Info!$N$2:N81, Info!$A$2:A81 = C13)*3/2,CONCATENATE(""Sänk "&amp;"helst c.t.l. i ""&amp;C13)),
AND(I13="""",H13&lt;&gt;"""",J13&lt;&gt;""""),ROUNDUP(J13*Info!$T$29),
AND(I13&lt;&gt;"""",H13="""",J13&lt;&gt;""""),ROUNDUP(J13*Info!$T$26))"),"")</f>
        <v/>
      </c>
      <c r="L13" s="42">
        <f>IFERROR(__xludf.DUMMYFUNCTION("IFS(C13="""",0,
C13=""3x3 FMC"",Info!$B$9*N13+M13, C13=""3x3 MBLD"",Info!$B$18*N13+M13,
COUNTIF(Info!$A$22:A81,C13)&gt;0,FILTER(Info!$B$22:B81,Info!$A$22:A81=C13)+M13,
AND(C13&lt;&gt;"""",E13=""""),CONCATENATE(""Fyll i E""&amp;row()),
AND(C13&lt;&gt;"""",E13&lt;&gt;"""",E13&lt;&gt;1,E1"&amp;"3&lt;&gt;2,E13&lt;&gt;3,E13&lt;&gt;""Final""),CONCATENATE(""Fel format på E""&amp;row()),
K13=CONCATENATE(""Runda ""&amp;E13&amp;"" i ""&amp;C13&amp;"" finns redan""),CONCATENATE(""Fel i E""&amp;row()),
AND(C13&lt;&gt;"""",F13=""""),CONCATENATE(""Fyll i F""&amp;row()),
K13=CONCATENATE(C13&amp;"" måste ha forma"&amp;"tet ""&amp;FILTER(Info!$D$2:D81, Info!$A$2:A81 = C13)),CONCATENATE(""Fel format på F""&amp;row()),
AND(C13&lt;&gt;"""",D13=1,H13="""",FILTER(Info!$F$2:F81, Info!$A$2:A81 = C13) = ""Yes""),CONCATENATE(""Fyll i H""&amp;row()),
AND(C13&lt;&gt;"""",D13=1,I13="""",FILTER(Info!$E$2:E8"&amp;"1, Info!$A$2:A81 = C13) = ""Yes""),CONCATENATE(""Fyll i I""&amp;row()),
AND(C13&lt;&gt;"""",J13=""""),CONCATENATE(""Fyll i J""&amp;row()),
AND(C13&lt;&gt;"""",K13="""",OR(H13&lt;&gt;"""",I13&lt;&gt;"""")),CONCATENATE(""Fyll i K""&amp;row()),
AND(C13&lt;&gt;"""",K13=""""),CONCATENATE(""Skriv samma"&amp;" i K""&amp;row()&amp;"" som i J""&amp;row()),
AND(OR(C13=""4x4 BLD"",C13=""5x5 BLD"",C13=""4x4 / 5x5 BLD"")=TRUE,V13&lt;=P13),
MROUND(H13*(Info!$T$20-((Info!$T$20-1)/2)*(1-V13/P13))*(1+((J13/K13)-1)*(1-Info!$J$24))*N13+(Info!$T$11/2)+(N13*Info!$T$11)+(N13*Info!$T$14*(O1"&amp;"3-1)),0.01)+M13,
AND(OR(C13=""4x4 BLD"",C13=""5x5 BLD"",C13=""4x4 / 5x5 BLD"")=TRUE,V13&gt;P13),
MROUND((((J13*Z13+K13*(AA13-Z13))*(H13*Info!$T$20/AA13))/X13)*(1+((J13/K13)-1)*(1-Info!$J$24))*(1+(X13-Info!$T$8)/100)+(Info!$T$11/2)+(N13*Info!$T$11)+(N13*Info!"&amp;"$T$14*(O13-1)),0.01)+M13,
AND(C13=""3x3 BLD"",V13&lt;=P13),
MROUND(H13*(Info!$T$23-((Info!$T$23-1)/2)*(1-V13/P13))*(1+((J13/K13)-1)*(1-Info!$J$24))*N13+(Info!$T$11/2)+(N13*Info!$T$11)+(N13*Info!$T$14*(O13-1)),0.01)+M13,
AND(C13=""3x3 BLD"",V13&gt;P13),
MROUND(("&amp;"((J13*Z13+K13*(AA13-Z13))*(H13*Info!$T$23/AA13))/X13)*(1+((J13/K13)-1)*(1-Info!$J$24))*(1+(X13-Info!$T$8)/100)+(Info!$T$11/2)+(N13*Info!$T$11)+(N13*Info!$T$14*(O13-1)),0.01)+M13,
E13=1,MROUND((((J13*Z13+K13*(AA13-Z13))*Y13)/X13)*(1+(X13-Info!$T$8)/100)+(N"&amp;"13*Info!$T$11)+(N13*Info!$T$14*(O13-1)),0.01)+M13,
AND(E13=""Final"",N13=1,FILTER(Info!$G$2:$G$20,Info!$A$2:$A$20=C13)=""Mycket svår""),
MROUND((((J13*Z13+K13*(AA13-Z13))*(Y13*Info!$T$38))/X13)*(1+(X13-Info!$T$8)/100)+(N13*Info!$T$11)+(N13*Info!$T$14*(O13"&amp;"-1)),0.01)+M13,
AND(E13=""Final"",N13=1,FILTER(Info!$G$2:$G$20,Info!$A$2:$A$20=C13)=""Svår""),
MROUND((((J13*Z13+K13*(AA13-Z13))*(Y13*Info!$T$35))/X13)*(1+(X13-Info!$T$8)/100)+(N13*Info!$T$11)+(N13*Info!$T$14*(O13-1)),0.01)+M13,
E13=""Final"",MROUND((((J1"&amp;"3*Z13+K13*(AA13-Z13))*(Y13*Info!$T$5))/X13)*(1+(X13-Info!$T$8)/100)+(N13*Info!$T$11)+(N13*Info!$T$14*(O13-1)),0.01)+M13,
OR(E13=2,E13=3),MROUND((((J13*Z13+K13*(AA13-Z13))*(Y13*Info!$T$2))/X13)*(1+(X13-Info!$T$8)/100)+(N13*Info!$T$11)+(N13*Info!$T$14*(O13-"&amp;"1)),0.01)+M13)"),0.0)</f>
        <v>0</v>
      </c>
      <c r="M13" s="43">
        <f t="shared" si="1"/>
        <v>0</v>
      </c>
      <c r="N13" s="43" t="str">
        <f>IFS(OR(COUNTIF(Info!$A$22:A81,C13)&gt;0,C13=""),"",
OR(C13="4x4 BLD",C13="5x5 BLD",C13="3x3 MBLD",C13="3x3 FMC",C13="4x4 / 5x5 BLD"),1,
AND(E13="Final",Q13="Yes",MAX(1,ROUNDUP(J13/P13))&gt;1),MAX(2,ROUNDUP(J13/P13)),
AND(E13="Final",Q13="No",MAX(1,ROUNDUP(J13/((P13*2)+2.625-Y13*1.5)))&gt;1),MAX(2,ROUNDUP(J13/((P13*2)+2.625-Y13*1.5))),
E13="Final",1,
Q13="Yes",MAX(2,ROUNDUP(J13/P13)),
TRUE,MAX(2,ROUNDUP(J13/((P13*2)+2.625-Y13*1.5))))</f>
        <v/>
      </c>
      <c r="O13" s="43" t="str">
        <f>IFS(OR(COUNTIF(Info!$A$22:A81,C13)&gt;0,C13=""),"",
OR("3x3 MBLD"=C13,"3x3 FMC"=C13)=TRUE,"",
D13=$E$4,$G$6,D13=$K$4,$M$6,D13=$Q$4,$S$6,D13=$W$4,$Y$6,
TRUE,$S$2)</f>
        <v/>
      </c>
      <c r="P13" s="43" t="str">
        <f>IFS(OR(COUNTIF(Info!$A$22:A81,C13)&gt;0,C13=""),"",
OR("3x3 MBLD"=C13,"3x3 FMC"=C13)=TRUE,"",
D13=$E$4,$E$6,D13=$K$4,$K$6,D13=$Q$4,$Q$6,D13=$W$4,$W$6,
TRUE,$Q$2)</f>
        <v/>
      </c>
      <c r="Q13" s="44" t="str">
        <f>IFS(OR(COUNTIF(Info!$A$22:A81,C13)&gt;0,C13=""),"",
OR("3x3 MBLD"=C13,"3x3 FMC"=C13)=TRUE,"",
D13=$E$4,$I$6,D13=$K$4,$O$6,D13=$Q$4,$U$6,D13=$W$4,$AA$6,
TRUE,$U$2)</f>
        <v/>
      </c>
      <c r="R13" s="45" t="str">
        <f>IFERROR(__xludf.DUMMYFUNCTION("IF(C13="""","""",IFERROR(FILTER(Info!$B$22:B81,Info!$A$22:A81=C13)+M13,""?""))"),"")</f>
        <v/>
      </c>
      <c r="S13" s="46" t="str">
        <f>IFS(OR(COUNTIF(Info!$A$22:A81,C13)&gt;0,C13=""),"",
AND(H13="",I13=""),J13,
TRUE,"?")</f>
        <v/>
      </c>
      <c r="T13" s="45" t="str">
        <f>IFS(OR(COUNTIF(Info!$A$22:A81,C13)&gt;0,C13=""),"",
AND(L13&lt;&gt;0,OR(R13="?",R13="")),"Fyll i R-kolumnen",
OR(C13="3x3 FMC",C13="3x3 MBLD"),R13,
AND(L13&lt;&gt;0,OR(S13="?",S13="")),"Fyll i S-kolumnen",
OR(COUNTIF(Info!$A$22:A81,C13)&gt;0,C13=""),"",
TRUE,Y13*R13/L13)</f>
        <v/>
      </c>
      <c r="U13" s="45"/>
      <c r="V13" s="47" t="str">
        <f>IFS(OR(COUNTIF(Info!$A$22:A81,C13)&gt;0,C13=""),"",
OR("3x3 MBLD"=C13,"3x3 FMC"=C13)=TRUE,"",
TRUE,MROUND((J13/N13),0.01))</f>
        <v/>
      </c>
      <c r="W13" s="48" t="str">
        <f>IFS(OR(COUNTIF(Info!$A$22:A81,C13)&gt;0,C13=""),"",
TRUE,L13/N13)</f>
        <v/>
      </c>
      <c r="X13" s="49" t="str">
        <f>IFS(OR(COUNTIF(Info!$A$22:A81,C13)&gt;0,C13=""),"",
OR("3x3 MBLD"=C13,"3x3 FMC"=C13)=TRUE,"",
OR(C13="4x4 BLD",C13="5x5 BLD",C13="4x4 / 5x5 BLD",AND(C13="3x3 BLD",H13&lt;&gt;""))=TRUE,MIN(V13,P13),
TRUE,MIN(P13,V13,MROUND(((V13*2/3)+((Y13-1.625)/2)),0.01)))</f>
        <v/>
      </c>
      <c r="Y13" s="48" t="str">
        <f>IFERROR(__xludf.DUMMYFUNCTION("IFS(OR(COUNTIF(Info!$A$22:A81,C13)&gt;0,C13=""""),"""",
FILTER(Info!$F$2:F81, Info!$A$2:A81 = C13) = ""Yes"",H13/AA13,
""3x3 FMC""=C13,Info!$B$9,""3x3 MBLD""=C13,Info!$B$18,
AND(E13=1,I13="""",H13="""",Q13=""No"",G13&gt;SUMIF(Info!$A$2:A81,C13,Info!$B$2:B81)*1."&amp;"5),
MIN(SUMIF(Info!$A$2:A81,C13,Info!$B$2:B81)*1.1,SUMIF(Info!$A$2:A81,C13,Info!$B$2:B81)*(1.15-(0.15*(SUMIF(Info!$A$2:A81,C13,Info!$B$2:B81)*1.5)/G13))),
AND(E13=1,I13="""",H13="""",Q13=""Yes"",G13&gt;SUMIF(Info!$A$2:A81,C13,Info!$C$2:C81)*1.5),
MIN(SUMIF(I"&amp;"nfo!$A$2:A81,C13,Info!$C$2:C81)*1.1,SUMIF(Info!$A$2:A81,C13,Info!$C$2:C81)*(1.15-(0.15*(SUMIF(Info!$A$2:A81,C13,Info!$C$2:C81)*1.5)/G13))),
Q13=""No"",SUMIF(Info!$A$2:A81,C13,Info!$B$2:B81),
Q13=""Yes"",SUMIF(Info!$A$2:A81,C13,Info!$C$2:C81))"),"")</f>
        <v/>
      </c>
      <c r="Z13" s="47" t="str">
        <f>IFS(OR(COUNTIF(Info!$A$22:A81,C13)&gt;0,C13=""),"",
AND(OR("3x3 FMC"=C13,"3x3 MBLD"=C13),I13&lt;&gt;""),1,
AND(OR(H13&lt;&gt;"",I13&lt;&gt;""),F13="Avg of 5"),2,
F13="Avg of 5",AA13,
AND(OR(H13&lt;&gt;"",I13&lt;&gt;""),F13="Mean of 3",C13="6x6 / 7x7"),2,
AND(OR(H13&lt;&gt;"",I13&lt;&gt;""),F13="Mean of 3"),1,
F13="Mean of 3",AA13,
AND(OR(H13&lt;&gt;"",I13&lt;&gt;""),F13="Best of 3",C13="4x4 / 5x5 BLD"),2,
AND(OR(H13&lt;&gt;"",I13&lt;&gt;""),F13="Best of 3"),1,
F13="Best of 2",AA13,
F13="Best of 1",AA13)</f>
        <v/>
      </c>
      <c r="AA13" s="47" t="str">
        <f>IFS(OR(COUNTIF(Info!$A$22:A81,C13)&gt;0,C13=""),"",
AND(OR("3x3 MBLD"=C13,"3x3 FMC"=C13),F13="Best of 1"=TRUE),1,
AND(OR("3x3 MBLD"=C13,"3x3 FMC"=C13),F13="Best of 2"=TRUE),2,
AND(OR("3x3 MBLD"=C13,"3x3 FMC"=C13),OR(F13="Best of 3",F13="Mean of 3")=TRUE),3,
AND(F13="Mean of 3",C13="6x6 / 7x7"),6,
AND(F13="Best of 3",C13="4x4 / 5x5 BLD"),6,
F13="Avg of 5",5,F13="Mean of 3",3,F13="Best of 3",3,F13="Best of 2",2,F13="Best of 1",1)</f>
        <v/>
      </c>
      <c r="AB13" s="50"/>
    </row>
    <row r="14" ht="15.75" customHeight="1">
      <c r="A14" s="35">
        <f>IFERROR(__xludf.DUMMYFUNCTION("IFS(indirect(""A""&amp;row()-1)=""Start"",TIME(indirect(""A""&amp;row()-2),indirect(""B""&amp;row()-2),0),
$O$2=""No"",TIME(0,($A$6*60+$B$6)+CEILING(SUM($L$7:indirect(""L""&amp;row()-1)),5),0),
D14=$E$2,TIME(0,($A$6*60+$B$6)+CEILING(SUM(IFERROR(FILTER($L$7:indirect(""L"""&amp;"&amp;row()-1),REGEXMATCH($D$7:indirect(""D""&amp;row()-1),$E$2)),0)),5),0),
TRUE,""=time(hh;mm;ss)"")"),0.4166666666666667)</f>
        <v>0.4166666667</v>
      </c>
      <c r="B14" s="36">
        <f>IFERROR(__xludf.DUMMYFUNCTION("IFS($O$2=""No"",TIME(0,($A$6*60+$B$6)+CEILING(SUM($L$7:indirect(""L""&amp;row())),5),0),
D14=$E$2,TIME(0,($A$6*60+$B$6)+CEILING(SUM(FILTER($L$7:indirect(""L""&amp;row()),REGEXMATCH($D$7:indirect(""D""&amp;row()),$E$2))),5),0),
A14=""=time(hh;mm;ss)"",CONCATENATE(""Sk"&amp;"riv tid i A""&amp;row()),
AND(A14&lt;&gt;"""",A14&lt;&gt;""=time(hh;mm;ss)""),A14+TIME(0,CEILING(indirect(""L""&amp;row()),5),0))"),0.4166666666666667)</f>
        <v>0.4166666667</v>
      </c>
      <c r="C14" s="37"/>
      <c r="D14" s="38" t="str">
        <f t="shared" si="2"/>
        <v>Stora salen</v>
      </c>
      <c r="E14" s="38" t="str">
        <f>IFERROR(__xludf.DUMMYFUNCTION("IFS(COUNTIF(Info!$A$22:A81,C14)&gt;0,"""",
AND(OR(""3x3 FMC""=C14,""3x3 MBLD""=C14),COUNTIF($C$7:indirect(""C""&amp;row()),indirect(""C""&amp;row()))&gt;=13),""E - Error"",
AND(OR(""3x3 FMC""=C14,""3x3 MBLD""=C14),COUNTIF($C$7:indirect(""C""&amp;row()),indirect(""C""&amp;row()"&amp;"))=12),""Final - A3"",
AND(OR(""3x3 FMC""=C14,""3x3 MBLD""=C14),COUNTIF($C$7:indirect(""C""&amp;row()),indirect(""C""&amp;row()))=11),""Final - A2"",
AND(OR(""3x3 FMC""=C14,""3x3 MBLD""=C14),COUNTIF($C$7:indirect(""C""&amp;row()),indirect(""C""&amp;row()))=10),""Final - "&amp;"A1"",
AND(OR(""3x3 FMC""=C14,""3x3 MBLD""=C14),COUNTIF($C$7:indirect(""C""&amp;row()),indirect(""C""&amp;row()))=9,
COUNTIF($C$7:$C$102,indirect(""C""&amp;row()))&gt;9),""R3 - A3"",
AND(OR(""3x3 FMC""=C14,""3x3 MBLD""=C14),COUNTIF($C$7:indirect(""C""&amp;row()),indirect(""C"&amp;"""&amp;row()))=9,
COUNTIF($C$7:$C$102,indirect(""C""&amp;row()))&lt;=9),""Final - A3"",
AND(OR(""3x3 FMC""=C14,""3x3 MBLD""=C14),COUNTIF($C$7:indirect(""C""&amp;row()),indirect(""C""&amp;row()))=8,
COUNTIF($C$7:$C$102,indirect(""C""&amp;row()))&gt;9),""R3 - A2"",
AND(OR(""3x3 FMC"&amp;"""=C14,""3x3 MBLD""=C14),COUNTIF($C$7:indirect(""C""&amp;row()),indirect(""C""&amp;row()))=8,
COUNTIF($C$7:$C$102,indirect(""C""&amp;row()))&lt;=9),""Final - A2"",
AND(OR(""3x3 FMC""=C14,""3x3 MBLD""=C14),COUNTIF($C$7:indirect(""C""&amp;row()),indirect(""C""&amp;row()))=7,
COUN"&amp;"TIF($C$7:$C$102,indirect(""C""&amp;row()))&gt;9),""R3 - A1"",
AND(OR(""3x3 FMC""=C14,""3x3 MBLD""=C14),COUNTIF($C$7:indirect(""C""&amp;row()),indirect(""C""&amp;row()))=7,
COUNTIF($C$7:$C$102,indirect(""C""&amp;row()))&lt;=9),""Final - A1"",
AND(OR(""3x3 FMC""=C14,""3x3 MBLD"""&amp;"=C14),COUNTIF($C$7:indirect(""C""&amp;row()),indirect(""C""&amp;row()))=6,
COUNTIF($C$7:$C$102,indirect(""C""&amp;row()))&gt;6),""R2 - A3"",
AND(OR(""3x3 FMC""=C14,""3x3 MBLD""=C14),COUNTIF($C$7:indirect(""C""&amp;row()),indirect(""C""&amp;row()))=6,
COUNTIF($C$7:$C$102,indirec"&amp;"t(""C""&amp;row()))&lt;=6),""Final - A3"",
AND(OR(""3x3 FMC""=C14,""3x3 MBLD""=C14),COUNTIF($C$7:indirect(""C""&amp;row()),indirect(""C""&amp;row()))=5,
COUNTIF($C$7:$C$102,indirect(""C""&amp;row()))&gt;6),""R2 - A2"",
AND(OR(""3x3 FMC""=C14,""3x3 MBLD""=C14),COUNTIF($C$7:indi"&amp;"rect(""C""&amp;row()),indirect(""C""&amp;row()))=5,
COUNTIF($C$7:$C$102,indirect(""C""&amp;row()))&lt;=6),""Final - A2"",
AND(OR(""3x3 FMC""=C14,""3x3 MBLD""=C14),COUNTIF($C$7:indirect(""C""&amp;row()),indirect(""C""&amp;row()))=4,
COUNTIF($C$7:$C$102,indirect(""C""&amp;row()))&gt;6),"&amp;"""R2 - A1"",
AND(OR(""3x3 FMC""=C14,""3x3 MBLD""=C14),COUNTIF($C$7:indirect(""C""&amp;row()),indirect(""C""&amp;row()))=4,
COUNTIF($C$7:$C$102,indirect(""C""&amp;row()))&lt;=6),""Final - A1"",
AND(OR(""3x3 FMC""=C14,""3x3 MBLD""=C14),COUNTIF($C$7:indirect(""C""&amp;row()),i"&amp;"ndirect(""C""&amp;row()))=3),""R1 - A3"",
AND(OR(""3x3 FMC""=C14,""3x3 MBLD""=C14),COUNTIF($C$7:indirect(""C""&amp;row()),indirect(""C""&amp;row()))=2),""R1 - A2"",
AND(OR(""3x3 FMC""=C14,""3x3 MBLD""=C14),COUNTIF($C$7:indirect(""C""&amp;row()),indirect(""C""&amp;row()))=1),"&amp;"""R1 -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C14),ROUNDUP((FILTER(Info!$H$2:H81,Info!$A$2:A81=C14)/FILTER(Info!$H$2:H81,Info!$A$2:A81=$K$2))*$I$2)&gt;99),3,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C14),ROUNDUP((FILTER(Info!$H$2:H81,Info!$A$2:A81=C14)/FILTER(Info!$H$2:H81,Info!$A$2:A81=$K$2))*$I$2)&gt;15),2,
AND(COUNTIF($C$7:indirect(""C""&amp;row()),indirect(""C""&amp;row()))=2,COUNTIF($C$7:$C$102,indirect(""C""&amp;row()))=COUNTIF($"&amp;"C$7:indirect(""C""&amp;row()),indirect(""C""&amp;row()))),""Final"",
COUNTIF($C$7:indirect(""C""&amp;row()),indirect(""C""&amp;row()))=1,1,
COUNTIF($C$7:indirect(""C""&amp;row()),indirect(""C""&amp;row()))=0,"""")"),"")</f>
        <v/>
      </c>
      <c r="F14" s="39" t="str">
        <f>IFERROR(__xludf.DUMMYFUNCTION("IFS(C14="""","""",
AND(C14=""3x3 FMC"",MOD(COUNTIF($C$7:indirect(""C""&amp;row()),indirect(""C""&amp;row())),3)=0),""Mean of 3"",
AND(C14=""3x3 MBLD"",MOD(COUNTIF($C$7:indirect(""C""&amp;row()),indirect(""C""&amp;row())),3)=0),""Best of 3"",
AND(C14=""3x3 FMC"",MOD(COUNT"&amp;"IF($C$7:indirect(""C""&amp;row()),indirect(""C""&amp;row())),3)=2,
COUNTIF($C$7:$C$102,indirect(""C""&amp;row()))&lt;=COUNTIF($C$7:indirect(""C""&amp;row()),indirect(""C""&amp;row()))),""Best of 2"",
AND(C14=""3x3 FMC"",MOD(COUNTIF($C$7:indirect(""C""&amp;row()),indirect(""C""&amp;row("&amp;"))),3)=2,
COUNTIF($C$7:$C$102,indirect(""C""&amp;row()))&gt;COUNTIF($C$7:indirect(""C""&amp;row()),indirect(""C""&amp;row()))),""Mean of 3"",
AND(C14=""3x3 MBLD"",MOD(COUNTIF($C$7:indirect(""C""&amp;row()),indirect(""C""&amp;row())),3)=2,
COUNTIF($C$7:$C$102,indirect(""C""&amp;row("&amp;")))&lt;=COUNTIF($C$7:indirect(""C""&amp;row()),indirect(""C""&amp;row()))),""Best of 2"",
AND(C14=""3x3 MBLD"",MOD(COUNTIF($C$7:indirect(""C""&amp;row()),indirect(""C""&amp;row())),3)=2,
COUNTIF($C$7:$C$102,indirect(""C""&amp;row()))&gt;COUNTIF($C$7:indirect(""C""&amp;row()),indirect("&amp;"""C""&amp;row()))),""Best of 3"",
AND(C14=""3x3 FMC"",MOD(COUNTIF($C$7:indirect(""C""&amp;row()),indirect(""C""&amp;row())),3)=1,
COUNTIF($C$7:$C$102,indirect(""C""&amp;row()))&lt;=COUNTIF($C$7:indirect(""C""&amp;row()),indirect(""C""&amp;row()))),""Best of 1"",
AND(C14=""3x3 FMC"""&amp;",MOD(COUNTIF($C$7:indirect(""C""&amp;row()),indirect(""C""&amp;row())),3)=1,
COUNTIF($C$7:$C$102,indirect(""C""&amp;row()))=COUNTIF($C$7:indirect(""C""&amp;row()),indirect(""C""&amp;row()))+1),""Best of 2"",
AND(C14=""3x3 FMC"",MOD(COUNTIF($C$7:indirect(""C""&amp;row()),indirect"&amp;"(""C""&amp;row())),3)=1,
COUNTIF($C$7:$C$102,indirect(""C""&amp;row()))&gt;COUNTIF($C$7:indirect(""C""&amp;row()),indirect(""C""&amp;row()))),""Mean of 3"",
AND(C14=""3x3 MBLD"",MOD(COUNTIF($C$7:indirect(""C""&amp;row()),indirect(""C""&amp;row())),3)=1,
COUNTIF($C$7:$C$102,indirect"&amp;"(""C""&amp;row()))&lt;=COUNTIF($C$7:indirect(""C""&amp;row()),indirect(""C""&amp;row()))),""Best of 1"",
AND(C14=""3x3 MBLD"",MOD(COUNTIF($C$7:indirect(""C""&amp;row()),indirect(""C""&amp;row())),3)=1,
COUNTIF($C$7:$C$102,indirect(""C""&amp;row()))=COUNTIF($C$7:indirect(""C""&amp;row()"&amp;"),indirect(""C""&amp;row()))+1),""Best of 2"",
AND(C14=""3x3 MBLD"",MOD(COUNTIF($C$7:indirect(""C""&amp;row()),indirect(""C""&amp;row())),3)=1,
COUNTIF($C$7:$C$102,indirect(""C""&amp;row()))&gt;COUNTIF($C$7:indirect(""C""&amp;row()),indirect(""C""&amp;row()))),""Best of 3"",
TRUE,("&amp;"IFERROR(FILTER(Info!$D$2:D81, Info!$A$2:A81 = C14), """")))"),"")</f>
        <v/>
      </c>
      <c r="G14" s="40" t="str">
        <f>IFERROR(__xludf.DUMMYFUNCTION("IFS(OR(COUNTIF(Info!$A$22:A81,C14)&gt;0,C14=""""),"""",
OR(""3x3 MBLD""=C14,""3x3 FMC""=C14),60,
AND(E14=1,FILTER(Info!$F$2:F81, Info!$A$2:A81 = C14) = ""No""),FILTER(Info!$P$2:P81, Info!$A$2:A81 = C14),
AND(E14=2,FILTER(Info!$F$2:F81, Info!$A$2:A81 = C14) ="&amp;" ""No""),FILTER(Info!$Q$2:Q81, Info!$A$2:A81 = C14),
AND(E14=3,FILTER(Info!$F$2:F81, Info!$A$2:A81 = C14) = ""No""),FILTER(Info!$R$2:R81, Info!$A$2:A81 = C14),
AND(E14=""Final"",FILTER(Info!$F$2:F81, Info!$A$2:A81 = C14) = ""No""),FILTER(Info!$S$2:S81, In"&amp;"fo!$A$2:A81 = C14),
FILTER(Info!$F$2:F81, Info!$A$2:A81 = C14) = ""Yes"","""")"),"")</f>
        <v/>
      </c>
      <c r="H14" s="40" t="str">
        <f>IFERROR(__xludf.DUMMYFUNCTION("IFS(OR(COUNTIF(Info!$A$22:A81,C14)&gt;0,C14=""""),"""",
OR(""3x3 MBLD""=C14,""3x3 FMC""=C14)=TRUE,"""",
FILTER(Info!$F$2:F81, Info!$A$2:A81 = C14) = ""Yes"",FILTER(Info!$O$2:O81, Info!$A$2:A81 = C14),
FILTER(Info!$F$2:F81, Info!$A$2:A81 = C14) = ""No"",IF(G1"&amp;"4="""",FILTER(Info!$O$2:O81, Info!$A$2:A81 = C14),""""))"),"")</f>
        <v/>
      </c>
      <c r="I14" s="40" t="str">
        <f>IFERROR(__xludf.DUMMYFUNCTION("IFS(OR(COUNTIF(Info!$A$22:A81,C14)&gt;0,C14="""",H14&lt;&gt;""""),"""",
AND(E14&lt;&gt;1,E14&lt;&gt;""R1 - A1"",E14&lt;&gt;""R1 - A2"",E14&lt;&gt;""R1 - A3""),"""",
FILTER(Info!$E$2:E81, Info!$A$2:A81 = C14) = ""Yes"",IF(H14="""",FILTER(Info!$L$2:L81, Info!$A$2:A81 = C14),""""),
FILTER(I"&amp;"nfo!$E$2:E81, Info!$A$2:A81 = C14) = ""No"","""")"),"")</f>
        <v/>
      </c>
      <c r="J14" s="40" t="str">
        <f>IFERROR(__xludf.DUMMYFUNCTION("IFS(OR(COUNTIF(Info!$A$22:A81,C14)&gt;0,C14="""",""3x3 MBLD""=C14,""3x3 FMC""=C14),"""",
AND(E14=1,FILTER(Info!$H$2:H81,Info!$A$2:A81 = C14)&lt;=FILTER(Info!$H$2:H81,Info!$A$2:A81=$K$2)),
ROUNDUP((FILTER(Info!$H$2:H81,Info!$A$2:A81 = C14)/FILTER(Info!$H$2:H81,I"&amp;"nfo!$A$2:A81=$K$2))*$I$2),
AND(E14=1,FILTER(Info!$H$2:H81,Info!$A$2:A81 = C14)&gt;FILTER(Info!$H$2:H81,Info!$A$2:A81=$K$2)),""K2 - Error"",
AND(E14=2,FILTER($J$7:indirect(""J""&amp;row()-1),$C$7:indirect(""C""&amp;row()-1)=C14)&lt;=7),""J - Error"",
E14=2,FLOOR(FILTER("&amp;"$J$7:indirect(""J""&amp;row()-1),$C$7:indirect(""C""&amp;row()-1)=C14)*Info!$T$32),
AND(E14=3,FILTER($J$7:indirect(""J""&amp;row()-1),$C$7:indirect(""C""&amp;row()-1)=C14)&lt;=15),""J - Error"",
E14=3,FLOOR(Info!$T$32*FLOOR(FILTER($J$7:indirect(""J""&amp;row()-1),$C$7:indirect("&amp;"""C""&amp;row()-1)=C14)*Info!$T$32)),
AND(E14=""Final"",COUNTIF($C$7:$C$102,C14)=2,FILTER($J$7:indirect(""J""&amp;row()-1),$C$7:indirect(""C""&amp;row()-1)=C14)&lt;=7),""J - Error"",
AND(E14=""Final"",COUNTIF($C$7:$C$102,C14)=2),
MIN(P14,FLOOR(FILTER($J$7:indirect(""J"""&amp;"&amp;row()-1),$C$7:indirect(""C""&amp;row()-1)=C14)*Info!$T$32)),
AND(E14=""Final"",COUNTIF($C$7:$C$102,C14)=3,FILTER($J$7:indirect(""J""&amp;row()-1),$C$7:indirect(""C""&amp;row()-1)=C14)&lt;=15),""J - Error"",
AND(E14=""Final"",COUNTIF($C$7:$C$102,C14)=3),
MIN(P14,FLOOR(I"&amp;"nfo!$T$32*FLOOR(FILTER($J$7:indirect(""J""&amp;row()-1),$C$7:indirect(""C""&amp;row()-1)=C14)*Info!$T$32))),
AND(E14=""Final"",COUNTIF($C$7:$C$102,C14)&gt;=4,FILTER($J$7:indirect(""J""&amp;row()-1),$C$7:indirect(""C""&amp;row()-1)=C14)&lt;=99),""J - Error"",
AND(E14=""Final"","&amp;"COUNTIF($C$7:$C$102,C14)&gt;=4),
MIN(P14,FLOOR(Info!$T$32*FLOOR(Info!$T$32*FLOOR(FILTER($J$7:indirect(""J""&amp;row()-1),$C$7:indirect(""C""&amp;row()-1)=C14)*Info!$T$32)))))"),"")</f>
        <v/>
      </c>
      <c r="K14" s="41" t="str">
        <f>IFERROR(__xludf.DUMMYFUNCTION("IFS(AND(indirect(""D""&amp;row()+2)&lt;&gt;$E$2,indirect(""D""&amp;row()+1)=""""),CONCATENATE(""Tom rad! Kopiera hela rad ""&amp;row()&amp;"" dit""),
AND(indirect(""D""&amp;row()-1)&lt;&gt;""Rum"",indirect(""D""&amp;row()-1)=""""),CONCATENATE(""Tom rad! Kopiera hela rad ""&amp;row()&amp;"" dit""),
"&amp;"C14="""","""",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OR(AND(D14&lt;&gt;$E$2,D14&lt;&gt;$E$4,D14&lt;&gt;$K$4,D14&lt;&gt;$Q$4),D14="&amp;"""""),CONCATENATE(""Rum: ""&amp;D14&amp;"" finns ej, byt i D""&amp;row()),
AND(indirect(""D""&amp;row()-1)=""Rum"",C14=""""),CONCATENATE(""För att börja: skriv i cell C""&amp;row()),
AND(C14=""Paus"",M14&lt;=0),CONCATENATE(""Skriv pausens längd i M""&amp;row()),
OR(COUNTIF(Info!$A$"&amp;"22:A81,C14)&gt;0,C14=""""),"""",
AND(D14&lt;&gt;$E$2,$O$2=""Yes"",A14=""=time(hh;mm;ss)""),CONCATENATE(""Skriv starttid för ""&amp;C14&amp;"" i A""&amp;row()),
E14=""E - Error"",CONCATENATE(""För många ""&amp;C14&amp;"" rundor!""),
AND(C14&lt;&gt;""3x3 FMC"",C14&lt;&gt;""3x3 MBLD"",E14&lt;&gt;1,E14&lt;&gt;"&amp;"""Final"",IFERROR(FILTER($E$7:indirect(""E""&amp;row()-1),
$E$7:indirect(""E""&amp;row()-1)=E14-1,$C$7:indirect(""C""&amp;row()-1)=C14))=FALSE),CONCATENATE(""Kan ej vara R""&amp;E14&amp;"", saknar R""&amp;(E14-1)),
AND(indirect(""E""&amp;row()-1)&lt;&gt;""Omgång"",IFERROR(FILTER($E$7:indi"&amp;"rect(""E""&amp;row()-1),
$E$7:indirect(""E""&amp;row()-1)=E14,$C$7:indirect(""C""&amp;row()-1)=C14)=E14)=TRUE),CONCATENATE(""Runda ""&amp;E14&amp;"" i ""&amp;C14&amp;"" finns redan""),
AND(C14&lt;&gt;""3x3 BLD"",C14&lt;&gt;""4x4 BLD"",C14&lt;&gt;""5x5 BLD"",C14&lt;&gt;""4x4 / 5x5 BLD"",OR(E14=2,E14=3,E14="&amp;"""Final""),H14&lt;&gt;""""),CONCATENATE(E14&amp;""-rundor brukar ej ha c.t.l.""),
AND(OR(E14=2,E14=3,E14=""Final""),I14&lt;&gt;""""),CONCATENATE(E14&amp;""-rundor brukar ej ha cutoff""),
AND(OR(C14=""3x3 FMC"",C14=""3x3 MBLD""),OR(E14=1,E14=2,E14=3,E14=""Final"")),CONCATENAT"&amp;"E(C14&amp;""s omgång är Rx - Ax""),
AND(C14&lt;&gt;""3x3 MBLD"",C14&lt;&gt;""3x3 FMC"",FILTER(Info!$D$2:D81, Info!$A$2:A81 = C14)&lt;&gt;F14),CONCATENATE(C14&amp;"" måste ha formatet ""&amp;FILTER(Info!$D$2:D81, Info!$A$2:A81 = C14)),
AND(C14=""3x3 MBLD"",OR(F14=""Avg of 5"",F14=""Mea"&amp;"n of 3"")),CONCATENATE(""Ogiltigt format för ""&amp;C14),
AND(C14=""3x3 FMC"",OR(F14=""Avg of 5"",F14=""Best of 3"")),CONCATENATE(""Ogiltigt format för ""&amp;C14),
AND(OR(F14=""Best of 1"",F14=""Best of 2"",F14=""Best of 3""),I14&lt;&gt;""""),CONCATENATE(F14&amp;""-rundor"&amp;" får ej ha cutoff""),
AND(OR(C14=""3x3 FMC"",C14=""3x3 MBLD""),G14&lt;&gt;60),CONCATENATE(C14&amp;"" måste ha time limit: 60""),
AND(OR(C14=""3x3 FMC"",C14=""3x3 MBLD""),H14&lt;&gt;""""),CONCATENATE(C14&amp;"" kan inte ha c.t.l.""),
AND(G14&lt;&gt;"""",H14&lt;&gt;""""),""Välj time limit"&amp;" ELLER c.t.l"",
AND(C14=""6x6 / 7x7"",G14="""",H14=""""),""Sätt time limit (x / y) eller c.t.l (z)"",
AND(G14="""",H14=""""),""Sätt en time limit eller c.t.l"",
AND(OR(C14=""6x6 / 7x7"",C14=""4x4 / 5x5 BLD""),G14&lt;&gt;"""",REGEXMATCH(TO_TEXT(G14),"" / "")=FAL"&amp;"SE),CONCATENATE(""Time limit måste vara x / y""),
AND(H14&lt;&gt;"""",I14&lt;&gt;""""),CONCATENATE(C14&amp;"" brukar ej ha cutoff OCH c.t.l""),
AND(E14=1,H14="""",I14="""",OR(FILTER(Info!$E$2:E81, Info!$A$2:A81 = C14) = ""Yes"",FILTER(Info!$F$2:F81, Info!$A$2:A81 = C14) "&amp;"= ""Yes""),OR(F14=""Avg of 5"",F14=""Mean of 3"")),CONCATENATE(C14&amp;"" bör ha cutoff eller c.t.l""),
AND(C14=""6x6 / 7x7"",I14&lt;&gt;"""",REGEXMATCH(TO_TEXT(I14),"" / "")=FALSE),CONCATENATE(""Cutoff måste vara x / y""),
AND(H14&lt;&gt;"""",ISNUMBER(H14)=FALSE),""C.t."&amp;"l. måste vara positivt tal (x)"",
AND(C14&lt;&gt;""6x6 / 7x7"",I14&lt;&gt;"""",ISNUMBER(I14)=FALSE),""Cutoff måste vara positivt tal (x)"",
AND(H14&lt;&gt;"""",FILTER(Info!$E$2:E81, Info!$A$2:A81 = C14) = ""No"",FILTER(Info!$F$2:F81, Info!$A$2:A81 = C14) = ""No""),CONCATEN"&amp;"ATE(C14&amp;"" brukar inte ha c.t.l.""),
AND(I14&lt;&gt;"""",FILTER(Info!$E$2:E81, Info!$A$2:A81 = C14) = ""No"",FILTER(Info!$F$2:F81, Info!$A$2:A81 = C14) = ""No""),CONCATENATE(C14&amp;"" brukar inte ha cutoff""),
AND(H14="""",FILTER(Info!$F$2:F81, Info!$A$2:A81 = C14"&amp;") = ""Yes""),CONCATENATE(C14&amp;"" brukar ha c.t.l.""),
AND(C14&lt;&gt;""6x6 / 7x7"",C14&lt;&gt;""4x4 / 5x5 BLD"",G14&lt;&gt;"""",ISNUMBER(G14)=FALSE),""Time limit måste vara positivt tal (x)"",
J14=""J - Error"",CONCATENATE(""För få deltagare i R1 för ""&amp;COUNTIF($C$7:$C$102,"&amp;"indirect(""C""&amp;row()))&amp;"" rundor""),
J14=""K2 - Error"",CONCATENATE(C14&amp;"" är mer populär - byt i K2!""),
AND(C14&lt;&gt;""6x6 / 7x7"",C14&lt;&gt;""4x4 / 5x5 BLD"",G14&lt;&gt;"""",I14&lt;&gt;"""",G14&lt;=I14),""Time limit måste vara &gt; cutoff"",
AND(C14&lt;&gt;""6x6 / 7x7"",C14&lt;&gt;""4x4 / 5"&amp;"x5 BLD"",H14&lt;&gt;"""",I14&lt;&gt;"""",H14&lt;=I14),""C.t.l. måste vara &gt; cutoff"",
AND(C14&lt;&gt;""3x3 FMC"",C14&lt;&gt;""3x3 MBLD"",J14=""""),CONCATENATE(""Fyll i antal deltagare i J""&amp;row()),
AND(C14="""",OR(E14&lt;&gt;"""",F14&lt;&gt;"""",G14&lt;&gt;"""",H14&lt;&gt;"""",I14&lt;&gt;"""",J14&lt;&gt;"""")),""Skri"&amp;"v ALLTID gren / aktivitet först"",
AND(I14="""",H14="""",J14&lt;&gt;""""),J14,
OR(""3x3 FMC""=C14,""3x3 MBLD""=C14),J14,
AND(I14&lt;&gt;"""",""6x6 / 7x7""=C14),
IFS(ArrayFormula(SUM(IFERROR(SPLIT(I14,"" / ""))))&lt;(Info!$J$6+Info!$J$7)*2/3,CONCATENATE(""Höj helst cutof"&amp;"fs i ""&amp;C14),
ArrayFormula(SUM(IFERROR(SPLIT(I14,"" / ""))))&lt;=(Info!$J$6+Info!$J$7),ROUNDUP(J14*Info!$J$22),
ArrayFormula(SUM(IFERROR(SPLIT(I14,"" / ""))))&lt;=Info!$J$6+Info!$J$7,ROUNDUP(J14*Info!$K$22),
ArrayFormula(SUM(IFERROR(SPLIT(I14,"" / ""))))&lt;=Info!"&amp;"$K$6+Info!$K$7,ROUNDUP(J14*Info!L$22),
ArrayFormula(SUM(IFERROR(SPLIT(I14,"" / ""))))&lt;=Info!$L$6+Info!$L$7,ROUNDUP(J14*Info!$M$22),
ArrayFormula(SUM(IFERROR(SPLIT(I14,"" / ""))))&lt;=Info!$M$6+Info!$M$7,ROUNDUP(J14*Info!$N$22),
ArrayFormula(SUM(IFERROR(SPLIT"&amp;"(I14,"" / ""))))&lt;=(Info!$N$6+Info!$N$7)*3/2,ROUNDUP(J14*Info!$J$26),
ArrayFormula(SUM(IFERROR(SPLIT(I14,"" / ""))))&gt;(Info!$N$6+Info!$N$7)*3/2,CONCATENATE(""Sänk helst cutoffs i ""&amp;C14)),
AND(I14&lt;&gt;"""",FILTER(Info!$E$2:E81, Info!$A$2:A81 = C14) = ""Yes""),"&amp;"
IFS(I14&lt;FILTER(Info!$J$2:J81, Info!$A$2:A81 = C14)*2/3,CONCATENATE(""Höj helst cutoff i ""&amp;C14),
I14&lt;=FILTER(Info!$J$2:J81, Info!$A$2:A81 = C14),ROUNDUP(J14*Info!$J$22),
I14&lt;=FILTER(Info!$K$2:K81, Info!$A$2:A81 = C14),ROUNDUP(J14*Info!$K$22),
I14&lt;=FILTER"&amp;"(Info!$L$2:L81, Info!$A$2:A81 = C14),ROUNDUP(J14*Info!L$22),
I14&lt;=FILTER(Info!$M$2:M81, Info!$A$2:A81 = C14),ROUNDUP(J14*Info!$M$22),
I14&lt;=FILTER(Info!$N$2:N81, Info!$A$2:A81 = C14),ROUNDUP(J14*Info!$N$22),
I14&lt;=FILTER(Info!$N$2:N81, Info!$A$2:A81 = C14)*"&amp;"3/2,ROUNDUP(J14*Info!$J$26),
I14&gt;FILTER(Info!$N$2:N81, Info!$A$2:A81 = C14)*3/2,CONCATENATE(""Sänk helst cutoff i ""&amp;C14)),
AND(H14&lt;&gt;"""",""6x6 / 7x7""=C14),
IFS(H14/3&lt;=(Info!$J$6+Info!$J$7)*2/3,""Höj helst cumulative time limit"",
H14/3&lt;=Info!$J$6+Info!$"&amp;"J$7,ROUNDUP(J14*Info!$J$24),
H14/3&lt;=Info!$K$6+Info!$K$7,ROUNDUP(J14*Info!$K$24),
H14/3&lt;=Info!$L$6+Info!$L$7,ROUNDUP(J14*Info!L$24),
H14/3&lt;=Info!$M$6+Info!$M$7,ROUNDUP(J14*Info!$M$24),
H14/3&lt;=Info!$N$6+Info!$N$7,ROUNDUP(J14*Info!$N$24),
H14/3&lt;=(Info!$N$6+I"&amp;"nfo!$N$7)*3/2,ROUNDUP(J14*Info!$L$26),
H14/3&gt;(Info!$J$6+Info!$J$7)*3/2,""Sänk helst cumulative time limit""),
AND(H14&lt;&gt;"""",FILTER(Info!$F$2:F81, Info!$A$2:A81 = C14) = ""Yes""),
IFS(H14&lt;=FILTER(Info!$J$2:J81, Info!$A$2:A81 = C14)*2/3,CONCATENATE(""Höj he"&amp;"lst c.t.l. i ""&amp;C14),
H14&lt;=FILTER(Info!$J$2:J81, Info!$A$2:A81 = C14),ROUNDUP(J14*Info!$J$24),
H14&lt;=FILTER(Info!$K$2:K81, Info!$A$2:A81 = C14),ROUNDUP(J14*Info!$K$24),
H14&lt;=FILTER(Info!$L$2:L81, Info!$A$2:A81 = C14),ROUNDUP(J14*Info!L$24),
H14&lt;=FILTER(Inf"&amp;"o!$M$2:M81, Info!$A$2:A81 = C14),ROUNDUP(J14*Info!$M$24),
H14&lt;=FILTER(Info!$N$2:N81, Info!$A$2:A81 = C14),ROUNDUP(J14*Info!$N$24),
H14&lt;=FILTER(Info!$N$2:N81, Info!$A$2:A81 = C14)*3/2,ROUNDUP(J14*Info!$L$26),
H14&gt;FILTER(Info!$N$2:N81, Info!$A$2:A81 = C14)*"&amp;"3/2,CONCATENATE(""Sänk helst c.t.l. i ""&amp;C14)),
AND(H14&lt;&gt;"""",FILTER(Info!$F$2:F81, Info!$A$2:A81 = C14) = ""No""),
IFS(H14/AA14&lt;=FILTER(Info!$J$2:J81, Info!$A$2:A81 = C14)*2/3,CONCATENATE(""Höj helst c.t.l. i ""&amp;C14),
H14/AA14&lt;=FILTER(Info!$J$2:J81, Info"&amp;"!$A$2:A81 = C14),ROUNDUP(J14*Info!$J$24),
H14/AA14&lt;=FILTER(Info!$K$2:K81, Info!$A$2:A81 = C14),ROUNDUP(J14*Info!$K$24),
H14/AA14&lt;=FILTER(Info!$L$2:L81, Info!$A$2:A81 = C14),ROUNDUP(J14*Info!L$24),
H14/AA14&lt;=FILTER(Info!$M$2:M81, Info!$A$2:A81 = C14),ROUND"&amp;"UP(J14*Info!$M$24),
H14/AA14&lt;=FILTER(Info!$N$2:N81, Info!$A$2:A81 = C14),ROUNDUP(J14*Info!$N$24),
H14/AA14&lt;=FILTER(Info!$N$2:N81, Info!$A$2:A81 = C14)*3/2,ROUNDUP(J14*Info!$L$26),
H14/AA14&gt;FILTER(Info!$N$2:N81, Info!$A$2:A81 = C14)*3/2,CONCATENATE(""Sänk "&amp;"helst c.t.l. i ""&amp;C14)),
AND(I14="""",H14&lt;&gt;"""",J14&lt;&gt;""""),ROUNDUP(J14*Info!$T$29),
AND(I14&lt;&gt;"""",H14="""",J14&lt;&gt;""""),ROUNDUP(J14*Info!$T$26))"),"")</f>
        <v/>
      </c>
      <c r="L14" s="42">
        <f>IFERROR(__xludf.DUMMYFUNCTION("IFS(C14="""",0,
C14=""3x3 FMC"",Info!$B$9*N14+M14, C14=""3x3 MBLD"",Info!$B$18*N14+M14,
COUNTIF(Info!$A$22:A81,C14)&gt;0,FILTER(Info!$B$22:B81,Info!$A$22:A81=C14)+M14,
AND(C14&lt;&gt;"""",E14=""""),CONCATENATE(""Fyll i E""&amp;row()),
AND(C14&lt;&gt;"""",E14&lt;&gt;"""",E14&lt;&gt;1,E1"&amp;"4&lt;&gt;2,E14&lt;&gt;3,E14&lt;&gt;""Final""),CONCATENATE(""Fel format på E""&amp;row()),
K14=CONCATENATE(""Runda ""&amp;E14&amp;"" i ""&amp;C14&amp;"" finns redan""),CONCATENATE(""Fel i E""&amp;row()),
AND(C14&lt;&gt;"""",F14=""""),CONCATENATE(""Fyll i F""&amp;row()),
K14=CONCATENATE(C14&amp;"" måste ha forma"&amp;"tet ""&amp;FILTER(Info!$D$2:D81, Info!$A$2:A81 = C14)),CONCATENATE(""Fel format på F""&amp;row()),
AND(C14&lt;&gt;"""",D14=1,H14="""",FILTER(Info!$F$2:F81, Info!$A$2:A81 = C14) = ""Yes""),CONCATENATE(""Fyll i H""&amp;row()),
AND(C14&lt;&gt;"""",D14=1,I14="""",FILTER(Info!$E$2:E8"&amp;"1, Info!$A$2:A81 = C14) = ""Yes""),CONCATENATE(""Fyll i I""&amp;row()),
AND(C14&lt;&gt;"""",J14=""""),CONCATENATE(""Fyll i J""&amp;row()),
AND(C14&lt;&gt;"""",K14="""",OR(H14&lt;&gt;"""",I14&lt;&gt;"""")),CONCATENATE(""Fyll i K""&amp;row()),
AND(C14&lt;&gt;"""",K14=""""),CONCATENATE(""Skriv samma"&amp;" i K""&amp;row()&amp;"" som i J""&amp;row()),
AND(OR(C14=""4x4 BLD"",C14=""5x5 BLD"",C14=""4x4 / 5x5 BLD"")=TRUE,V14&lt;=P14),
MROUND(H14*(Info!$T$20-((Info!$T$20-1)/2)*(1-V14/P14))*(1+((J14/K14)-1)*(1-Info!$J$24))*N14+(Info!$T$11/2)+(N14*Info!$T$11)+(N14*Info!$T$14*(O1"&amp;"4-1)),0.01)+M14,
AND(OR(C14=""4x4 BLD"",C14=""5x5 BLD"",C14=""4x4 / 5x5 BLD"")=TRUE,V14&gt;P14),
MROUND((((J14*Z14+K14*(AA14-Z14))*(H14*Info!$T$20/AA14))/X14)*(1+((J14/K14)-1)*(1-Info!$J$24))*(1+(X14-Info!$T$8)/100)+(Info!$T$11/2)+(N14*Info!$T$11)+(N14*Info!"&amp;"$T$14*(O14-1)),0.01)+M14,
AND(C14=""3x3 BLD"",V14&lt;=P14),
MROUND(H14*(Info!$T$23-((Info!$T$23-1)/2)*(1-V14/P14))*(1+((J14/K14)-1)*(1-Info!$J$24))*N14+(Info!$T$11/2)+(N14*Info!$T$11)+(N14*Info!$T$14*(O14-1)),0.01)+M14,
AND(C14=""3x3 BLD"",V14&gt;P14),
MROUND(("&amp;"((J14*Z14+K14*(AA14-Z14))*(H14*Info!$T$23/AA14))/X14)*(1+((J14/K14)-1)*(1-Info!$J$24))*(1+(X14-Info!$T$8)/100)+(Info!$T$11/2)+(N14*Info!$T$11)+(N14*Info!$T$14*(O14-1)),0.01)+M14,
E14=1,MROUND((((J14*Z14+K14*(AA14-Z14))*Y14)/X14)*(1+(X14-Info!$T$8)/100)+(N"&amp;"14*Info!$T$11)+(N14*Info!$T$14*(O14-1)),0.01)+M14,
AND(E14=""Final"",N14=1,FILTER(Info!$G$2:$G$20,Info!$A$2:$A$20=C14)=""Mycket svår""),
MROUND((((J14*Z14+K14*(AA14-Z14))*(Y14*Info!$T$38))/X14)*(1+(X14-Info!$T$8)/100)+(N14*Info!$T$11)+(N14*Info!$T$14*(O14"&amp;"-1)),0.01)+M14,
AND(E14=""Final"",N14=1,FILTER(Info!$G$2:$G$20,Info!$A$2:$A$20=C14)=""Svår""),
MROUND((((J14*Z14+K14*(AA14-Z14))*(Y14*Info!$T$35))/X14)*(1+(X14-Info!$T$8)/100)+(N14*Info!$T$11)+(N14*Info!$T$14*(O14-1)),0.01)+M14,
E14=""Final"",MROUND((((J1"&amp;"4*Z14+K14*(AA14-Z14))*(Y14*Info!$T$5))/X14)*(1+(X14-Info!$T$8)/100)+(N14*Info!$T$11)+(N14*Info!$T$14*(O14-1)),0.01)+M14,
OR(E14=2,E14=3),MROUND((((J14*Z14+K14*(AA14-Z14))*(Y14*Info!$T$2))/X14)*(1+(X14-Info!$T$8)/100)+(N14*Info!$T$11)+(N14*Info!$T$14*(O14-"&amp;"1)),0.01)+M14)"),0.0)</f>
        <v>0</v>
      </c>
      <c r="M14" s="43">
        <f t="shared" si="1"/>
        <v>0</v>
      </c>
      <c r="N14" s="43" t="str">
        <f>IFS(OR(COUNTIF(Info!$A$22:A81,C14)&gt;0,C14=""),"",
OR(C14="4x4 BLD",C14="5x5 BLD",C14="3x3 MBLD",C14="3x3 FMC",C14="4x4 / 5x5 BLD"),1,
AND(E14="Final",Q14="Yes",MAX(1,ROUNDUP(J14/P14))&gt;1),MAX(2,ROUNDUP(J14/P14)),
AND(E14="Final",Q14="No",MAX(1,ROUNDUP(J14/((P14*2)+2.625-Y14*1.5)))&gt;1),MAX(2,ROUNDUP(J14/((P14*2)+2.625-Y14*1.5))),
E14="Final",1,
Q14="Yes",MAX(2,ROUNDUP(J14/P14)),
TRUE,MAX(2,ROUNDUP(J14/((P14*2)+2.625-Y14*1.5))))</f>
        <v/>
      </c>
      <c r="O14" s="43" t="str">
        <f>IFS(OR(COUNTIF(Info!$A$22:A81,C14)&gt;0,C14=""),"",
OR("3x3 MBLD"=C14,"3x3 FMC"=C14)=TRUE,"",
D14=$E$4,$G$6,D14=$K$4,$M$6,D14=$Q$4,$S$6,D14=$W$4,$Y$6,
TRUE,$S$2)</f>
        <v/>
      </c>
      <c r="P14" s="43" t="str">
        <f>IFS(OR(COUNTIF(Info!$A$22:A81,C14)&gt;0,C14=""),"",
OR("3x3 MBLD"=C14,"3x3 FMC"=C14)=TRUE,"",
D14=$E$4,$E$6,D14=$K$4,$K$6,D14=$Q$4,$Q$6,D14=$W$4,$W$6,
TRUE,$Q$2)</f>
        <v/>
      </c>
      <c r="Q14" s="44" t="str">
        <f>IFS(OR(COUNTIF(Info!$A$22:A81,C14)&gt;0,C14=""),"",
OR("3x3 MBLD"=C14,"3x3 FMC"=C14)=TRUE,"",
D14=$E$4,$I$6,D14=$K$4,$O$6,D14=$Q$4,$U$6,D14=$W$4,$AA$6,
TRUE,$U$2)</f>
        <v/>
      </c>
      <c r="R14" s="45" t="str">
        <f>IFERROR(__xludf.DUMMYFUNCTION("IF(C14="""","""",IFERROR(FILTER(Info!$B$22:B81,Info!$A$22:A81=C14)+M14,""?""))"),"")</f>
        <v/>
      </c>
      <c r="S14" s="46" t="str">
        <f>IFS(OR(COUNTIF(Info!$A$22:A81,C14)&gt;0,C14=""),"",
AND(H14="",I14=""),J14,
TRUE,"?")</f>
        <v/>
      </c>
      <c r="T14" s="45" t="str">
        <f>IFS(OR(COUNTIF(Info!$A$22:A81,C14)&gt;0,C14=""),"",
AND(L14&lt;&gt;0,OR(R14="?",R14="")),"Fyll i R-kolumnen",
OR(C14="3x3 FMC",C14="3x3 MBLD"),R14,
AND(L14&lt;&gt;0,OR(S14="?",S14="")),"Fyll i S-kolumnen",
OR(COUNTIF(Info!$A$22:A81,C14)&gt;0,C14=""),"",
TRUE,Y14*R14/L14)</f>
        <v/>
      </c>
      <c r="U14" s="45"/>
      <c r="V14" s="47" t="str">
        <f>IFS(OR(COUNTIF(Info!$A$22:A81,C14)&gt;0,C14=""),"",
OR("3x3 MBLD"=C14,"3x3 FMC"=C14)=TRUE,"",
TRUE,MROUND((J14/N14),0.01))</f>
        <v/>
      </c>
      <c r="W14" s="48" t="str">
        <f>IFS(OR(COUNTIF(Info!$A$22:A81,C14)&gt;0,C14=""),"",
TRUE,L14/N14)</f>
        <v/>
      </c>
      <c r="X14" s="49" t="str">
        <f>IFS(OR(COUNTIF(Info!$A$22:A81,C14)&gt;0,C14=""),"",
OR("3x3 MBLD"=C14,"3x3 FMC"=C14)=TRUE,"",
OR(C14="4x4 BLD",C14="5x5 BLD",C14="4x4 / 5x5 BLD",AND(C14="3x3 BLD",H14&lt;&gt;""))=TRUE,MIN(V14,P14),
TRUE,MIN(P14,V14,MROUND(((V14*2/3)+((Y14-1.625)/2)),0.01)))</f>
        <v/>
      </c>
      <c r="Y14" s="48" t="str">
        <f>IFERROR(__xludf.DUMMYFUNCTION("IFS(OR(COUNTIF(Info!$A$22:A81,C14)&gt;0,C14=""""),"""",
FILTER(Info!$F$2:F81, Info!$A$2:A81 = C14) = ""Yes"",H14/AA14,
""3x3 FMC""=C14,Info!$B$9,""3x3 MBLD""=C14,Info!$B$18,
AND(E14=1,I14="""",H14="""",Q14=""No"",G14&gt;SUMIF(Info!$A$2:A81,C14,Info!$B$2:B81)*1."&amp;"5),
MIN(SUMIF(Info!$A$2:A81,C14,Info!$B$2:B81)*1.1,SUMIF(Info!$A$2:A81,C14,Info!$B$2:B81)*(1.15-(0.15*(SUMIF(Info!$A$2:A81,C14,Info!$B$2:B81)*1.5)/G14))),
AND(E14=1,I14="""",H14="""",Q14=""Yes"",G14&gt;SUMIF(Info!$A$2:A81,C14,Info!$C$2:C81)*1.5),
MIN(SUMIF(I"&amp;"nfo!$A$2:A81,C14,Info!$C$2:C81)*1.1,SUMIF(Info!$A$2:A81,C14,Info!$C$2:C81)*(1.15-(0.15*(SUMIF(Info!$A$2:A81,C14,Info!$C$2:C81)*1.5)/G14))),
Q14=""No"",SUMIF(Info!$A$2:A81,C14,Info!$B$2:B81),
Q14=""Yes"",SUMIF(Info!$A$2:A81,C14,Info!$C$2:C81))"),"")</f>
        <v/>
      </c>
      <c r="Z14" s="47" t="str">
        <f>IFS(OR(COUNTIF(Info!$A$22:A81,C14)&gt;0,C14=""),"",
AND(OR("3x3 FMC"=C14,"3x3 MBLD"=C14),I14&lt;&gt;""),1,
AND(OR(H14&lt;&gt;"",I14&lt;&gt;""),F14="Avg of 5"),2,
F14="Avg of 5",AA14,
AND(OR(H14&lt;&gt;"",I14&lt;&gt;""),F14="Mean of 3",C14="6x6 / 7x7"),2,
AND(OR(H14&lt;&gt;"",I14&lt;&gt;""),F14="Mean of 3"),1,
F14="Mean of 3",AA14,
AND(OR(H14&lt;&gt;"",I14&lt;&gt;""),F14="Best of 3",C14="4x4 / 5x5 BLD"),2,
AND(OR(H14&lt;&gt;"",I14&lt;&gt;""),F14="Best of 3"),1,
F14="Best of 2",AA14,
F14="Best of 1",AA14)</f>
        <v/>
      </c>
      <c r="AA14" s="47" t="str">
        <f>IFS(OR(COUNTIF(Info!$A$22:A81,C14)&gt;0,C14=""),"",
AND(OR("3x3 MBLD"=C14,"3x3 FMC"=C14),F14="Best of 1"=TRUE),1,
AND(OR("3x3 MBLD"=C14,"3x3 FMC"=C14),F14="Best of 2"=TRUE),2,
AND(OR("3x3 MBLD"=C14,"3x3 FMC"=C14),OR(F14="Best of 3",F14="Mean of 3")=TRUE),3,
AND(F14="Mean of 3",C14="6x6 / 7x7"),6,
AND(F14="Best of 3",C14="4x4 / 5x5 BLD"),6,
F14="Avg of 5",5,F14="Mean of 3",3,F14="Best of 3",3,F14="Best of 2",2,F14="Best of 1",1)</f>
        <v/>
      </c>
      <c r="AB14" s="50"/>
    </row>
    <row r="15" ht="15.75" customHeight="1">
      <c r="A15" s="35">
        <f>IFERROR(__xludf.DUMMYFUNCTION("IFS(indirect(""A""&amp;row()-1)=""Start"",TIME(indirect(""A""&amp;row()-2),indirect(""B""&amp;row()-2),0),
$O$2=""No"",TIME(0,($A$6*60+$B$6)+CEILING(SUM($L$7:indirect(""L""&amp;row()-1)),5),0),
D15=$E$2,TIME(0,($A$6*60+$B$6)+CEILING(SUM(IFERROR(FILTER($L$7:indirect(""L"""&amp;"&amp;row()-1),REGEXMATCH($D$7:indirect(""D""&amp;row()-1),$E$2)),0)),5),0),
TRUE,""=time(hh;mm;ss)"")"),0.4166666666666667)</f>
        <v>0.4166666667</v>
      </c>
      <c r="B15" s="36">
        <f>IFERROR(__xludf.DUMMYFUNCTION("IFS($O$2=""No"",TIME(0,($A$6*60+$B$6)+CEILING(SUM($L$7:indirect(""L""&amp;row())),5),0),
D15=$E$2,TIME(0,($A$6*60+$B$6)+CEILING(SUM(FILTER($L$7:indirect(""L""&amp;row()),REGEXMATCH($D$7:indirect(""D""&amp;row()),$E$2))),5),0),
A15=""=time(hh;mm;ss)"",CONCATENATE(""Sk"&amp;"riv tid i A""&amp;row()),
AND(A15&lt;&gt;"""",A15&lt;&gt;""=time(hh;mm;ss)""),A15+TIME(0,CEILING(indirect(""L""&amp;row()),5),0))"),0.4166666666666667)</f>
        <v>0.4166666667</v>
      </c>
      <c r="C15" s="37"/>
      <c r="D15" s="38" t="str">
        <f t="shared" si="2"/>
        <v>Stora salen</v>
      </c>
      <c r="E15" s="38" t="str">
        <f>IFERROR(__xludf.DUMMYFUNCTION("IFS(COUNTIF(Info!$A$22:A81,C15)&gt;0,"""",
AND(OR(""3x3 FMC""=C15,""3x3 MBLD""=C15),COUNTIF($C$7:indirect(""C""&amp;row()),indirect(""C""&amp;row()))&gt;=13),""E - Error"",
AND(OR(""3x3 FMC""=C15,""3x3 MBLD""=C15),COUNTIF($C$7:indirect(""C""&amp;row()),indirect(""C""&amp;row()"&amp;"))=12),""Final - A3"",
AND(OR(""3x3 FMC""=C15,""3x3 MBLD""=C15),COUNTIF($C$7:indirect(""C""&amp;row()),indirect(""C""&amp;row()))=11),""Final - A2"",
AND(OR(""3x3 FMC""=C15,""3x3 MBLD""=C15),COUNTIF($C$7:indirect(""C""&amp;row()),indirect(""C""&amp;row()))=10),""Final - "&amp;"A1"",
AND(OR(""3x3 FMC""=C15,""3x3 MBLD""=C15),COUNTIF($C$7:indirect(""C""&amp;row()),indirect(""C""&amp;row()))=9,
COUNTIF($C$7:$C$102,indirect(""C""&amp;row()))&gt;9),""R3 - A3"",
AND(OR(""3x3 FMC""=C15,""3x3 MBLD""=C15),COUNTIF($C$7:indirect(""C""&amp;row()),indirect(""C"&amp;"""&amp;row()))=9,
COUNTIF($C$7:$C$102,indirect(""C""&amp;row()))&lt;=9),""Final - A3"",
AND(OR(""3x3 FMC""=C15,""3x3 MBLD""=C15),COUNTIF($C$7:indirect(""C""&amp;row()),indirect(""C""&amp;row()))=8,
COUNTIF($C$7:$C$102,indirect(""C""&amp;row()))&gt;9),""R3 - A2"",
AND(OR(""3x3 FMC"&amp;"""=C15,""3x3 MBLD""=C15),COUNTIF($C$7:indirect(""C""&amp;row()),indirect(""C""&amp;row()))=8,
COUNTIF($C$7:$C$102,indirect(""C""&amp;row()))&lt;=9),""Final - A2"",
AND(OR(""3x3 FMC""=C15,""3x3 MBLD""=C15),COUNTIF($C$7:indirect(""C""&amp;row()),indirect(""C""&amp;row()))=7,
COUN"&amp;"TIF($C$7:$C$102,indirect(""C""&amp;row()))&gt;9),""R3 - A1"",
AND(OR(""3x3 FMC""=C15,""3x3 MBLD""=C15),COUNTIF($C$7:indirect(""C""&amp;row()),indirect(""C""&amp;row()))=7,
COUNTIF($C$7:$C$102,indirect(""C""&amp;row()))&lt;=9),""Final - A1"",
AND(OR(""3x3 FMC""=C15,""3x3 MBLD"""&amp;"=C15),COUNTIF($C$7:indirect(""C""&amp;row()),indirect(""C""&amp;row()))=6,
COUNTIF($C$7:$C$102,indirect(""C""&amp;row()))&gt;6),""R2 - A3"",
AND(OR(""3x3 FMC""=C15,""3x3 MBLD""=C15),COUNTIF($C$7:indirect(""C""&amp;row()),indirect(""C""&amp;row()))=6,
COUNTIF($C$7:$C$102,indirec"&amp;"t(""C""&amp;row()))&lt;=6),""Final - A3"",
AND(OR(""3x3 FMC""=C15,""3x3 MBLD""=C15),COUNTIF($C$7:indirect(""C""&amp;row()),indirect(""C""&amp;row()))=5,
COUNTIF($C$7:$C$102,indirect(""C""&amp;row()))&gt;6),""R2 - A2"",
AND(OR(""3x3 FMC""=C15,""3x3 MBLD""=C15),COUNTIF($C$7:indi"&amp;"rect(""C""&amp;row()),indirect(""C""&amp;row()))=5,
COUNTIF($C$7:$C$102,indirect(""C""&amp;row()))&lt;=6),""Final - A2"",
AND(OR(""3x3 FMC""=C15,""3x3 MBLD""=C15),COUNTIF($C$7:indirect(""C""&amp;row()),indirect(""C""&amp;row()))=4,
COUNTIF($C$7:$C$102,indirect(""C""&amp;row()))&gt;6),"&amp;"""R2 - A1"",
AND(OR(""3x3 FMC""=C15,""3x3 MBLD""=C15),COUNTIF($C$7:indirect(""C""&amp;row()),indirect(""C""&amp;row()))=4,
COUNTIF($C$7:$C$102,indirect(""C""&amp;row()))&lt;=6),""Final - A1"",
AND(OR(""3x3 FMC""=C15,""3x3 MBLD""=C15),COUNTIF($C$7:indirect(""C""&amp;row()),i"&amp;"ndirect(""C""&amp;row()))=3),""R1 - A3"",
AND(OR(""3x3 FMC""=C15,""3x3 MBLD""=C15),COUNTIF($C$7:indirect(""C""&amp;row()),indirect(""C""&amp;row()))=2),""R1 - A2"",
AND(OR(""3x3 FMC""=C15,""3x3 MBLD""=C15),COUNTIF($C$7:indirect(""C""&amp;row()),indirect(""C""&amp;row()))=1),"&amp;"""R1 -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C15),ROUNDUP((FILTER(Info!$H$2:H81,Info!$A$2:A81=C15)/FILTER(Info!$H$2:H81,Info!$A$2:A81=$K$2))*$I$2)&gt;99),3,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C15),ROUNDUP((FILTER(Info!$H$2:H81,Info!$A$2:A81=C15)/FILTER(Info!$H$2:H81,Info!$A$2:A81=$K$2))*$I$2)&gt;15),2,
AND(COUNTIF($C$7:indirect(""C""&amp;row()),indirect(""C""&amp;row()))=2,COUNTIF($C$7:$C$102,indirect(""C""&amp;row()))=COUNTIF($"&amp;"C$7:indirect(""C""&amp;row()),indirect(""C""&amp;row()))),""Final"",
COUNTIF($C$7:indirect(""C""&amp;row()),indirect(""C""&amp;row()))=1,1,
COUNTIF($C$7:indirect(""C""&amp;row()),indirect(""C""&amp;row()))=0,"""")"),"")</f>
        <v/>
      </c>
      <c r="F15" s="39" t="str">
        <f>IFERROR(__xludf.DUMMYFUNCTION("IFS(C15="""","""",
AND(C15=""3x3 FMC"",MOD(COUNTIF($C$7:indirect(""C""&amp;row()),indirect(""C""&amp;row())),3)=0),""Mean of 3"",
AND(C15=""3x3 MBLD"",MOD(COUNTIF($C$7:indirect(""C""&amp;row()),indirect(""C""&amp;row())),3)=0),""Best of 3"",
AND(C15=""3x3 FMC"",MOD(COUNT"&amp;"IF($C$7:indirect(""C""&amp;row()),indirect(""C""&amp;row())),3)=2,
COUNTIF($C$7:$C$102,indirect(""C""&amp;row()))&lt;=COUNTIF($C$7:indirect(""C""&amp;row()),indirect(""C""&amp;row()))),""Best of 2"",
AND(C15=""3x3 FMC"",MOD(COUNTIF($C$7:indirect(""C""&amp;row()),indirect(""C""&amp;row("&amp;"))),3)=2,
COUNTIF($C$7:$C$102,indirect(""C""&amp;row()))&gt;COUNTIF($C$7:indirect(""C""&amp;row()),indirect(""C""&amp;row()))),""Mean of 3"",
AND(C15=""3x3 MBLD"",MOD(COUNTIF($C$7:indirect(""C""&amp;row()),indirect(""C""&amp;row())),3)=2,
COUNTIF($C$7:$C$102,indirect(""C""&amp;row("&amp;")))&lt;=COUNTIF($C$7:indirect(""C""&amp;row()),indirect(""C""&amp;row()))),""Best of 2"",
AND(C15=""3x3 MBLD"",MOD(COUNTIF($C$7:indirect(""C""&amp;row()),indirect(""C""&amp;row())),3)=2,
COUNTIF($C$7:$C$102,indirect(""C""&amp;row()))&gt;COUNTIF($C$7:indirect(""C""&amp;row()),indirect("&amp;"""C""&amp;row()))),""Best of 3"",
AND(C15=""3x3 FMC"",MOD(COUNTIF($C$7:indirect(""C""&amp;row()),indirect(""C""&amp;row())),3)=1,
COUNTIF($C$7:$C$102,indirect(""C""&amp;row()))&lt;=COUNTIF($C$7:indirect(""C""&amp;row()),indirect(""C""&amp;row()))),""Best of 1"",
AND(C15=""3x3 FMC"""&amp;",MOD(COUNTIF($C$7:indirect(""C""&amp;row()),indirect(""C""&amp;row())),3)=1,
COUNTIF($C$7:$C$102,indirect(""C""&amp;row()))=COUNTIF($C$7:indirect(""C""&amp;row()),indirect(""C""&amp;row()))+1),""Best of 2"",
AND(C15=""3x3 FMC"",MOD(COUNTIF($C$7:indirect(""C""&amp;row()),indirect"&amp;"(""C""&amp;row())),3)=1,
COUNTIF($C$7:$C$102,indirect(""C""&amp;row()))&gt;COUNTIF($C$7:indirect(""C""&amp;row()),indirect(""C""&amp;row()))),""Mean of 3"",
AND(C15=""3x3 MBLD"",MOD(COUNTIF($C$7:indirect(""C""&amp;row()),indirect(""C""&amp;row())),3)=1,
COUNTIF($C$7:$C$102,indirect"&amp;"(""C""&amp;row()))&lt;=COUNTIF($C$7:indirect(""C""&amp;row()),indirect(""C""&amp;row()))),""Best of 1"",
AND(C15=""3x3 MBLD"",MOD(COUNTIF($C$7:indirect(""C""&amp;row()),indirect(""C""&amp;row())),3)=1,
COUNTIF($C$7:$C$102,indirect(""C""&amp;row()))=COUNTIF($C$7:indirect(""C""&amp;row()"&amp;"),indirect(""C""&amp;row()))+1),""Best of 2"",
AND(C15=""3x3 MBLD"",MOD(COUNTIF($C$7:indirect(""C""&amp;row()),indirect(""C""&amp;row())),3)=1,
COUNTIF($C$7:$C$102,indirect(""C""&amp;row()))&gt;COUNTIF($C$7:indirect(""C""&amp;row()),indirect(""C""&amp;row()))),""Best of 3"",
TRUE,("&amp;"IFERROR(FILTER(Info!$D$2:D81, Info!$A$2:A81 = C15), """")))"),"")</f>
        <v/>
      </c>
      <c r="G15" s="40" t="str">
        <f>IFERROR(__xludf.DUMMYFUNCTION("IFS(OR(COUNTIF(Info!$A$22:A81,C15)&gt;0,C15=""""),"""",
OR(""3x3 MBLD""=C15,""3x3 FMC""=C15),60,
AND(E15=1,FILTER(Info!$F$2:F81, Info!$A$2:A81 = C15) = ""No""),FILTER(Info!$P$2:P81, Info!$A$2:A81 = C15),
AND(E15=2,FILTER(Info!$F$2:F81, Info!$A$2:A81 = C15) ="&amp;" ""No""),FILTER(Info!$Q$2:Q81, Info!$A$2:A81 = C15),
AND(E15=3,FILTER(Info!$F$2:F81, Info!$A$2:A81 = C15) = ""No""),FILTER(Info!$R$2:R81, Info!$A$2:A81 = C15),
AND(E15=""Final"",FILTER(Info!$F$2:F81, Info!$A$2:A81 = C15) = ""No""),FILTER(Info!$S$2:S81, In"&amp;"fo!$A$2:A81 = C15),
FILTER(Info!$F$2:F81, Info!$A$2:A81 = C15) = ""Yes"","""")"),"")</f>
        <v/>
      </c>
      <c r="H15" s="40" t="str">
        <f>IFERROR(__xludf.DUMMYFUNCTION("IFS(OR(COUNTIF(Info!$A$22:A81,C15)&gt;0,C15=""""),"""",
OR(""3x3 MBLD""=C15,""3x3 FMC""=C15)=TRUE,"""",
FILTER(Info!$F$2:F81, Info!$A$2:A81 = C15) = ""Yes"",FILTER(Info!$O$2:O81, Info!$A$2:A81 = C15),
FILTER(Info!$F$2:F81, Info!$A$2:A81 = C15) = ""No"",IF(G1"&amp;"5="""",FILTER(Info!$O$2:O81, Info!$A$2:A81 = C15),""""))"),"")</f>
        <v/>
      </c>
      <c r="I15" s="40" t="str">
        <f>IFERROR(__xludf.DUMMYFUNCTION("IFS(OR(COUNTIF(Info!$A$22:A81,C15)&gt;0,C15="""",H15&lt;&gt;""""),"""",
AND(E15&lt;&gt;1,E15&lt;&gt;""R1 - A1"",E15&lt;&gt;""R1 - A2"",E15&lt;&gt;""R1 - A3""),"""",
FILTER(Info!$E$2:E81, Info!$A$2:A81 = C15) = ""Yes"",IF(H15="""",FILTER(Info!$L$2:L81, Info!$A$2:A81 = C15),""""),
FILTER(I"&amp;"nfo!$E$2:E81, Info!$A$2:A81 = C15) = ""No"","""")"),"")</f>
        <v/>
      </c>
      <c r="J15" s="40" t="str">
        <f>IFERROR(__xludf.DUMMYFUNCTION("IFS(OR(COUNTIF(Info!$A$22:A81,C15)&gt;0,C15="""",""3x3 MBLD""=C15,""3x3 FMC""=C15),"""",
AND(E15=1,FILTER(Info!$H$2:H81,Info!$A$2:A81 = C15)&lt;=FILTER(Info!$H$2:H81,Info!$A$2:A81=$K$2)),
ROUNDUP((FILTER(Info!$H$2:H81,Info!$A$2:A81 = C15)/FILTER(Info!$H$2:H81,I"&amp;"nfo!$A$2:A81=$K$2))*$I$2),
AND(E15=1,FILTER(Info!$H$2:H81,Info!$A$2:A81 = C15)&gt;FILTER(Info!$H$2:H81,Info!$A$2:A81=$K$2)),""K2 - Error"",
AND(E15=2,FILTER($J$7:indirect(""J""&amp;row()-1),$C$7:indirect(""C""&amp;row()-1)=C15)&lt;=7),""J - Error"",
E15=2,FLOOR(FILTER("&amp;"$J$7:indirect(""J""&amp;row()-1),$C$7:indirect(""C""&amp;row()-1)=C15)*Info!$T$32),
AND(E15=3,FILTER($J$7:indirect(""J""&amp;row()-1),$C$7:indirect(""C""&amp;row()-1)=C15)&lt;=15),""J - Error"",
E15=3,FLOOR(Info!$T$32*FLOOR(FILTER($J$7:indirect(""J""&amp;row()-1),$C$7:indirect("&amp;"""C""&amp;row()-1)=C15)*Info!$T$32)),
AND(E15=""Final"",COUNTIF($C$7:$C$102,C15)=2,FILTER($J$7:indirect(""J""&amp;row()-1),$C$7:indirect(""C""&amp;row()-1)=C15)&lt;=7),""J - Error"",
AND(E15=""Final"",COUNTIF($C$7:$C$102,C15)=2),
MIN(P15,FLOOR(FILTER($J$7:indirect(""J"""&amp;"&amp;row()-1),$C$7:indirect(""C""&amp;row()-1)=C15)*Info!$T$32)),
AND(E15=""Final"",COUNTIF($C$7:$C$102,C15)=3,FILTER($J$7:indirect(""J""&amp;row()-1),$C$7:indirect(""C""&amp;row()-1)=C15)&lt;=15),""J - Error"",
AND(E15=""Final"",COUNTIF($C$7:$C$102,C15)=3),
MIN(P15,FLOOR(I"&amp;"nfo!$T$32*FLOOR(FILTER($J$7:indirect(""J""&amp;row()-1),$C$7:indirect(""C""&amp;row()-1)=C15)*Info!$T$32))),
AND(E15=""Final"",COUNTIF($C$7:$C$102,C15)&gt;=4,FILTER($J$7:indirect(""J""&amp;row()-1),$C$7:indirect(""C""&amp;row()-1)=C15)&lt;=99),""J - Error"",
AND(E15=""Final"","&amp;"COUNTIF($C$7:$C$102,C15)&gt;=4),
MIN(P15,FLOOR(Info!$T$32*FLOOR(Info!$T$32*FLOOR(FILTER($J$7:indirect(""J""&amp;row()-1),$C$7:indirect(""C""&amp;row()-1)=C15)*Info!$T$32)))))"),"")</f>
        <v/>
      </c>
      <c r="K15" s="41" t="str">
        <f>IFERROR(__xludf.DUMMYFUNCTION("IFS(AND(indirect(""D""&amp;row()+2)&lt;&gt;$E$2,indirect(""D""&amp;row()+1)=""""),CONCATENATE(""Tom rad! Kopiera hela rad ""&amp;row()&amp;"" dit""),
AND(indirect(""D""&amp;row()-1)&lt;&gt;""Rum"",indirect(""D""&amp;row()-1)=""""),CONCATENATE(""Tom rad! Kopiera hela rad ""&amp;row()&amp;"" dit""),
"&amp;"C15="""","""",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OR(AND(D15&lt;&gt;$E$2,D15&lt;&gt;$E$4,D15&lt;&gt;$K$4,D15&lt;&gt;$Q$4),D15="&amp;"""""),CONCATENATE(""Rum: ""&amp;D15&amp;"" finns ej, byt i D""&amp;row()),
AND(indirect(""D""&amp;row()-1)=""Rum"",C15=""""),CONCATENATE(""För att börja: skriv i cell C""&amp;row()),
AND(C15=""Paus"",M15&lt;=0),CONCATENATE(""Skriv pausens längd i M""&amp;row()),
OR(COUNTIF(Info!$A$"&amp;"22:A81,C15)&gt;0,C15=""""),"""",
AND(D15&lt;&gt;$E$2,$O$2=""Yes"",A15=""=time(hh;mm;ss)""),CONCATENATE(""Skriv starttid för ""&amp;C15&amp;"" i A""&amp;row()),
E15=""E - Error"",CONCATENATE(""För många ""&amp;C15&amp;"" rundor!""),
AND(C15&lt;&gt;""3x3 FMC"",C15&lt;&gt;""3x3 MBLD"",E15&lt;&gt;1,E15&lt;&gt;"&amp;"""Final"",IFERROR(FILTER($E$7:indirect(""E""&amp;row()-1),
$E$7:indirect(""E""&amp;row()-1)=E15-1,$C$7:indirect(""C""&amp;row()-1)=C15))=FALSE),CONCATENATE(""Kan ej vara R""&amp;E15&amp;"", saknar R""&amp;(E15-1)),
AND(indirect(""E""&amp;row()-1)&lt;&gt;""Omgång"",IFERROR(FILTER($E$7:indi"&amp;"rect(""E""&amp;row()-1),
$E$7:indirect(""E""&amp;row()-1)=E15,$C$7:indirect(""C""&amp;row()-1)=C15)=E15)=TRUE),CONCATENATE(""Runda ""&amp;E15&amp;"" i ""&amp;C15&amp;"" finns redan""),
AND(C15&lt;&gt;""3x3 BLD"",C15&lt;&gt;""4x4 BLD"",C15&lt;&gt;""5x5 BLD"",C15&lt;&gt;""4x4 / 5x5 BLD"",OR(E15=2,E15=3,E15="&amp;"""Final""),H15&lt;&gt;""""),CONCATENATE(E15&amp;""-rundor brukar ej ha c.t.l.""),
AND(OR(E15=2,E15=3,E15=""Final""),I15&lt;&gt;""""),CONCATENATE(E15&amp;""-rundor brukar ej ha cutoff""),
AND(OR(C15=""3x3 FMC"",C15=""3x3 MBLD""),OR(E15=1,E15=2,E15=3,E15=""Final"")),CONCATENAT"&amp;"E(C15&amp;""s omgång är Rx - Ax""),
AND(C15&lt;&gt;""3x3 MBLD"",C15&lt;&gt;""3x3 FMC"",FILTER(Info!$D$2:D81, Info!$A$2:A81 = C15)&lt;&gt;F15),CONCATENATE(C15&amp;"" måste ha formatet ""&amp;FILTER(Info!$D$2:D81, Info!$A$2:A81 = C15)),
AND(C15=""3x3 MBLD"",OR(F15=""Avg of 5"",F15=""Mea"&amp;"n of 3"")),CONCATENATE(""Ogiltigt format för ""&amp;C15),
AND(C15=""3x3 FMC"",OR(F15=""Avg of 5"",F15=""Best of 3"")),CONCATENATE(""Ogiltigt format för ""&amp;C15),
AND(OR(F15=""Best of 1"",F15=""Best of 2"",F15=""Best of 3""),I15&lt;&gt;""""),CONCATENATE(F15&amp;""-rundor"&amp;" får ej ha cutoff""),
AND(OR(C15=""3x3 FMC"",C15=""3x3 MBLD""),G15&lt;&gt;60),CONCATENATE(C15&amp;"" måste ha time limit: 60""),
AND(OR(C15=""3x3 FMC"",C15=""3x3 MBLD""),H15&lt;&gt;""""),CONCATENATE(C15&amp;"" kan inte ha c.t.l.""),
AND(G15&lt;&gt;"""",H15&lt;&gt;""""),""Välj time limit"&amp;" ELLER c.t.l"",
AND(C15=""6x6 / 7x7"",G15="""",H15=""""),""Sätt time limit (x / y) eller c.t.l (z)"",
AND(G15="""",H15=""""),""Sätt en time limit eller c.t.l"",
AND(OR(C15=""6x6 / 7x7"",C15=""4x4 / 5x5 BLD""),G15&lt;&gt;"""",REGEXMATCH(TO_TEXT(G15),"" / "")=FAL"&amp;"SE),CONCATENATE(""Time limit måste vara x / y""),
AND(H15&lt;&gt;"""",I15&lt;&gt;""""),CONCATENATE(C15&amp;"" brukar ej ha cutoff OCH c.t.l""),
AND(E15=1,H15="""",I15="""",OR(FILTER(Info!$E$2:E81, Info!$A$2:A81 = C15) = ""Yes"",FILTER(Info!$F$2:F81, Info!$A$2:A81 = C15) "&amp;"= ""Yes""),OR(F15=""Avg of 5"",F15=""Mean of 3"")),CONCATENATE(C15&amp;"" bör ha cutoff eller c.t.l""),
AND(C15=""6x6 / 7x7"",I15&lt;&gt;"""",REGEXMATCH(TO_TEXT(I15),"" / "")=FALSE),CONCATENATE(""Cutoff måste vara x / y""),
AND(H15&lt;&gt;"""",ISNUMBER(H15)=FALSE),""C.t."&amp;"l. måste vara positivt tal (x)"",
AND(C15&lt;&gt;""6x6 / 7x7"",I15&lt;&gt;"""",ISNUMBER(I15)=FALSE),""Cutoff måste vara positivt tal (x)"",
AND(H15&lt;&gt;"""",FILTER(Info!$E$2:E81, Info!$A$2:A81 = C15) = ""No"",FILTER(Info!$F$2:F81, Info!$A$2:A81 = C15) = ""No""),CONCATEN"&amp;"ATE(C15&amp;"" brukar inte ha c.t.l.""),
AND(I15&lt;&gt;"""",FILTER(Info!$E$2:E81, Info!$A$2:A81 = C15) = ""No"",FILTER(Info!$F$2:F81, Info!$A$2:A81 = C15) = ""No""),CONCATENATE(C15&amp;"" brukar inte ha cutoff""),
AND(H15="""",FILTER(Info!$F$2:F81, Info!$A$2:A81 = C15"&amp;") = ""Yes""),CONCATENATE(C15&amp;"" brukar ha c.t.l.""),
AND(C15&lt;&gt;""6x6 / 7x7"",C15&lt;&gt;""4x4 / 5x5 BLD"",G15&lt;&gt;"""",ISNUMBER(G15)=FALSE),""Time limit måste vara positivt tal (x)"",
J15=""J - Error"",CONCATENATE(""För få deltagare i R1 för ""&amp;COUNTIF($C$7:$C$102,"&amp;"indirect(""C""&amp;row()))&amp;"" rundor""),
J15=""K2 - Error"",CONCATENATE(C15&amp;"" är mer populär - byt i K2!""),
AND(C15&lt;&gt;""6x6 / 7x7"",C15&lt;&gt;""4x4 / 5x5 BLD"",G15&lt;&gt;"""",I15&lt;&gt;"""",G15&lt;=I15),""Time limit måste vara &gt; cutoff"",
AND(C15&lt;&gt;""6x6 / 7x7"",C15&lt;&gt;""4x4 / 5"&amp;"x5 BLD"",H15&lt;&gt;"""",I15&lt;&gt;"""",H15&lt;=I15),""C.t.l. måste vara &gt; cutoff"",
AND(C15&lt;&gt;""3x3 FMC"",C15&lt;&gt;""3x3 MBLD"",J15=""""),CONCATENATE(""Fyll i antal deltagare i J""&amp;row()),
AND(C15="""",OR(E15&lt;&gt;"""",F15&lt;&gt;"""",G15&lt;&gt;"""",H15&lt;&gt;"""",I15&lt;&gt;"""",J15&lt;&gt;"""")),""Skri"&amp;"v ALLTID gren / aktivitet först"",
AND(I15="""",H15="""",J15&lt;&gt;""""),J15,
OR(""3x3 FMC""=C15,""3x3 MBLD""=C15),J15,
AND(I15&lt;&gt;"""",""6x6 / 7x7""=C15),
IFS(ArrayFormula(SUM(IFERROR(SPLIT(I15,"" / ""))))&lt;(Info!$J$6+Info!$J$7)*2/3,CONCATENATE(""Höj helst cutof"&amp;"fs i ""&amp;C15),
ArrayFormula(SUM(IFERROR(SPLIT(I15,"" / ""))))&lt;=(Info!$J$6+Info!$J$7),ROUNDUP(J15*Info!$J$22),
ArrayFormula(SUM(IFERROR(SPLIT(I15,"" / ""))))&lt;=Info!$J$6+Info!$J$7,ROUNDUP(J15*Info!$K$22),
ArrayFormula(SUM(IFERROR(SPLIT(I15,"" / ""))))&lt;=Info!"&amp;"$K$6+Info!$K$7,ROUNDUP(J15*Info!L$22),
ArrayFormula(SUM(IFERROR(SPLIT(I15,"" / ""))))&lt;=Info!$L$6+Info!$L$7,ROUNDUP(J15*Info!$M$22),
ArrayFormula(SUM(IFERROR(SPLIT(I15,"" / ""))))&lt;=Info!$M$6+Info!$M$7,ROUNDUP(J15*Info!$N$22),
ArrayFormula(SUM(IFERROR(SPLIT"&amp;"(I15,"" / ""))))&lt;=(Info!$N$6+Info!$N$7)*3/2,ROUNDUP(J15*Info!$J$26),
ArrayFormula(SUM(IFERROR(SPLIT(I15,"" / ""))))&gt;(Info!$N$6+Info!$N$7)*3/2,CONCATENATE(""Sänk helst cutoffs i ""&amp;C15)),
AND(I15&lt;&gt;"""",FILTER(Info!$E$2:E81, Info!$A$2:A81 = C15) = ""Yes""),"&amp;"
IFS(I15&lt;FILTER(Info!$J$2:J81, Info!$A$2:A81 = C15)*2/3,CONCATENATE(""Höj helst cutoff i ""&amp;C15),
I15&lt;=FILTER(Info!$J$2:J81, Info!$A$2:A81 = C15),ROUNDUP(J15*Info!$J$22),
I15&lt;=FILTER(Info!$K$2:K81, Info!$A$2:A81 = C15),ROUNDUP(J15*Info!$K$22),
I15&lt;=FILTER"&amp;"(Info!$L$2:L81, Info!$A$2:A81 = C15),ROUNDUP(J15*Info!L$22),
I15&lt;=FILTER(Info!$M$2:M81, Info!$A$2:A81 = C15),ROUNDUP(J15*Info!$M$22),
I15&lt;=FILTER(Info!$N$2:N81, Info!$A$2:A81 = C15),ROUNDUP(J15*Info!$N$22),
I15&lt;=FILTER(Info!$N$2:N81, Info!$A$2:A81 = C15)*"&amp;"3/2,ROUNDUP(J15*Info!$J$26),
I15&gt;FILTER(Info!$N$2:N81, Info!$A$2:A81 = C15)*3/2,CONCATENATE(""Sänk helst cutoff i ""&amp;C15)),
AND(H15&lt;&gt;"""",""6x6 / 7x7""=C15),
IFS(H15/3&lt;=(Info!$J$6+Info!$J$7)*2/3,""Höj helst cumulative time limit"",
H15/3&lt;=Info!$J$6+Info!$"&amp;"J$7,ROUNDUP(J15*Info!$J$24),
H15/3&lt;=Info!$K$6+Info!$K$7,ROUNDUP(J15*Info!$K$24),
H15/3&lt;=Info!$L$6+Info!$L$7,ROUNDUP(J15*Info!L$24),
H15/3&lt;=Info!$M$6+Info!$M$7,ROUNDUP(J15*Info!$M$24),
H15/3&lt;=Info!$N$6+Info!$N$7,ROUNDUP(J15*Info!$N$24),
H15/3&lt;=(Info!$N$6+I"&amp;"nfo!$N$7)*3/2,ROUNDUP(J15*Info!$L$26),
H15/3&gt;(Info!$J$6+Info!$J$7)*3/2,""Sänk helst cumulative time limit""),
AND(H15&lt;&gt;"""",FILTER(Info!$F$2:F81, Info!$A$2:A81 = C15) = ""Yes""),
IFS(H15&lt;=FILTER(Info!$J$2:J81, Info!$A$2:A81 = C15)*2/3,CONCATENATE(""Höj he"&amp;"lst c.t.l. i ""&amp;C15),
H15&lt;=FILTER(Info!$J$2:J81, Info!$A$2:A81 = C15),ROUNDUP(J15*Info!$J$24),
H15&lt;=FILTER(Info!$K$2:K81, Info!$A$2:A81 = C15),ROUNDUP(J15*Info!$K$24),
H15&lt;=FILTER(Info!$L$2:L81, Info!$A$2:A81 = C15),ROUNDUP(J15*Info!L$24),
H15&lt;=FILTER(Inf"&amp;"o!$M$2:M81, Info!$A$2:A81 = C15),ROUNDUP(J15*Info!$M$24),
H15&lt;=FILTER(Info!$N$2:N81, Info!$A$2:A81 = C15),ROUNDUP(J15*Info!$N$24),
H15&lt;=FILTER(Info!$N$2:N81, Info!$A$2:A81 = C15)*3/2,ROUNDUP(J15*Info!$L$26),
H15&gt;FILTER(Info!$N$2:N81, Info!$A$2:A81 = C15)*"&amp;"3/2,CONCATENATE(""Sänk helst c.t.l. i ""&amp;C15)),
AND(H15&lt;&gt;"""",FILTER(Info!$F$2:F81, Info!$A$2:A81 = C15) = ""No""),
IFS(H15/AA15&lt;=FILTER(Info!$J$2:J81, Info!$A$2:A81 = C15)*2/3,CONCATENATE(""Höj helst c.t.l. i ""&amp;C15),
H15/AA15&lt;=FILTER(Info!$J$2:J81, Info"&amp;"!$A$2:A81 = C15),ROUNDUP(J15*Info!$J$24),
H15/AA15&lt;=FILTER(Info!$K$2:K81, Info!$A$2:A81 = C15),ROUNDUP(J15*Info!$K$24),
H15/AA15&lt;=FILTER(Info!$L$2:L81, Info!$A$2:A81 = C15),ROUNDUP(J15*Info!L$24),
H15/AA15&lt;=FILTER(Info!$M$2:M81, Info!$A$2:A81 = C15),ROUND"&amp;"UP(J15*Info!$M$24),
H15/AA15&lt;=FILTER(Info!$N$2:N81, Info!$A$2:A81 = C15),ROUNDUP(J15*Info!$N$24),
H15/AA15&lt;=FILTER(Info!$N$2:N81, Info!$A$2:A81 = C15)*3/2,ROUNDUP(J15*Info!$L$26),
H15/AA15&gt;FILTER(Info!$N$2:N81, Info!$A$2:A81 = C15)*3/2,CONCATENATE(""Sänk "&amp;"helst c.t.l. i ""&amp;C15)),
AND(I15="""",H15&lt;&gt;"""",J15&lt;&gt;""""),ROUNDUP(J15*Info!$T$29),
AND(I15&lt;&gt;"""",H15="""",J15&lt;&gt;""""),ROUNDUP(J15*Info!$T$26))"),"")</f>
        <v/>
      </c>
      <c r="L15" s="42">
        <f>IFERROR(__xludf.DUMMYFUNCTION("IFS(C15="""",0,
C15=""3x3 FMC"",Info!$B$9*N15+M15, C15=""3x3 MBLD"",Info!$B$18*N15+M15,
COUNTIF(Info!$A$22:A81,C15)&gt;0,FILTER(Info!$B$22:B81,Info!$A$22:A81=C15)+M15,
AND(C15&lt;&gt;"""",E15=""""),CONCATENATE(""Fyll i E""&amp;row()),
AND(C15&lt;&gt;"""",E15&lt;&gt;"""",E15&lt;&gt;1,E1"&amp;"5&lt;&gt;2,E15&lt;&gt;3,E15&lt;&gt;""Final""),CONCATENATE(""Fel format på E""&amp;row()),
K15=CONCATENATE(""Runda ""&amp;E15&amp;"" i ""&amp;C15&amp;"" finns redan""),CONCATENATE(""Fel i E""&amp;row()),
AND(C15&lt;&gt;"""",F15=""""),CONCATENATE(""Fyll i F""&amp;row()),
K15=CONCATENATE(C15&amp;"" måste ha forma"&amp;"tet ""&amp;FILTER(Info!$D$2:D81, Info!$A$2:A81 = C15)),CONCATENATE(""Fel format på F""&amp;row()),
AND(C15&lt;&gt;"""",D15=1,H15="""",FILTER(Info!$F$2:F81, Info!$A$2:A81 = C15) = ""Yes""),CONCATENATE(""Fyll i H""&amp;row()),
AND(C15&lt;&gt;"""",D15=1,I15="""",FILTER(Info!$E$2:E8"&amp;"1, Info!$A$2:A81 = C15) = ""Yes""),CONCATENATE(""Fyll i I""&amp;row()),
AND(C15&lt;&gt;"""",J15=""""),CONCATENATE(""Fyll i J""&amp;row()),
AND(C15&lt;&gt;"""",K15="""",OR(H15&lt;&gt;"""",I15&lt;&gt;"""")),CONCATENATE(""Fyll i K""&amp;row()),
AND(C15&lt;&gt;"""",K15=""""),CONCATENATE(""Skriv samma"&amp;" i K""&amp;row()&amp;"" som i J""&amp;row()),
AND(OR(C15=""4x4 BLD"",C15=""5x5 BLD"",C15=""4x4 / 5x5 BLD"")=TRUE,V15&lt;=P15),
MROUND(H15*(Info!$T$20-((Info!$T$20-1)/2)*(1-V15/P15))*(1+((J15/K15)-1)*(1-Info!$J$24))*N15+(Info!$T$11/2)+(N15*Info!$T$11)+(N15*Info!$T$14*(O1"&amp;"5-1)),0.01)+M15,
AND(OR(C15=""4x4 BLD"",C15=""5x5 BLD"",C15=""4x4 / 5x5 BLD"")=TRUE,V15&gt;P15),
MROUND((((J15*Z15+K15*(AA15-Z15))*(H15*Info!$T$20/AA15))/X15)*(1+((J15/K15)-1)*(1-Info!$J$24))*(1+(X15-Info!$T$8)/100)+(Info!$T$11/2)+(N15*Info!$T$11)+(N15*Info!"&amp;"$T$14*(O15-1)),0.01)+M15,
AND(C15=""3x3 BLD"",V15&lt;=P15),
MROUND(H15*(Info!$T$23-((Info!$T$23-1)/2)*(1-V15/P15))*(1+((J15/K15)-1)*(1-Info!$J$24))*N15+(Info!$T$11/2)+(N15*Info!$T$11)+(N15*Info!$T$14*(O15-1)),0.01)+M15,
AND(C15=""3x3 BLD"",V15&gt;P15),
MROUND(("&amp;"((J15*Z15+K15*(AA15-Z15))*(H15*Info!$T$23/AA15))/X15)*(1+((J15/K15)-1)*(1-Info!$J$24))*(1+(X15-Info!$T$8)/100)+(Info!$T$11/2)+(N15*Info!$T$11)+(N15*Info!$T$14*(O15-1)),0.01)+M15,
E15=1,MROUND((((J15*Z15+K15*(AA15-Z15))*Y15)/X15)*(1+(X15-Info!$T$8)/100)+(N"&amp;"15*Info!$T$11)+(N15*Info!$T$14*(O15-1)),0.01)+M15,
AND(E15=""Final"",N15=1,FILTER(Info!$G$2:$G$20,Info!$A$2:$A$20=C15)=""Mycket svår""),
MROUND((((J15*Z15+K15*(AA15-Z15))*(Y15*Info!$T$38))/X15)*(1+(X15-Info!$T$8)/100)+(N15*Info!$T$11)+(N15*Info!$T$14*(O15"&amp;"-1)),0.01)+M15,
AND(E15=""Final"",N15=1,FILTER(Info!$G$2:$G$20,Info!$A$2:$A$20=C15)=""Svår""),
MROUND((((J15*Z15+K15*(AA15-Z15))*(Y15*Info!$T$35))/X15)*(1+(X15-Info!$T$8)/100)+(N15*Info!$T$11)+(N15*Info!$T$14*(O15-1)),0.01)+M15,
E15=""Final"",MROUND((((J1"&amp;"5*Z15+K15*(AA15-Z15))*(Y15*Info!$T$5))/X15)*(1+(X15-Info!$T$8)/100)+(N15*Info!$T$11)+(N15*Info!$T$14*(O15-1)),0.01)+M15,
OR(E15=2,E15=3),MROUND((((J15*Z15+K15*(AA15-Z15))*(Y15*Info!$T$2))/X15)*(1+(X15-Info!$T$8)/100)+(N15*Info!$T$11)+(N15*Info!$T$14*(O15-"&amp;"1)),0.01)+M15)"),0.0)</f>
        <v>0</v>
      </c>
      <c r="M15" s="43">
        <f t="shared" si="1"/>
        <v>0</v>
      </c>
      <c r="N15" s="43" t="str">
        <f>IFS(OR(COUNTIF(Info!$A$22:A81,C15)&gt;0,C15=""),"",
OR(C15="4x4 BLD",C15="5x5 BLD",C15="3x3 MBLD",C15="3x3 FMC",C15="4x4 / 5x5 BLD"),1,
AND(E15="Final",Q15="Yes",MAX(1,ROUNDUP(J15/P15))&gt;1),MAX(2,ROUNDUP(J15/P15)),
AND(E15="Final",Q15="No",MAX(1,ROUNDUP(J15/((P15*2)+2.625-Y15*1.5)))&gt;1),MAX(2,ROUNDUP(J15/((P15*2)+2.625-Y15*1.5))),
E15="Final",1,
Q15="Yes",MAX(2,ROUNDUP(J15/P15)),
TRUE,MAX(2,ROUNDUP(J15/((P15*2)+2.625-Y15*1.5))))</f>
        <v/>
      </c>
      <c r="O15" s="43" t="str">
        <f>IFS(OR(COUNTIF(Info!$A$22:A81,C15)&gt;0,C15=""),"",
OR("3x3 MBLD"=C15,"3x3 FMC"=C15)=TRUE,"",
D15=$E$4,$G$6,D15=$K$4,$M$6,D15=$Q$4,$S$6,D15=$W$4,$Y$6,
TRUE,$S$2)</f>
        <v/>
      </c>
      <c r="P15" s="43" t="str">
        <f>IFS(OR(COUNTIF(Info!$A$22:A81,C15)&gt;0,C15=""),"",
OR("3x3 MBLD"=C15,"3x3 FMC"=C15)=TRUE,"",
D15=$E$4,$E$6,D15=$K$4,$K$6,D15=$Q$4,$Q$6,D15=$W$4,$W$6,
TRUE,$Q$2)</f>
        <v/>
      </c>
      <c r="Q15" s="44" t="str">
        <f>IFS(OR(COUNTIF(Info!$A$22:A81,C15)&gt;0,C15=""),"",
OR("3x3 MBLD"=C15,"3x3 FMC"=C15)=TRUE,"",
D15=$E$4,$I$6,D15=$K$4,$O$6,D15=$Q$4,$U$6,D15=$W$4,$AA$6,
TRUE,$U$2)</f>
        <v/>
      </c>
      <c r="R15" s="45" t="str">
        <f>IFERROR(__xludf.DUMMYFUNCTION("IF(C15="""","""",IFERROR(FILTER(Info!$B$22:B81,Info!$A$22:A81=C15)+M15,""?""))"),"")</f>
        <v/>
      </c>
      <c r="S15" s="46" t="str">
        <f>IFS(OR(COUNTIF(Info!$A$22:A81,C15)&gt;0,C15=""),"",
AND(H15="",I15=""),J15,
TRUE,"?")</f>
        <v/>
      </c>
      <c r="T15" s="45" t="str">
        <f>IFS(OR(COUNTIF(Info!$A$22:A81,C15)&gt;0,C15=""),"",
AND(L15&lt;&gt;0,OR(R15="?",R15="")),"Fyll i R-kolumnen",
OR(C15="3x3 FMC",C15="3x3 MBLD"),R15,
AND(L15&lt;&gt;0,OR(S15="?",S15="")),"Fyll i S-kolumnen",
OR(COUNTIF(Info!$A$22:A81,C15)&gt;0,C15=""),"",
TRUE,Y15*R15/L15)</f>
        <v/>
      </c>
      <c r="U15" s="45"/>
      <c r="V15" s="47" t="str">
        <f>IFS(OR(COUNTIF(Info!$A$22:A81,C15)&gt;0,C15=""),"",
OR("3x3 MBLD"=C15,"3x3 FMC"=C15)=TRUE,"",
TRUE,MROUND((J15/N15),0.01))</f>
        <v/>
      </c>
      <c r="W15" s="48" t="str">
        <f>IFS(OR(COUNTIF(Info!$A$22:A81,C15)&gt;0,C15=""),"",
TRUE,L15/N15)</f>
        <v/>
      </c>
      <c r="X15" s="49" t="str">
        <f>IFS(OR(COUNTIF(Info!$A$22:A81,C15)&gt;0,C15=""),"",
OR("3x3 MBLD"=C15,"3x3 FMC"=C15)=TRUE,"",
OR(C15="4x4 BLD",C15="5x5 BLD",C15="4x4 / 5x5 BLD",AND(C15="3x3 BLD",H15&lt;&gt;""))=TRUE,MIN(V15,P15),
TRUE,MIN(P15,V15,MROUND(((V15*2/3)+((Y15-1.625)/2)),0.01)))</f>
        <v/>
      </c>
      <c r="Y15" s="48" t="str">
        <f>IFERROR(__xludf.DUMMYFUNCTION("IFS(OR(COUNTIF(Info!$A$22:A81,C15)&gt;0,C15=""""),"""",
FILTER(Info!$F$2:F81, Info!$A$2:A81 = C15) = ""Yes"",H15/AA15,
""3x3 FMC""=C15,Info!$B$9,""3x3 MBLD""=C15,Info!$B$18,
AND(E15=1,I15="""",H15="""",Q15=""No"",G15&gt;SUMIF(Info!$A$2:A81,C15,Info!$B$2:B81)*1."&amp;"5),
MIN(SUMIF(Info!$A$2:A81,C15,Info!$B$2:B81)*1.1,SUMIF(Info!$A$2:A81,C15,Info!$B$2:B81)*(1.15-(0.15*(SUMIF(Info!$A$2:A81,C15,Info!$B$2:B81)*1.5)/G15))),
AND(E15=1,I15="""",H15="""",Q15=""Yes"",G15&gt;SUMIF(Info!$A$2:A81,C15,Info!$C$2:C81)*1.5),
MIN(SUMIF(I"&amp;"nfo!$A$2:A81,C15,Info!$C$2:C81)*1.1,SUMIF(Info!$A$2:A81,C15,Info!$C$2:C81)*(1.15-(0.15*(SUMIF(Info!$A$2:A81,C15,Info!$C$2:C81)*1.5)/G15))),
Q15=""No"",SUMIF(Info!$A$2:A81,C15,Info!$B$2:B81),
Q15=""Yes"",SUMIF(Info!$A$2:A81,C15,Info!$C$2:C81))"),"")</f>
        <v/>
      </c>
      <c r="Z15" s="47" t="str">
        <f>IFS(OR(COUNTIF(Info!$A$22:A81,C15)&gt;0,C15=""),"",
AND(OR("3x3 FMC"=C15,"3x3 MBLD"=C15),I15&lt;&gt;""),1,
AND(OR(H15&lt;&gt;"",I15&lt;&gt;""),F15="Avg of 5"),2,
F15="Avg of 5",AA15,
AND(OR(H15&lt;&gt;"",I15&lt;&gt;""),F15="Mean of 3",C15="6x6 / 7x7"),2,
AND(OR(H15&lt;&gt;"",I15&lt;&gt;""),F15="Mean of 3"),1,
F15="Mean of 3",AA15,
AND(OR(H15&lt;&gt;"",I15&lt;&gt;""),F15="Best of 3",C15="4x4 / 5x5 BLD"),2,
AND(OR(H15&lt;&gt;"",I15&lt;&gt;""),F15="Best of 3"),1,
F15="Best of 2",AA15,
F15="Best of 1",AA15)</f>
        <v/>
      </c>
      <c r="AA15" s="47" t="str">
        <f>IFS(OR(COUNTIF(Info!$A$22:A81,C15)&gt;0,C15=""),"",
AND(OR("3x3 MBLD"=C15,"3x3 FMC"=C15),F15="Best of 1"=TRUE),1,
AND(OR("3x3 MBLD"=C15,"3x3 FMC"=C15),F15="Best of 2"=TRUE),2,
AND(OR("3x3 MBLD"=C15,"3x3 FMC"=C15),OR(F15="Best of 3",F15="Mean of 3")=TRUE),3,
AND(F15="Mean of 3",C15="6x6 / 7x7"),6,
AND(F15="Best of 3",C15="4x4 / 5x5 BLD"),6,
F15="Avg of 5",5,F15="Mean of 3",3,F15="Best of 3",3,F15="Best of 2",2,F15="Best of 1",1)</f>
        <v/>
      </c>
      <c r="AB15" s="50"/>
    </row>
    <row r="16" ht="15.75" customHeight="1">
      <c r="A16" s="35">
        <f>IFERROR(__xludf.DUMMYFUNCTION("IFS(indirect(""A""&amp;row()-1)=""Start"",TIME(indirect(""A""&amp;row()-2),indirect(""B""&amp;row()-2),0),
$O$2=""No"",TIME(0,($A$6*60+$B$6)+CEILING(SUM($L$7:indirect(""L""&amp;row()-1)),5),0),
D16=$E$2,TIME(0,($A$6*60+$B$6)+CEILING(SUM(IFERROR(FILTER($L$7:indirect(""L"""&amp;"&amp;row()-1),REGEXMATCH($D$7:indirect(""D""&amp;row()-1),$E$2)),0)),5),0),
TRUE,""=time(hh;mm;ss)"")"),0.4166666666666667)</f>
        <v>0.4166666667</v>
      </c>
      <c r="B16" s="36">
        <f>IFERROR(__xludf.DUMMYFUNCTION("IFS($O$2=""No"",TIME(0,($A$6*60+$B$6)+CEILING(SUM($L$7:indirect(""L""&amp;row())),5),0),
D16=$E$2,TIME(0,($A$6*60+$B$6)+CEILING(SUM(FILTER($L$7:indirect(""L""&amp;row()),REGEXMATCH($D$7:indirect(""D""&amp;row()),$E$2))),5),0),
A16=""=time(hh;mm;ss)"",CONCATENATE(""Sk"&amp;"riv tid i A""&amp;row()),
AND(A16&lt;&gt;"""",A16&lt;&gt;""=time(hh;mm;ss)""),A16+TIME(0,CEILING(indirect(""L""&amp;row()),5),0))"),0.4166666666666667)</f>
        <v>0.4166666667</v>
      </c>
      <c r="C16" s="37"/>
      <c r="D16" s="38" t="str">
        <f t="shared" si="2"/>
        <v>Stora salen</v>
      </c>
      <c r="E16" s="38" t="str">
        <f>IFERROR(__xludf.DUMMYFUNCTION("IFS(COUNTIF(Info!$A$22:A81,C16)&gt;0,"""",
AND(OR(""3x3 FMC""=C16,""3x3 MBLD""=C16),COUNTIF($C$7:indirect(""C""&amp;row()),indirect(""C""&amp;row()))&gt;=13),""E - Error"",
AND(OR(""3x3 FMC""=C16,""3x3 MBLD""=C16),COUNTIF($C$7:indirect(""C""&amp;row()),indirect(""C""&amp;row()"&amp;"))=12),""Final - A3"",
AND(OR(""3x3 FMC""=C16,""3x3 MBLD""=C16),COUNTIF($C$7:indirect(""C""&amp;row()),indirect(""C""&amp;row()))=11),""Final - A2"",
AND(OR(""3x3 FMC""=C16,""3x3 MBLD""=C16),COUNTIF($C$7:indirect(""C""&amp;row()),indirect(""C""&amp;row()))=10),""Final - "&amp;"A1"",
AND(OR(""3x3 FMC""=C16,""3x3 MBLD""=C16),COUNTIF($C$7:indirect(""C""&amp;row()),indirect(""C""&amp;row()))=9,
COUNTIF($C$7:$C$102,indirect(""C""&amp;row()))&gt;9),""R3 - A3"",
AND(OR(""3x3 FMC""=C16,""3x3 MBLD""=C16),COUNTIF($C$7:indirect(""C""&amp;row()),indirect(""C"&amp;"""&amp;row()))=9,
COUNTIF($C$7:$C$102,indirect(""C""&amp;row()))&lt;=9),""Final - A3"",
AND(OR(""3x3 FMC""=C16,""3x3 MBLD""=C16),COUNTIF($C$7:indirect(""C""&amp;row()),indirect(""C""&amp;row()))=8,
COUNTIF($C$7:$C$102,indirect(""C""&amp;row()))&gt;9),""R3 - A2"",
AND(OR(""3x3 FMC"&amp;"""=C16,""3x3 MBLD""=C16),COUNTIF($C$7:indirect(""C""&amp;row()),indirect(""C""&amp;row()))=8,
COUNTIF($C$7:$C$102,indirect(""C""&amp;row()))&lt;=9),""Final - A2"",
AND(OR(""3x3 FMC""=C16,""3x3 MBLD""=C16),COUNTIF($C$7:indirect(""C""&amp;row()),indirect(""C""&amp;row()))=7,
COUN"&amp;"TIF($C$7:$C$102,indirect(""C""&amp;row()))&gt;9),""R3 - A1"",
AND(OR(""3x3 FMC""=C16,""3x3 MBLD""=C16),COUNTIF($C$7:indirect(""C""&amp;row()),indirect(""C""&amp;row()))=7,
COUNTIF($C$7:$C$102,indirect(""C""&amp;row()))&lt;=9),""Final - A1"",
AND(OR(""3x3 FMC""=C16,""3x3 MBLD"""&amp;"=C16),COUNTIF($C$7:indirect(""C""&amp;row()),indirect(""C""&amp;row()))=6,
COUNTIF($C$7:$C$102,indirect(""C""&amp;row()))&gt;6),""R2 - A3"",
AND(OR(""3x3 FMC""=C16,""3x3 MBLD""=C16),COUNTIF($C$7:indirect(""C""&amp;row()),indirect(""C""&amp;row()))=6,
COUNTIF($C$7:$C$102,indirec"&amp;"t(""C""&amp;row()))&lt;=6),""Final - A3"",
AND(OR(""3x3 FMC""=C16,""3x3 MBLD""=C16),COUNTIF($C$7:indirect(""C""&amp;row()),indirect(""C""&amp;row()))=5,
COUNTIF($C$7:$C$102,indirect(""C""&amp;row()))&gt;6),""R2 - A2"",
AND(OR(""3x3 FMC""=C16,""3x3 MBLD""=C16),COUNTIF($C$7:indi"&amp;"rect(""C""&amp;row()),indirect(""C""&amp;row()))=5,
COUNTIF($C$7:$C$102,indirect(""C""&amp;row()))&lt;=6),""Final - A2"",
AND(OR(""3x3 FMC""=C16,""3x3 MBLD""=C16),COUNTIF($C$7:indirect(""C""&amp;row()),indirect(""C""&amp;row()))=4,
COUNTIF($C$7:$C$102,indirect(""C""&amp;row()))&gt;6),"&amp;"""R2 - A1"",
AND(OR(""3x3 FMC""=C16,""3x3 MBLD""=C16),COUNTIF($C$7:indirect(""C""&amp;row()),indirect(""C""&amp;row()))=4,
COUNTIF($C$7:$C$102,indirect(""C""&amp;row()))&lt;=6),""Final - A1"",
AND(OR(""3x3 FMC""=C16,""3x3 MBLD""=C16),COUNTIF($C$7:indirect(""C""&amp;row()),i"&amp;"ndirect(""C""&amp;row()))=3),""R1 - A3"",
AND(OR(""3x3 FMC""=C16,""3x3 MBLD""=C16),COUNTIF($C$7:indirect(""C""&amp;row()),indirect(""C""&amp;row()))=2),""R1 - A2"",
AND(OR(""3x3 FMC""=C16,""3x3 MBLD""=C16),COUNTIF($C$7:indirect(""C""&amp;row()),indirect(""C""&amp;row()))=1),"&amp;"""R1 -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C16),ROUNDUP((FILTER(Info!$H$2:H81,Info!$A$2:A81=C16)/FILTER(Info!$H$2:H81,Info!$A$2:A81=$K$2))*$I$2)&gt;99),3,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C16),ROUNDUP((FILTER(Info!$H$2:H81,Info!$A$2:A81=C16)/FILTER(Info!$H$2:H81,Info!$A$2:A81=$K$2))*$I$2)&gt;15),2,
AND(COUNTIF($C$7:indirect(""C""&amp;row()),indirect(""C""&amp;row()))=2,COUNTIF($C$7:$C$102,indirect(""C""&amp;row()))=COUNTIF($"&amp;"C$7:indirect(""C""&amp;row()),indirect(""C""&amp;row()))),""Final"",
COUNTIF($C$7:indirect(""C""&amp;row()),indirect(""C""&amp;row()))=1,1,
COUNTIF($C$7:indirect(""C""&amp;row()),indirect(""C""&amp;row()))=0,"""")"),"")</f>
        <v/>
      </c>
      <c r="F16" s="39" t="str">
        <f>IFERROR(__xludf.DUMMYFUNCTION("IFS(C16="""","""",
AND(C16=""3x3 FMC"",MOD(COUNTIF($C$7:indirect(""C""&amp;row()),indirect(""C""&amp;row())),3)=0),""Mean of 3"",
AND(C16=""3x3 MBLD"",MOD(COUNTIF($C$7:indirect(""C""&amp;row()),indirect(""C""&amp;row())),3)=0),""Best of 3"",
AND(C16=""3x3 FMC"",MOD(COUNT"&amp;"IF($C$7:indirect(""C""&amp;row()),indirect(""C""&amp;row())),3)=2,
COUNTIF($C$7:$C$102,indirect(""C""&amp;row()))&lt;=COUNTIF($C$7:indirect(""C""&amp;row()),indirect(""C""&amp;row()))),""Best of 2"",
AND(C16=""3x3 FMC"",MOD(COUNTIF($C$7:indirect(""C""&amp;row()),indirect(""C""&amp;row("&amp;"))),3)=2,
COUNTIF($C$7:$C$102,indirect(""C""&amp;row()))&gt;COUNTIF($C$7:indirect(""C""&amp;row()),indirect(""C""&amp;row()))),""Mean of 3"",
AND(C16=""3x3 MBLD"",MOD(COUNTIF($C$7:indirect(""C""&amp;row()),indirect(""C""&amp;row())),3)=2,
COUNTIF($C$7:$C$102,indirect(""C""&amp;row("&amp;")))&lt;=COUNTIF($C$7:indirect(""C""&amp;row()),indirect(""C""&amp;row()))),""Best of 2"",
AND(C16=""3x3 MBLD"",MOD(COUNTIF($C$7:indirect(""C""&amp;row()),indirect(""C""&amp;row())),3)=2,
COUNTIF($C$7:$C$102,indirect(""C""&amp;row()))&gt;COUNTIF($C$7:indirect(""C""&amp;row()),indirect("&amp;"""C""&amp;row()))),""Best of 3"",
AND(C16=""3x3 FMC"",MOD(COUNTIF($C$7:indirect(""C""&amp;row()),indirect(""C""&amp;row())),3)=1,
COUNTIF($C$7:$C$102,indirect(""C""&amp;row()))&lt;=COUNTIF($C$7:indirect(""C""&amp;row()),indirect(""C""&amp;row()))),""Best of 1"",
AND(C16=""3x3 FMC"""&amp;",MOD(COUNTIF($C$7:indirect(""C""&amp;row()),indirect(""C""&amp;row())),3)=1,
COUNTIF($C$7:$C$102,indirect(""C""&amp;row()))=COUNTIF($C$7:indirect(""C""&amp;row()),indirect(""C""&amp;row()))+1),""Best of 2"",
AND(C16=""3x3 FMC"",MOD(COUNTIF($C$7:indirect(""C""&amp;row()),indirect"&amp;"(""C""&amp;row())),3)=1,
COUNTIF($C$7:$C$102,indirect(""C""&amp;row()))&gt;COUNTIF($C$7:indirect(""C""&amp;row()),indirect(""C""&amp;row()))),""Mean of 3"",
AND(C16=""3x3 MBLD"",MOD(COUNTIF($C$7:indirect(""C""&amp;row()),indirect(""C""&amp;row())),3)=1,
COUNTIF($C$7:$C$102,indirect"&amp;"(""C""&amp;row()))&lt;=COUNTIF($C$7:indirect(""C""&amp;row()),indirect(""C""&amp;row()))),""Best of 1"",
AND(C16=""3x3 MBLD"",MOD(COUNTIF($C$7:indirect(""C""&amp;row()),indirect(""C""&amp;row())),3)=1,
COUNTIF($C$7:$C$102,indirect(""C""&amp;row()))=COUNTIF($C$7:indirect(""C""&amp;row()"&amp;"),indirect(""C""&amp;row()))+1),""Best of 2"",
AND(C16=""3x3 MBLD"",MOD(COUNTIF($C$7:indirect(""C""&amp;row()),indirect(""C""&amp;row())),3)=1,
COUNTIF($C$7:$C$102,indirect(""C""&amp;row()))&gt;COUNTIF($C$7:indirect(""C""&amp;row()),indirect(""C""&amp;row()))),""Best of 3"",
TRUE,("&amp;"IFERROR(FILTER(Info!$D$2:D81, Info!$A$2:A81 = C16), """")))"),"")</f>
        <v/>
      </c>
      <c r="G16" s="40" t="str">
        <f>IFERROR(__xludf.DUMMYFUNCTION("IFS(OR(COUNTIF(Info!$A$22:A81,C16)&gt;0,C16=""""),"""",
OR(""3x3 MBLD""=C16,""3x3 FMC""=C16),60,
AND(E16=1,FILTER(Info!$F$2:F81, Info!$A$2:A81 = C16) = ""No""),FILTER(Info!$P$2:P81, Info!$A$2:A81 = C16),
AND(E16=2,FILTER(Info!$F$2:F81, Info!$A$2:A81 = C16) ="&amp;" ""No""),FILTER(Info!$Q$2:Q81, Info!$A$2:A81 = C16),
AND(E16=3,FILTER(Info!$F$2:F81, Info!$A$2:A81 = C16) = ""No""),FILTER(Info!$R$2:R81, Info!$A$2:A81 = C16),
AND(E16=""Final"",FILTER(Info!$F$2:F81, Info!$A$2:A81 = C16) = ""No""),FILTER(Info!$S$2:S81, In"&amp;"fo!$A$2:A81 = C16),
FILTER(Info!$F$2:F81, Info!$A$2:A81 = C16) = ""Yes"","""")"),"")</f>
        <v/>
      </c>
      <c r="H16" s="40" t="str">
        <f>IFERROR(__xludf.DUMMYFUNCTION("IFS(OR(COUNTIF(Info!$A$22:A81,C16)&gt;0,C16=""""),"""",
OR(""3x3 MBLD""=C16,""3x3 FMC""=C16)=TRUE,"""",
FILTER(Info!$F$2:F81, Info!$A$2:A81 = C16) = ""Yes"",FILTER(Info!$O$2:O81, Info!$A$2:A81 = C16),
FILTER(Info!$F$2:F81, Info!$A$2:A81 = C16) = ""No"",IF(G1"&amp;"6="""",FILTER(Info!$O$2:O81, Info!$A$2:A81 = C16),""""))"),"")</f>
        <v/>
      </c>
      <c r="I16" s="40" t="str">
        <f>IFERROR(__xludf.DUMMYFUNCTION("IFS(OR(COUNTIF(Info!$A$22:A81,C16)&gt;0,C16="""",H16&lt;&gt;""""),"""",
AND(E16&lt;&gt;1,E16&lt;&gt;""R1 - A1"",E16&lt;&gt;""R1 - A2"",E16&lt;&gt;""R1 - A3""),"""",
FILTER(Info!$E$2:E81, Info!$A$2:A81 = C16) = ""Yes"",IF(H16="""",FILTER(Info!$L$2:L81, Info!$A$2:A81 = C16),""""),
FILTER(I"&amp;"nfo!$E$2:E81, Info!$A$2:A81 = C16) = ""No"","""")"),"")</f>
        <v/>
      </c>
      <c r="J16" s="40" t="str">
        <f>IFERROR(__xludf.DUMMYFUNCTION("IFS(OR(COUNTIF(Info!$A$22:A81,C16)&gt;0,C16="""",""3x3 MBLD""=C16,""3x3 FMC""=C16),"""",
AND(E16=1,FILTER(Info!$H$2:H81,Info!$A$2:A81 = C16)&lt;=FILTER(Info!$H$2:H81,Info!$A$2:A81=$K$2)),
ROUNDUP((FILTER(Info!$H$2:H81,Info!$A$2:A81 = C16)/FILTER(Info!$H$2:H81,I"&amp;"nfo!$A$2:A81=$K$2))*$I$2),
AND(E16=1,FILTER(Info!$H$2:H81,Info!$A$2:A81 = C16)&gt;FILTER(Info!$H$2:H81,Info!$A$2:A81=$K$2)),""K2 - Error"",
AND(E16=2,FILTER($J$7:indirect(""J""&amp;row()-1),$C$7:indirect(""C""&amp;row()-1)=C16)&lt;=7),""J - Error"",
E16=2,FLOOR(FILTER("&amp;"$J$7:indirect(""J""&amp;row()-1),$C$7:indirect(""C""&amp;row()-1)=C16)*Info!$T$32),
AND(E16=3,FILTER($J$7:indirect(""J""&amp;row()-1),$C$7:indirect(""C""&amp;row()-1)=C16)&lt;=15),""J - Error"",
E16=3,FLOOR(Info!$T$32*FLOOR(FILTER($J$7:indirect(""J""&amp;row()-1),$C$7:indirect("&amp;"""C""&amp;row()-1)=C16)*Info!$T$32)),
AND(E16=""Final"",COUNTIF($C$7:$C$102,C16)=2,FILTER($J$7:indirect(""J""&amp;row()-1),$C$7:indirect(""C""&amp;row()-1)=C16)&lt;=7),""J - Error"",
AND(E16=""Final"",COUNTIF($C$7:$C$102,C16)=2),
MIN(P16,FLOOR(FILTER($J$7:indirect(""J"""&amp;"&amp;row()-1),$C$7:indirect(""C""&amp;row()-1)=C16)*Info!$T$32)),
AND(E16=""Final"",COUNTIF($C$7:$C$102,C16)=3,FILTER($J$7:indirect(""J""&amp;row()-1),$C$7:indirect(""C""&amp;row()-1)=C16)&lt;=15),""J - Error"",
AND(E16=""Final"",COUNTIF($C$7:$C$102,C16)=3),
MIN(P16,FLOOR(I"&amp;"nfo!$T$32*FLOOR(FILTER($J$7:indirect(""J""&amp;row()-1),$C$7:indirect(""C""&amp;row()-1)=C16)*Info!$T$32))),
AND(E16=""Final"",COUNTIF($C$7:$C$102,C16)&gt;=4,FILTER($J$7:indirect(""J""&amp;row()-1),$C$7:indirect(""C""&amp;row()-1)=C16)&lt;=99),""J - Error"",
AND(E16=""Final"","&amp;"COUNTIF($C$7:$C$102,C16)&gt;=4),
MIN(P16,FLOOR(Info!$T$32*FLOOR(Info!$T$32*FLOOR(FILTER($J$7:indirect(""J""&amp;row()-1),$C$7:indirect(""C""&amp;row()-1)=C16)*Info!$T$32)))))"),"")</f>
        <v/>
      </c>
      <c r="K16" s="41" t="str">
        <f>IFERROR(__xludf.DUMMYFUNCTION("IFS(AND(indirect(""D""&amp;row()+2)&lt;&gt;$E$2,indirect(""D""&amp;row()+1)=""""),CONCATENATE(""Tom rad! Kopiera hela rad ""&amp;row()&amp;"" dit""),
AND(indirect(""D""&amp;row()-1)&lt;&gt;""Rum"",indirect(""D""&amp;row()-1)=""""),CONCATENATE(""Tom rad! Kopiera hela rad ""&amp;row()&amp;"" dit""),
"&amp;"C16="""","""",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OR(AND(D16&lt;&gt;$E$2,D16&lt;&gt;$E$4,D16&lt;&gt;$K$4,D16&lt;&gt;$Q$4),D16="&amp;"""""),CONCATENATE(""Rum: ""&amp;D16&amp;"" finns ej, byt i D""&amp;row()),
AND(indirect(""D""&amp;row()-1)=""Rum"",C16=""""),CONCATENATE(""För att börja: skriv i cell C""&amp;row()),
AND(C16=""Paus"",M16&lt;=0),CONCATENATE(""Skriv pausens längd i M""&amp;row()),
OR(COUNTIF(Info!$A$"&amp;"22:A81,C16)&gt;0,C16=""""),"""",
AND(D16&lt;&gt;$E$2,$O$2=""Yes"",A16=""=time(hh;mm;ss)""),CONCATENATE(""Skriv starttid för ""&amp;C16&amp;"" i A""&amp;row()),
E16=""E - Error"",CONCATENATE(""För många ""&amp;C16&amp;"" rundor!""),
AND(C16&lt;&gt;""3x3 FMC"",C16&lt;&gt;""3x3 MBLD"",E16&lt;&gt;1,E16&lt;&gt;"&amp;"""Final"",IFERROR(FILTER($E$7:indirect(""E""&amp;row()-1),
$E$7:indirect(""E""&amp;row()-1)=E16-1,$C$7:indirect(""C""&amp;row()-1)=C16))=FALSE),CONCATENATE(""Kan ej vara R""&amp;E16&amp;"", saknar R""&amp;(E16-1)),
AND(indirect(""E""&amp;row()-1)&lt;&gt;""Omgång"",IFERROR(FILTER($E$7:indi"&amp;"rect(""E""&amp;row()-1),
$E$7:indirect(""E""&amp;row()-1)=E16,$C$7:indirect(""C""&amp;row()-1)=C16)=E16)=TRUE),CONCATENATE(""Runda ""&amp;E16&amp;"" i ""&amp;C16&amp;"" finns redan""),
AND(C16&lt;&gt;""3x3 BLD"",C16&lt;&gt;""4x4 BLD"",C16&lt;&gt;""5x5 BLD"",C16&lt;&gt;""4x4 / 5x5 BLD"",OR(E16=2,E16=3,E16="&amp;"""Final""),H16&lt;&gt;""""),CONCATENATE(E16&amp;""-rundor brukar ej ha c.t.l.""),
AND(OR(E16=2,E16=3,E16=""Final""),I16&lt;&gt;""""),CONCATENATE(E16&amp;""-rundor brukar ej ha cutoff""),
AND(OR(C16=""3x3 FMC"",C16=""3x3 MBLD""),OR(E16=1,E16=2,E16=3,E16=""Final"")),CONCATENAT"&amp;"E(C16&amp;""s omgång är Rx - Ax""),
AND(C16&lt;&gt;""3x3 MBLD"",C16&lt;&gt;""3x3 FMC"",FILTER(Info!$D$2:D81, Info!$A$2:A81 = C16)&lt;&gt;F16),CONCATENATE(C16&amp;"" måste ha formatet ""&amp;FILTER(Info!$D$2:D81, Info!$A$2:A81 = C16)),
AND(C16=""3x3 MBLD"",OR(F16=""Avg of 5"",F16=""Mea"&amp;"n of 3"")),CONCATENATE(""Ogiltigt format för ""&amp;C16),
AND(C16=""3x3 FMC"",OR(F16=""Avg of 5"",F16=""Best of 3"")),CONCATENATE(""Ogiltigt format för ""&amp;C16),
AND(OR(F16=""Best of 1"",F16=""Best of 2"",F16=""Best of 3""),I16&lt;&gt;""""),CONCATENATE(F16&amp;""-rundor"&amp;" får ej ha cutoff""),
AND(OR(C16=""3x3 FMC"",C16=""3x3 MBLD""),G16&lt;&gt;60),CONCATENATE(C16&amp;"" måste ha time limit: 60""),
AND(OR(C16=""3x3 FMC"",C16=""3x3 MBLD""),H16&lt;&gt;""""),CONCATENATE(C16&amp;"" kan inte ha c.t.l.""),
AND(G16&lt;&gt;"""",H16&lt;&gt;""""),""Välj time limit"&amp;" ELLER c.t.l"",
AND(C16=""6x6 / 7x7"",G16="""",H16=""""),""Sätt time limit (x / y) eller c.t.l (z)"",
AND(G16="""",H16=""""),""Sätt en time limit eller c.t.l"",
AND(OR(C16=""6x6 / 7x7"",C16=""4x4 / 5x5 BLD""),G16&lt;&gt;"""",REGEXMATCH(TO_TEXT(G16),"" / "")=FAL"&amp;"SE),CONCATENATE(""Time limit måste vara x / y""),
AND(H16&lt;&gt;"""",I16&lt;&gt;""""),CONCATENATE(C16&amp;"" brukar ej ha cutoff OCH c.t.l""),
AND(E16=1,H16="""",I16="""",OR(FILTER(Info!$E$2:E81, Info!$A$2:A81 = C16) = ""Yes"",FILTER(Info!$F$2:F81, Info!$A$2:A81 = C16) "&amp;"= ""Yes""),OR(F16=""Avg of 5"",F16=""Mean of 3"")),CONCATENATE(C16&amp;"" bör ha cutoff eller c.t.l""),
AND(C16=""6x6 / 7x7"",I16&lt;&gt;"""",REGEXMATCH(TO_TEXT(I16),"" / "")=FALSE),CONCATENATE(""Cutoff måste vara x / y""),
AND(H16&lt;&gt;"""",ISNUMBER(H16)=FALSE),""C.t."&amp;"l. måste vara positivt tal (x)"",
AND(C16&lt;&gt;""6x6 / 7x7"",I16&lt;&gt;"""",ISNUMBER(I16)=FALSE),""Cutoff måste vara positivt tal (x)"",
AND(H16&lt;&gt;"""",FILTER(Info!$E$2:E81, Info!$A$2:A81 = C16) = ""No"",FILTER(Info!$F$2:F81, Info!$A$2:A81 = C16) = ""No""),CONCATEN"&amp;"ATE(C16&amp;"" brukar inte ha c.t.l.""),
AND(I16&lt;&gt;"""",FILTER(Info!$E$2:E81, Info!$A$2:A81 = C16) = ""No"",FILTER(Info!$F$2:F81, Info!$A$2:A81 = C16) = ""No""),CONCATENATE(C16&amp;"" brukar inte ha cutoff""),
AND(H16="""",FILTER(Info!$F$2:F81, Info!$A$2:A81 = C16"&amp;") = ""Yes""),CONCATENATE(C16&amp;"" brukar ha c.t.l.""),
AND(C16&lt;&gt;""6x6 / 7x7"",C16&lt;&gt;""4x4 / 5x5 BLD"",G16&lt;&gt;"""",ISNUMBER(G16)=FALSE),""Time limit måste vara positivt tal (x)"",
J16=""J - Error"",CONCATENATE(""För få deltagare i R1 för ""&amp;COUNTIF($C$7:$C$102,"&amp;"indirect(""C""&amp;row()))&amp;"" rundor""),
J16=""K2 - Error"",CONCATENATE(C16&amp;"" är mer populär - byt i K2!""),
AND(C16&lt;&gt;""6x6 / 7x7"",C16&lt;&gt;""4x4 / 5x5 BLD"",G16&lt;&gt;"""",I16&lt;&gt;"""",G16&lt;=I16),""Time limit måste vara &gt; cutoff"",
AND(C16&lt;&gt;""6x6 / 7x7"",C16&lt;&gt;""4x4 / 5"&amp;"x5 BLD"",H16&lt;&gt;"""",I16&lt;&gt;"""",H16&lt;=I16),""C.t.l. måste vara &gt; cutoff"",
AND(C16&lt;&gt;""3x3 FMC"",C16&lt;&gt;""3x3 MBLD"",J16=""""),CONCATENATE(""Fyll i antal deltagare i J""&amp;row()),
AND(C16="""",OR(E16&lt;&gt;"""",F16&lt;&gt;"""",G16&lt;&gt;"""",H16&lt;&gt;"""",I16&lt;&gt;"""",J16&lt;&gt;"""")),""Skri"&amp;"v ALLTID gren / aktivitet först"",
AND(I16="""",H16="""",J16&lt;&gt;""""),J16,
OR(""3x3 FMC""=C16,""3x3 MBLD""=C16),J16,
AND(I16&lt;&gt;"""",""6x6 / 7x7""=C16),
IFS(ArrayFormula(SUM(IFERROR(SPLIT(I16,"" / ""))))&lt;(Info!$J$6+Info!$J$7)*2/3,CONCATENATE(""Höj helst cutof"&amp;"fs i ""&amp;C16),
ArrayFormula(SUM(IFERROR(SPLIT(I16,"" / ""))))&lt;=(Info!$J$6+Info!$J$7),ROUNDUP(J16*Info!$J$22),
ArrayFormula(SUM(IFERROR(SPLIT(I16,"" / ""))))&lt;=Info!$J$6+Info!$J$7,ROUNDUP(J16*Info!$K$22),
ArrayFormula(SUM(IFERROR(SPLIT(I16,"" / ""))))&lt;=Info!"&amp;"$K$6+Info!$K$7,ROUNDUP(J16*Info!L$22),
ArrayFormula(SUM(IFERROR(SPLIT(I16,"" / ""))))&lt;=Info!$L$6+Info!$L$7,ROUNDUP(J16*Info!$M$22),
ArrayFormula(SUM(IFERROR(SPLIT(I16,"" / ""))))&lt;=Info!$M$6+Info!$M$7,ROUNDUP(J16*Info!$N$22),
ArrayFormula(SUM(IFERROR(SPLIT"&amp;"(I16,"" / ""))))&lt;=(Info!$N$6+Info!$N$7)*3/2,ROUNDUP(J16*Info!$J$26),
ArrayFormula(SUM(IFERROR(SPLIT(I16,"" / ""))))&gt;(Info!$N$6+Info!$N$7)*3/2,CONCATENATE(""Sänk helst cutoffs i ""&amp;C16)),
AND(I16&lt;&gt;"""",FILTER(Info!$E$2:E81, Info!$A$2:A81 = C16) = ""Yes""),"&amp;"
IFS(I16&lt;FILTER(Info!$J$2:J81, Info!$A$2:A81 = C16)*2/3,CONCATENATE(""Höj helst cutoff i ""&amp;C16),
I16&lt;=FILTER(Info!$J$2:J81, Info!$A$2:A81 = C16),ROUNDUP(J16*Info!$J$22),
I16&lt;=FILTER(Info!$K$2:K81, Info!$A$2:A81 = C16),ROUNDUP(J16*Info!$K$22),
I16&lt;=FILTER"&amp;"(Info!$L$2:L81, Info!$A$2:A81 = C16),ROUNDUP(J16*Info!L$22),
I16&lt;=FILTER(Info!$M$2:M81, Info!$A$2:A81 = C16),ROUNDUP(J16*Info!$M$22),
I16&lt;=FILTER(Info!$N$2:N81, Info!$A$2:A81 = C16),ROUNDUP(J16*Info!$N$22),
I16&lt;=FILTER(Info!$N$2:N81, Info!$A$2:A81 = C16)*"&amp;"3/2,ROUNDUP(J16*Info!$J$26),
I16&gt;FILTER(Info!$N$2:N81, Info!$A$2:A81 = C16)*3/2,CONCATENATE(""Sänk helst cutoff i ""&amp;C16)),
AND(H16&lt;&gt;"""",""6x6 / 7x7""=C16),
IFS(H16/3&lt;=(Info!$J$6+Info!$J$7)*2/3,""Höj helst cumulative time limit"",
H16/3&lt;=Info!$J$6+Info!$"&amp;"J$7,ROUNDUP(J16*Info!$J$24),
H16/3&lt;=Info!$K$6+Info!$K$7,ROUNDUP(J16*Info!$K$24),
H16/3&lt;=Info!$L$6+Info!$L$7,ROUNDUP(J16*Info!L$24),
H16/3&lt;=Info!$M$6+Info!$M$7,ROUNDUP(J16*Info!$M$24),
H16/3&lt;=Info!$N$6+Info!$N$7,ROUNDUP(J16*Info!$N$24),
H16/3&lt;=(Info!$N$6+I"&amp;"nfo!$N$7)*3/2,ROUNDUP(J16*Info!$L$26),
H16/3&gt;(Info!$J$6+Info!$J$7)*3/2,""Sänk helst cumulative time limit""),
AND(H16&lt;&gt;"""",FILTER(Info!$F$2:F81, Info!$A$2:A81 = C16) = ""Yes""),
IFS(H16&lt;=FILTER(Info!$J$2:J81, Info!$A$2:A81 = C16)*2/3,CONCATENATE(""Höj he"&amp;"lst c.t.l. i ""&amp;C16),
H16&lt;=FILTER(Info!$J$2:J81, Info!$A$2:A81 = C16),ROUNDUP(J16*Info!$J$24),
H16&lt;=FILTER(Info!$K$2:K81, Info!$A$2:A81 = C16),ROUNDUP(J16*Info!$K$24),
H16&lt;=FILTER(Info!$L$2:L81, Info!$A$2:A81 = C16),ROUNDUP(J16*Info!L$24),
H16&lt;=FILTER(Inf"&amp;"o!$M$2:M81, Info!$A$2:A81 = C16),ROUNDUP(J16*Info!$M$24),
H16&lt;=FILTER(Info!$N$2:N81, Info!$A$2:A81 = C16),ROUNDUP(J16*Info!$N$24),
H16&lt;=FILTER(Info!$N$2:N81, Info!$A$2:A81 = C16)*3/2,ROUNDUP(J16*Info!$L$26),
H16&gt;FILTER(Info!$N$2:N81, Info!$A$2:A81 = C16)*"&amp;"3/2,CONCATENATE(""Sänk helst c.t.l. i ""&amp;C16)),
AND(H16&lt;&gt;"""",FILTER(Info!$F$2:F81, Info!$A$2:A81 = C16) = ""No""),
IFS(H16/AA16&lt;=FILTER(Info!$J$2:J81, Info!$A$2:A81 = C16)*2/3,CONCATENATE(""Höj helst c.t.l. i ""&amp;C16),
H16/AA16&lt;=FILTER(Info!$J$2:J81, Info"&amp;"!$A$2:A81 = C16),ROUNDUP(J16*Info!$J$24),
H16/AA16&lt;=FILTER(Info!$K$2:K81, Info!$A$2:A81 = C16),ROUNDUP(J16*Info!$K$24),
H16/AA16&lt;=FILTER(Info!$L$2:L81, Info!$A$2:A81 = C16),ROUNDUP(J16*Info!L$24),
H16/AA16&lt;=FILTER(Info!$M$2:M81, Info!$A$2:A81 = C16),ROUND"&amp;"UP(J16*Info!$M$24),
H16/AA16&lt;=FILTER(Info!$N$2:N81, Info!$A$2:A81 = C16),ROUNDUP(J16*Info!$N$24),
H16/AA16&lt;=FILTER(Info!$N$2:N81, Info!$A$2:A81 = C16)*3/2,ROUNDUP(J16*Info!$L$26),
H16/AA16&gt;FILTER(Info!$N$2:N81, Info!$A$2:A81 = C16)*3/2,CONCATENATE(""Sänk "&amp;"helst c.t.l. i ""&amp;C16)),
AND(I16="""",H16&lt;&gt;"""",J16&lt;&gt;""""),ROUNDUP(J16*Info!$T$29),
AND(I16&lt;&gt;"""",H16="""",J16&lt;&gt;""""),ROUNDUP(J16*Info!$T$26))"),"")</f>
        <v/>
      </c>
      <c r="L16" s="42">
        <f>IFERROR(__xludf.DUMMYFUNCTION("IFS(C16="""",0,
C16=""3x3 FMC"",Info!$B$9*N16+M16, C16=""3x3 MBLD"",Info!$B$18*N16+M16,
COUNTIF(Info!$A$22:A81,C16)&gt;0,FILTER(Info!$B$22:B81,Info!$A$22:A81=C16)+M16,
AND(C16&lt;&gt;"""",E16=""""),CONCATENATE(""Fyll i E""&amp;row()),
AND(C16&lt;&gt;"""",E16&lt;&gt;"""",E16&lt;&gt;1,E1"&amp;"6&lt;&gt;2,E16&lt;&gt;3,E16&lt;&gt;""Final""),CONCATENATE(""Fel format på E""&amp;row()),
K16=CONCATENATE(""Runda ""&amp;E16&amp;"" i ""&amp;C16&amp;"" finns redan""),CONCATENATE(""Fel i E""&amp;row()),
AND(C16&lt;&gt;"""",F16=""""),CONCATENATE(""Fyll i F""&amp;row()),
K16=CONCATENATE(C16&amp;"" måste ha forma"&amp;"tet ""&amp;FILTER(Info!$D$2:D81, Info!$A$2:A81 = C16)),CONCATENATE(""Fel format på F""&amp;row()),
AND(C16&lt;&gt;"""",D16=1,H16="""",FILTER(Info!$F$2:F81, Info!$A$2:A81 = C16) = ""Yes""),CONCATENATE(""Fyll i H""&amp;row()),
AND(C16&lt;&gt;"""",D16=1,I16="""",FILTER(Info!$E$2:E8"&amp;"1, Info!$A$2:A81 = C16) = ""Yes""),CONCATENATE(""Fyll i I""&amp;row()),
AND(C16&lt;&gt;"""",J16=""""),CONCATENATE(""Fyll i J""&amp;row()),
AND(C16&lt;&gt;"""",K16="""",OR(H16&lt;&gt;"""",I16&lt;&gt;"""")),CONCATENATE(""Fyll i K""&amp;row()),
AND(C16&lt;&gt;"""",K16=""""),CONCATENATE(""Skriv samma"&amp;" i K""&amp;row()&amp;"" som i J""&amp;row()),
AND(OR(C16=""4x4 BLD"",C16=""5x5 BLD"",C16=""4x4 / 5x5 BLD"")=TRUE,V16&lt;=P16),
MROUND(H16*(Info!$T$20-((Info!$T$20-1)/2)*(1-V16/P16))*(1+((J16/K16)-1)*(1-Info!$J$24))*N16+(Info!$T$11/2)+(N16*Info!$T$11)+(N16*Info!$T$14*(O1"&amp;"6-1)),0.01)+M16,
AND(OR(C16=""4x4 BLD"",C16=""5x5 BLD"",C16=""4x4 / 5x5 BLD"")=TRUE,V16&gt;P16),
MROUND((((J16*Z16+K16*(AA16-Z16))*(H16*Info!$T$20/AA16))/X16)*(1+((J16/K16)-1)*(1-Info!$J$24))*(1+(X16-Info!$T$8)/100)+(Info!$T$11/2)+(N16*Info!$T$11)+(N16*Info!"&amp;"$T$14*(O16-1)),0.01)+M16,
AND(C16=""3x3 BLD"",V16&lt;=P16),
MROUND(H16*(Info!$T$23-((Info!$T$23-1)/2)*(1-V16/P16))*(1+((J16/K16)-1)*(1-Info!$J$24))*N16+(Info!$T$11/2)+(N16*Info!$T$11)+(N16*Info!$T$14*(O16-1)),0.01)+M16,
AND(C16=""3x3 BLD"",V16&gt;P16),
MROUND(("&amp;"((J16*Z16+K16*(AA16-Z16))*(H16*Info!$T$23/AA16))/X16)*(1+((J16/K16)-1)*(1-Info!$J$24))*(1+(X16-Info!$T$8)/100)+(Info!$T$11/2)+(N16*Info!$T$11)+(N16*Info!$T$14*(O16-1)),0.01)+M16,
E16=1,MROUND((((J16*Z16+K16*(AA16-Z16))*Y16)/X16)*(1+(X16-Info!$T$8)/100)+(N"&amp;"16*Info!$T$11)+(N16*Info!$T$14*(O16-1)),0.01)+M16,
AND(E16=""Final"",N16=1,FILTER(Info!$G$2:$G$20,Info!$A$2:$A$20=C16)=""Mycket svår""),
MROUND((((J16*Z16+K16*(AA16-Z16))*(Y16*Info!$T$38))/X16)*(1+(X16-Info!$T$8)/100)+(N16*Info!$T$11)+(N16*Info!$T$14*(O16"&amp;"-1)),0.01)+M16,
AND(E16=""Final"",N16=1,FILTER(Info!$G$2:$G$20,Info!$A$2:$A$20=C16)=""Svår""),
MROUND((((J16*Z16+K16*(AA16-Z16))*(Y16*Info!$T$35))/X16)*(1+(X16-Info!$T$8)/100)+(N16*Info!$T$11)+(N16*Info!$T$14*(O16-1)),0.01)+M16,
E16=""Final"",MROUND((((J1"&amp;"6*Z16+K16*(AA16-Z16))*(Y16*Info!$T$5))/X16)*(1+(X16-Info!$T$8)/100)+(N16*Info!$T$11)+(N16*Info!$T$14*(O16-1)),0.01)+M16,
OR(E16=2,E16=3),MROUND((((J16*Z16+K16*(AA16-Z16))*(Y16*Info!$T$2))/X16)*(1+(X16-Info!$T$8)/100)+(N16*Info!$T$11)+(N16*Info!$T$14*(O16-"&amp;"1)),0.01)+M16)"),0.0)</f>
        <v>0</v>
      </c>
      <c r="M16" s="43">
        <f t="shared" si="1"/>
        <v>0</v>
      </c>
      <c r="N16" s="43" t="str">
        <f>IFS(OR(COUNTIF(Info!$A$22:A81,C16)&gt;0,C16=""),"",
OR(C16="4x4 BLD",C16="5x5 BLD",C16="3x3 MBLD",C16="3x3 FMC",C16="4x4 / 5x5 BLD"),1,
AND(E16="Final",Q16="Yes",MAX(1,ROUNDUP(J16/P16))&gt;1),MAX(2,ROUNDUP(J16/P16)),
AND(E16="Final",Q16="No",MAX(1,ROUNDUP(J16/((P16*2)+2.625-Y16*1.5)))&gt;1),MAX(2,ROUNDUP(J16/((P16*2)+2.625-Y16*1.5))),
E16="Final",1,
Q16="Yes",MAX(2,ROUNDUP(J16/P16)),
TRUE,MAX(2,ROUNDUP(J16/((P16*2)+2.625-Y16*1.5))))</f>
        <v/>
      </c>
      <c r="O16" s="43" t="str">
        <f>IFS(OR(COUNTIF(Info!$A$22:A81,C16)&gt;0,C16=""),"",
OR("3x3 MBLD"=C16,"3x3 FMC"=C16)=TRUE,"",
D16=$E$4,$G$6,D16=$K$4,$M$6,D16=$Q$4,$S$6,D16=$W$4,$Y$6,
TRUE,$S$2)</f>
        <v/>
      </c>
      <c r="P16" s="43" t="str">
        <f>IFS(OR(COUNTIF(Info!$A$22:A81,C16)&gt;0,C16=""),"",
OR("3x3 MBLD"=C16,"3x3 FMC"=C16)=TRUE,"",
D16=$E$4,$E$6,D16=$K$4,$K$6,D16=$Q$4,$Q$6,D16=$W$4,$W$6,
TRUE,$Q$2)</f>
        <v/>
      </c>
      <c r="Q16" s="44" t="str">
        <f>IFS(OR(COUNTIF(Info!$A$22:A81,C16)&gt;0,C16=""),"",
OR("3x3 MBLD"=C16,"3x3 FMC"=C16)=TRUE,"",
D16=$E$4,$I$6,D16=$K$4,$O$6,D16=$Q$4,$U$6,D16=$W$4,$AA$6,
TRUE,$U$2)</f>
        <v/>
      </c>
      <c r="R16" s="45" t="str">
        <f>IFERROR(__xludf.DUMMYFUNCTION("IF(C16="""","""",IFERROR(FILTER(Info!$B$22:B81,Info!$A$22:A81=C16)+M16,""?""))"),"")</f>
        <v/>
      </c>
      <c r="S16" s="46" t="str">
        <f>IFS(OR(COUNTIF(Info!$A$22:A81,C16)&gt;0,C16=""),"",
AND(H16="",I16=""),J16,
TRUE,"?")</f>
        <v/>
      </c>
      <c r="T16" s="45" t="str">
        <f>IFS(OR(COUNTIF(Info!$A$22:A81,C16)&gt;0,C16=""),"",
AND(L16&lt;&gt;0,OR(R16="?",R16="")),"Fyll i R-kolumnen",
OR(C16="3x3 FMC",C16="3x3 MBLD"),R16,
AND(L16&lt;&gt;0,OR(S16="?",S16="")),"Fyll i S-kolumnen",
OR(COUNTIF(Info!$A$22:A81,C16)&gt;0,C16=""),"",
TRUE,Y16*R16/L16)</f>
        <v/>
      </c>
      <c r="U16" s="45"/>
      <c r="V16" s="47" t="str">
        <f>IFS(OR(COUNTIF(Info!$A$22:A81,C16)&gt;0,C16=""),"",
OR("3x3 MBLD"=C16,"3x3 FMC"=C16)=TRUE,"",
TRUE,MROUND((J16/N16),0.01))</f>
        <v/>
      </c>
      <c r="W16" s="48" t="str">
        <f>IFS(OR(COUNTIF(Info!$A$22:A81,C16)&gt;0,C16=""),"",
TRUE,L16/N16)</f>
        <v/>
      </c>
      <c r="X16" s="49" t="str">
        <f>IFS(OR(COUNTIF(Info!$A$22:A81,C16)&gt;0,C16=""),"",
OR("3x3 MBLD"=C16,"3x3 FMC"=C16)=TRUE,"",
OR(C16="4x4 BLD",C16="5x5 BLD",C16="4x4 / 5x5 BLD",AND(C16="3x3 BLD",H16&lt;&gt;""))=TRUE,MIN(V16,P16),
TRUE,MIN(P16,V16,MROUND(((V16*2/3)+((Y16-1.625)/2)),0.01)))</f>
        <v/>
      </c>
      <c r="Y16" s="48" t="str">
        <f>IFERROR(__xludf.DUMMYFUNCTION("IFS(OR(COUNTIF(Info!$A$22:A81,C16)&gt;0,C16=""""),"""",
FILTER(Info!$F$2:F81, Info!$A$2:A81 = C16) = ""Yes"",H16/AA16,
""3x3 FMC""=C16,Info!$B$9,""3x3 MBLD""=C16,Info!$B$18,
AND(E16=1,I16="""",H16="""",Q16=""No"",G16&gt;SUMIF(Info!$A$2:A81,C16,Info!$B$2:B81)*1."&amp;"5),
MIN(SUMIF(Info!$A$2:A81,C16,Info!$B$2:B81)*1.1,SUMIF(Info!$A$2:A81,C16,Info!$B$2:B81)*(1.15-(0.15*(SUMIF(Info!$A$2:A81,C16,Info!$B$2:B81)*1.5)/G16))),
AND(E16=1,I16="""",H16="""",Q16=""Yes"",G16&gt;SUMIF(Info!$A$2:A81,C16,Info!$C$2:C81)*1.5),
MIN(SUMIF(I"&amp;"nfo!$A$2:A81,C16,Info!$C$2:C81)*1.1,SUMIF(Info!$A$2:A81,C16,Info!$C$2:C81)*(1.15-(0.15*(SUMIF(Info!$A$2:A81,C16,Info!$C$2:C81)*1.5)/G16))),
Q16=""No"",SUMIF(Info!$A$2:A81,C16,Info!$B$2:B81),
Q16=""Yes"",SUMIF(Info!$A$2:A81,C16,Info!$C$2:C81))"),"")</f>
        <v/>
      </c>
      <c r="Z16" s="47" t="str">
        <f>IFS(OR(COUNTIF(Info!$A$22:A81,C16)&gt;0,C16=""),"",
AND(OR("3x3 FMC"=C16,"3x3 MBLD"=C16),I16&lt;&gt;""),1,
AND(OR(H16&lt;&gt;"",I16&lt;&gt;""),F16="Avg of 5"),2,
F16="Avg of 5",AA16,
AND(OR(H16&lt;&gt;"",I16&lt;&gt;""),F16="Mean of 3",C16="6x6 / 7x7"),2,
AND(OR(H16&lt;&gt;"",I16&lt;&gt;""),F16="Mean of 3"),1,
F16="Mean of 3",AA16,
AND(OR(H16&lt;&gt;"",I16&lt;&gt;""),F16="Best of 3",C16="4x4 / 5x5 BLD"),2,
AND(OR(H16&lt;&gt;"",I16&lt;&gt;""),F16="Best of 3"),1,
F16="Best of 2",AA16,
F16="Best of 1",AA16)</f>
        <v/>
      </c>
      <c r="AA16" s="47" t="str">
        <f>IFS(OR(COUNTIF(Info!$A$22:A81,C16)&gt;0,C16=""),"",
AND(OR("3x3 MBLD"=C16,"3x3 FMC"=C16),F16="Best of 1"=TRUE),1,
AND(OR("3x3 MBLD"=C16,"3x3 FMC"=C16),F16="Best of 2"=TRUE),2,
AND(OR("3x3 MBLD"=C16,"3x3 FMC"=C16),OR(F16="Best of 3",F16="Mean of 3")=TRUE),3,
AND(F16="Mean of 3",C16="6x6 / 7x7"),6,
AND(F16="Best of 3",C16="4x4 / 5x5 BLD"),6,
F16="Avg of 5",5,F16="Mean of 3",3,F16="Best of 3",3,F16="Best of 2",2,F16="Best of 1",1)</f>
        <v/>
      </c>
      <c r="AB16" s="50"/>
    </row>
    <row r="17" ht="15.75" customHeight="1">
      <c r="A17" s="35">
        <f>IFERROR(__xludf.DUMMYFUNCTION("IFS(indirect(""A""&amp;row()-1)=""Start"",TIME(indirect(""A""&amp;row()-2),indirect(""B""&amp;row()-2),0),
$O$2=""No"",TIME(0,($A$6*60+$B$6)+CEILING(SUM($L$7:indirect(""L""&amp;row()-1)),5),0),
D17=$E$2,TIME(0,($A$6*60+$B$6)+CEILING(SUM(IFERROR(FILTER($L$7:indirect(""L"""&amp;"&amp;row()-1),REGEXMATCH($D$7:indirect(""D""&amp;row()-1),$E$2)),0)),5),0),
TRUE,""=time(hh;mm;ss)"")"),0.4166666666666667)</f>
        <v>0.4166666667</v>
      </c>
      <c r="B17" s="36">
        <f>IFERROR(__xludf.DUMMYFUNCTION("IFS($O$2=""No"",TIME(0,($A$6*60+$B$6)+CEILING(SUM($L$7:indirect(""L""&amp;row())),5),0),
D17=$E$2,TIME(0,($A$6*60+$B$6)+CEILING(SUM(FILTER($L$7:indirect(""L""&amp;row()),REGEXMATCH($D$7:indirect(""D""&amp;row()),$E$2))),5),0),
A17=""=time(hh;mm;ss)"",CONCATENATE(""Sk"&amp;"riv tid i A""&amp;row()),
AND(A17&lt;&gt;"""",A17&lt;&gt;""=time(hh;mm;ss)""),A17+TIME(0,CEILING(indirect(""L""&amp;row()),5),0))"),0.4166666666666667)</f>
        <v>0.4166666667</v>
      </c>
      <c r="C17" s="37"/>
      <c r="D17" s="38" t="str">
        <f t="shared" si="2"/>
        <v>Stora salen</v>
      </c>
      <c r="E17" s="38" t="str">
        <f>IFERROR(__xludf.DUMMYFUNCTION("IFS(COUNTIF(Info!$A$22:A81,C17)&gt;0,"""",
AND(OR(""3x3 FMC""=C17,""3x3 MBLD""=C17),COUNTIF($C$7:indirect(""C""&amp;row()),indirect(""C""&amp;row()))&gt;=13),""E - Error"",
AND(OR(""3x3 FMC""=C17,""3x3 MBLD""=C17),COUNTIF($C$7:indirect(""C""&amp;row()),indirect(""C""&amp;row()"&amp;"))=12),""Final - A3"",
AND(OR(""3x3 FMC""=C17,""3x3 MBLD""=C17),COUNTIF($C$7:indirect(""C""&amp;row()),indirect(""C""&amp;row()))=11),""Final - A2"",
AND(OR(""3x3 FMC""=C17,""3x3 MBLD""=C17),COUNTIF($C$7:indirect(""C""&amp;row()),indirect(""C""&amp;row()))=10),""Final - "&amp;"A1"",
AND(OR(""3x3 FMC""=C17,""3x3 MBLD""=C17),COUNTIF($C$7:indirect(""C""&amp;row()),indirect(""C""&amp;row()))=9,
COUNTIF($C$7:$C$102,indirect(""C""&amp;row()))&gt;9),""R3 - A3"",
AND(OR(""3x3 FMC""=C17,""3x3 MBLD""=C17),COUNTIF($C$7:indirect(""C""&amp;row()),indirect(""C"&amp;"""&amp;row()))=9,
COUNTIF($C$7:$C$102,indirect(""C""&amp;row()))&lt;=9),""Final - A3"",
AND(OR(""3x3 FMC""=C17,""3x3 MBLD""=C17),COUNTIF($C$7:indirect(""C""&amp;row()),indirect(""C""&amp;row()))=8,
COUNTIF($C$7:$C$102,indirect(""C""&amp;row()))&gt;9),""R3 - A2"",
AND(OR(""3x3 FMC"&amp;"""=C17,""3x3 MBLD""=C17),COUNTIF($C$7:indirect(""C""&amp;row()),indirect(""C""&amp;row()))=8,
COUNTIF($C$7:$C$102,indirect(""C""&amp;row()))&lt;=9),""Final - A2"",
AND(OR(""3x3 FMC""=C17,""3x3 MBLD""=C17),COUNTIF($C$7:indirect(""C""&amp;row()),indirect(""C""&amp;row()))=7,
COUN"&amp;"TIF($C$7:$C$102,indirect(""C""&amp;row()))&gt;9),""R3 - A1"",
AND(OR(""3x3 FMC""=C17,""3x3 MBLD""=C17),COUNTIF($C$7:indirect(""C""&amp;row()),indirect(""C""&amp;row()))=7,
COUNTIF($C$7:$C$102,indirect(""C""&amp;row()))&lt;=9),""Final - A1"",
AND(OR(""3x3 FMC""=C17,""3x3 MBLD"""&amp;"=C17),COUNTIF($C$7:indirect(""C""&amp;row()),indirect(""C""&amp;row()))=6,
COUNTIF($C$7:$C$102,indirect(""C""&amp;row()))&gt;6),""R2 - A3"",
AND(OR(""3x3 FMC""=C17,""3x3 MBLD""=C17),COUNTIF($C$7:indirect(""C""&amp;row()),indirect(""C""&amp;row()))=6,
COUNTIF($C$7:$C$102,indirec"&amp;"t(""C""&amp;row()))&lt;=6),""Final - A3"",
AND(OR(""3x3 FMC""=C17,""3x3 MBLD""=C17),COUNTIF($C$7:indirect(""C""&amp;row()),indirect(""C""&amp;row()))=5,
COUNTIF($C$7:$C$102,indirect(""C""&amp;row()))&gt;6),""R2 - A2"",
AND(OR(""3x3 FMC""=C17,""3x3 MBLD""=C17),COUNTIF($C$7:indi"&amp;"rect(""C""&amp;row()),indirect(""C""&amp;row()))=5,
COUNTIF($C$7:$C$102,indirect(""C""&amp;row()))&lt;=6),""Final - A2"",
AND(OR(""3x3 FMC""=C17,""3x3 MBLD""=C17),COUNTIF($C$7:indirect(""C""&amp;row()),indirect(""C""&amp;row()))=4,
COUNTIF($C$7:$C$102,indirect(""C""&amp;row()))&gt;6),"&amp;"""R2 - A1"",
AND(OR(""3x3 FMC""=C17,""3x3 MBLD""=C17),COUNTIF($C$7:indirect(""C""&amp;row()),indirect(""C""&amp;row()))=4,
COUNTIF($C$7:$C$102,indirect(""C""&amp;row()))&lt;=6),""Final - A1"",
AND(OR(""3x3 FMC""=C17,""3x3 MBLD""=C17),COUNTIF($C$7:indirect(""C""&amp;row()),i"&amp;"ndirect(""C""&amp;row()))=3),""R1 - A3"",
AND(OR(""3x3 FMC""=C17,""3x3 MBLD""=C17),COUNTIF($C$7:indirect(""C""&amp;row()),indirect(""C""&amp;row()))=2),""R1 - A2"",
AND(OR(""3x3 FMC""=C17,""3x3 MBLD""=C17),COUNTIF($C$7:indirect(""C""&amp;row()),indirect(""C""&amp;row()))=1),"&amp;"""R1 -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C17),ROUNDUP((FILTER(Info!$H$2:H81,Info!$A$2:A81=C17)/FILTER(Info!$H$2:H81,Info!$A$2:A81=$K$2))*$I$2)&gt;99),3,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C17),ROUNDUP((FILTER(Info!$H$2:H81,Info!$A$2:A81=C17)/FILTER(Info!$H$2:H81,Info!$A$2:A81=$K$2))*$I$2)&gt;15),2,
AND(COUNTIF($C$7:indirect(""C""&amp;row()),indirect(""C""&amp;row()))=2,COUNTIF($C$7:$C$102,indirect(""C""&amp;row()))=COUNTIF($"&amp;"C$7:indirect(""C""&amp;row()),indirect(""C""&amp;row()))),""Final"",
COUNTIF($C$7:indirect(""C""&amp;row()),indirect(""C""&amp;row()))=1,1,
COUNTIF($C$7:indirect(""C""&amp;row()),indirect(""C""&amp;row()))=0,"""")"),"")</f>
        <v/>
      </c>
      <c r="F17" s="39" t="str">
        <f>IFERROR(__xludf.DUMMYFUNCTION("IFS(C17="""","""",
AND(C17=""3x3 FMC"",MOD(COUNTIF($C$7:indirect(""C""&amp;row()),indirect(""C""&amp;row())),3)=0),""Mean of 3"",
AND(C17=""3x3 MBLD"",MOD(COUNTIF($C$7:indirect(""C""&amp;row()),indirect(""C""&amp;row())),3)=0),""Best of 3"",
AND(C17=""3x3 FMC"",MOD(COUNT"&amp;"IF($C$7:indirect(""C""&amp;row()),indirect(""C""&amp;row())),3)=2,
COUNTIF($C$7:$C$102,indirect(""C""&amp;row()))&lt;=COUNTIF($C$7:indirect(""C""&amp;row()),indirect(""C""&amp;row()))),""Best of 2"",
AND(C17=""3x3 FMC"",MOD(COUNTIF($C$7:indirect(""C""&amp;row()),indirect(""C""&amp;row("&amp;"))),3)=2,
COUNTIF($C$7:$C$102,indirect(""C""&amp;row()))&gt;COUNTIF($C$7:indirect(""C""&amp;row()),indirect(""C""&amp;row()))),""Mean of 3"",
AND(C17=""3x3 MBLD"",MOD(COUNTIF($C$7:indirect(""C""&amp;row()),indirect(""C""&amp;row())),3)=2,
COUNTIF($C$7:$C$102,indirect(""C""&amp;row("&amp;")))&lt;=COUNTIF($C$7:indirect(""C""&amp;row()),indirect(""C""&amp;row()))),""Best of 2"",
AND(C17=""3x3 MBLD"",MOD(COUNTIF($C$7:indirect(""C""&amp;row()),indirect(""C""&amp;row())),3)=2,
COUNTIF($C$7:$C$102,indirect(""C""&amp;row()))&gt;COUNTIF($C$7:indirect(""C""&amp;row()),indirect("&amp;"""C""&amp;row()))),""Best of 3"",
AND(C17=""3x3 FMC"",MOD(COUNTIF($C$7:indirect(""C""&amp;row()),indirect(""C""&amp;row())),3)=1,
COUNTIF($C$7:$C$102,indirect(""C""&amp;row()))&lt;=COUNTIF($C$7:indirect(""C""&amp;row()),indirect(""C""&amp;row()))),""Best of 1"",
AND(C17=""3x3 FMC"""&amp;",MOD(COUNTIF($C$7:indirect(""C""&amp;row()),indirect(""C""&amp;row())),3)=1,
COUNTIF($C$7:$C$102,indirect(""C""&amp;row()))=COUNTIF($C$7:indirect(""C""&amp;row()),indirect(""C""&amp;row()))+1),""Best of 2"",
AND(C17=""3x3 FMC"",MOD(COUNTIF($C$7:indirect(""C""&amp;row()),indirect"&amp;"(""C""&amp;row())),3)=1,
COUNTIF($C$7:$C$102,indirect(""C""&amp;row()))&gt;COUNTIF($C$7:indirect(""C""&amp;row()),indirect(""C""&amp;row()))),""Mean of 3"",
AND(C17=""3x3 MBLD"",MOD(COUNTIF($C$7:indirect(""C""&amp;row()),indirect(""C""&amp;row())),3)=1,
COUNTIF($C$7:$C$102,indirect"&amp;"(""C""&amp;row()))&lt;=COUNTIF($C$7:indirect(""C""&amp;row()),indirect(""C""&amp;row()))),""Best of 1"",
AND(C17=""3x3 MBLD"",MOD(COUNTIF($C$7:indirect(""C""&amp;row()),indirect(""C""&amp;row())),3)=1,
COUNTIF($C$7:$C$102,indirect(""C""&amp;row()))=COUNTIF($C$7:indirect(""C""&amp;row()"&amp;"),indirect(""C""&amp;row()))+1),""Best of 2"",
AND(C17=""3x3 MBLD"",MOD(COUNTIF($C$7:indirect(""C""&amp;row()),indirect(""C""&amp;row())),3)=1,
COUNTIF($C$7:$C$102,indirect(""C""&amp;row()))&gt;COUNTIF($C$7:indirect(""C""&amp;row()),indirect(""C""&amp;row()))),""Best of 3"",
TRUE,("&amp;"IFERROR(FILTER(Info!$D$2:D81, Info!$A$2:A81 = C17), """")))"),"")</f>
        <v/>
      </c>
      <c r="G17" s="40" t="str">
        <f>IFERROR(__xludf.DUMMYFUNCTION("IFS(OR(COUNTIF(Info!$A$22:A81,C17)&gt;0,C17=""""),"""",
OR(""3x3 MBLD""=C17,""3x3 FMC""=C17),60,
AND(E17=1,FILTER(Info!$F$2:F81, Info!$A$2:A81 = C17) = ""No""),FILTER(Info!$P$2:P81, Info!$A$2:A81 = C17),
AND(E17=2,FILTER(Info!$F$2:F81, Info!$A$2:A81 = C17) ="&amp;" ""No""),FILTER(Info!$Q$2:Q81, Info!$A$2:A81 = C17),
AND(E17=3,FILTER(Info!$F$2:F81, Info!$A$2:A81 = C17) = ""No""),FILTER(Info!$R$2:R81, Info!$A$2:A81 = C17),
AND(E17=""Final"",FILTER(Info!$F$2:F81, Info!$A$2:A81 = C17) = ""No""),FILTER(Info!$S$2:S81, In"&amp;"fo!$A$2:A81 = C17),
FILTER(Info!$F$2:F81, Info!$A$2:A81 = C17) = ""Yes"","""")"),"")</f>
        <v/>
      </c>
      <c r="H17" s="40" t="str">
        <f>IFERROR(__xludf.DUMMYFUNCTION("IFS(OR(COUNTIF(Info!$A$22:A81,C17)&gt;0,C17=""""),"""",
OR(""3x3 MBLD""=C17,""3x3 FMC""=C17)=TRUE,"""",
FILTER(Info!$F$2:F81, Info!$A$2:A81 = C17) = ""Yes"",FILTER(Info!$O$2:O81, Info!$A$2:A81 = C17),
FILTER(Info!$F$2:F81, Info!$A$2:A81 = C17) = ""No"",IF(G1"&amp;"7="""",FILTER(Info!$O$2:O81, Info!$A$2:A81 = C17),""""))"),"")</f>
        <v/>
      </c>
      <c r="I17" s="40" t="str">
        <f>IFERROR(__xludf.DUMMYFUNCTION("IFS(OR(COUNTIF(Info!$A$22:A81,C17)&gt;0,C17="""",H17&lt;&gt;""""),"""",
AND(E17&lt;&gt;1,E17&lt;&gt;""R1 - A1"",E17&lt;&gt;""R1 - A2"",E17&lt;&gt;""R1 - A3""),"""",
FILTER(Info!$E$2:E81, Info!$A$2:A81 = C17) = ""Yes"",IF(H17="""",FILTER(Info!$L$2:L81, Info!$A$2:A81 = C17),""""),
FILTER(I"&amp;"nfo!$E$2:E81, Info!$A$2:A81 = C17) = ""No"","""")"),"")</f>
        <v/>
      </c>
      <c r="J17" s="40" t="str">
        <f>IFERROR(__xludf.DUMMYFUNCTION("IFS(OR(COUNTIF(Info!$A$22:A81,C17)&gt;0,C17="""",""3x3 MBLD""=C17,""3x3 FMC""=C17),"""",
AND(E17=1,FILTER(Info!$H$2:H81,Info!$A$2:A81 = C17)&lt;=FILTER(Info!$H$2:H81,Info!$A$2:A81=$K$2)),
ROUNDUP((FILTER(Info!$H$2:H81,Info!$A$2:A81 = C17)/FILTER(Info!$H$2:H81,I"&amp;"nfo!$A$2:A81=$K$2))*$I$2),
AND(E17=1,FILTER(Info!$H$2:H81,Info!$A$2:A81 = C17)&gt;FILTER(Info!$H$2:H81,Info!$A$2:A81=$K$2)),""K2 - Error"",
AND(E17=2,FILTER($J$7:indirect(""J""&amp;row()-1),$C$7:indirect(""C""&amp;row()-1)=C17)&lt;=7),""J - Error"",
E17=2,FLOOR(FILTER("&amp;"$J$7:indirect(""J""&amp;row()-1),$C$7:indirect(""C""&amp;row()-1)=C17)*Info!$T$32),
AND(E17=3,FILTER($J$7:indirect(""J""&amp;row()-1),$C$7:indirect(""C""&amp;row()-1)=C17)&lt;=15),""J - Error"",
E17=3,FLOOR(Info!$T$32*FLOOR(FILTER($J$7:indirect(""J""&amp;row()-1),$C$7:indirect("&amp;"""C""&amp;row()-1)=C17)*Info!$T$32)),
AND(E17=""Final"",COUNTIF($C$7:$C$102,C17)=2,FILTER($J$7:indirect(""J""&amp;row()-1),$C$7:indirect(""C""&amp;row()-1)=C17)&lt;=7),""J - Error"",
AND(E17=""Final"",COUNTIF($C$7:$C$102,C17)=2),
MIN(P17,FLOOR(FILTER($J$7:indirect(""J"""&amp;"&amp;row()-1),$C$7:indirect(""C""&amp;row()-1)=C17)*Info!$T$32)),
AND(E17=""Final"",COUNTIF($C$7:$C$102,C17)=3,FILTER($J$7:indirect(""J""&amp;row()-1),$C$7:indirect(""C""&amp;row()-1)=C17)&lt;=15),""J - Error"",
AND(E17=""Final"",COUNTIF($C$7:$C$102,C17)=3),
MIN(P17,FLOOR(I"&amp;"nfo!$T$32*FLOOR(FILTER($J$7:indirect(""J""&amp;row()-1),$C$7:indirect(""C""&amp;row()-1)=C17)*Info!$T$32))),
AND(E17=""Final"",COUNTIF($C$7:$C$102,C17)&gt;=4,FILTER($J$7:indirect(""J""&amp;row()-1),$C$7:indirect(""C""&amp;row()-1)=C17)&lt;=99),""J - Error"",
AND(E17=""Final"","&amp;"COUNTIF($C$7:$C$102,C17)&gt;=4),
MIN(P17,FLOOR(Info!$T$32*FLOOR(Info!$T$32*FLOOR(FILTER($J$7:indirect(""J""&amp;row()-1),$C$7:indirect(""C""&amp;row()-1)=C17)*Info!$T$32)))))"),"")</f>
        <v/>
      </c>
      <c r="K17" s="41" t="str">
        <f>IFERROR(__xludf.DUMMYFUNCTION("IFS(AND(indirect(""D""&amp;row()+2)&lt;&gt;$E$2,indirect(""D""&amp;row()+1)=""""),CONCATENATE(""Tom rad! Kopiera hela rad ""&amp;row()&amp;"" dit""),
AND(indirect(""D""&amp;row()-1)&lt;&gt;""Rum"",indirect(""D""&amp;row()-1)=""""),CONCATENATE(""Tom rad! Kopiera hela rad ""&amp;row()&amp;"" dit""),
"&amp;"C17="""","""",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OR(AND(D17&lt;&gt;$E$2,D17&lt;&gt;$E$4,D17&lt;&gt;$K$4,D17&lt;&gt;$Q$4),D17="&amp;"""""),CONCATENATE(""Rum: ""&amp;D17&amp;"" finns ej, byt i D""&amp;row()),
AND(indirect(""D""&amp;row()-1)=""Rum"",C17=""""),CONCATENATE(""För att börja: skriv i cell C""&amp;row()),
AND(C17=""Paus"",M17&lt;=0),CONCATENATE(""Skriv pausens längd i M""&amp;row()),
OR(COUNTIF(Info!$A$"&amp;"22:A81,C17)&gt;0,C17=""""),"""",
AND(D17&lt;&gt;$E$2,$O$2=""Yes"",A17=""=time(hh;mm;ss)""),CONCATENATE(""Skriv starttid för ""&amp;C17&amp;"" i A""&amp;row()),
E17=""E - Error"",CONCATENATE(""För många ""&amp;C17&amp;"" rundor!""),
AND(C17&lt;&gt;""3x3 FMC"",C17&lt;&gt;""3x3 MBLD"",E17&lt;&gt;1,E17&lt;&gt;"&amp;"""Final"",IFERROR(FILTER($E$7:indirect(""E""&amp;row()-1),
$E$7:indirect(""E""&amp;row()-1)=E17-1,$C$7:indirect(""C""&amp;row()-1)=C17))=FALSE),CONCATENATE(""Kan ej vara R""&amp;E17&amp;"", saknar R""&amp;(E17-1)),
AND(indirect(""E""&amp;row()-1)&lt;&gt;""Omgång"",IFERROR(FILTER($E$7:indi"&amp;"rect(""E""&amp;row()-1),
$E$7:indirect(""E""&amp;row()-1)=E17,$C$7:indirect(""C""&amp;row()-1)=C17)=E17)=TRUE),CONCATENATE(""Runda ""&amp;E17&amp;"" i ""&amp;C17&amp;"" finns redan""),
AND(C17&lt;&gt;""3x3 BLD"",C17&lt;&gt;""4x4 BLD"",C17&lt;&gt;""5x5 BLD"",C17&lt;&gt;""4x4 / 5x5 BLD"",OR(E17=2,E17=3,E17="&amp;"""Final""),H17&lt;&gt;""""),CONCATENATE(E17&amp;""-rundor brukar ej ha c.t.l.""),
AND(OR(E17=2,E17=3,E17=""Final""),I17&lt;&gt;""""),CONCATENATE(E17&amp;""-rundor brukar ej ha cutoff""),
AND(OR(C17=""3x3 FMC"",C17=""3x3 MBLD""),OR(E17=1,E17=2,E17=3,E17=""Final"")),CONCATENAT"&amp;"E(C17&amp;""s omgång är Rx - Ax""),
AND(C17&lt;&gt;""3x3 MBLD"",C17&lt;&gt;""3x3 FMC"",FILTER(Info!$D$2:D81, Info!$A$2:A81 = C17)&lt;&gt;F17),CONCATENATE(C17&amp;"" måste ha formatet ""&amp;FILTER(Info!$D$2:D81, Info!$A$2:A81 = C17)),
AND(C17=""3x3 MBLD"",OR(F17=""Avg of 5"",F17=""Mea"&amp;"n of 3"")),CONCATENATE(""Ogiltigt format för ""&amp;C17),
AND(C17=""3x3 FMC"",OR(F17=""Avg of 5"",F17=""Best of 3"")),CONCATENATE(""Ogiltigt format för ""&amp;C17),
AND(OR(F17=""Best of 1"",F17=""Best of 2"",F17=""Best of 3""),I17&lt;&gt;""""),CONCATENATE(F17&amp;""-rundor"&amp;" får ej ha cutoff""),
AND(OR(C17=""3x3 FMC"",C17=""3x3 MBLD""),G17&lt;&gt;60),CONCATENATE(C17&amp;"" måste ha time limit: 60""),
AND(OR(C17=""3x3 FMC"",C17=""3x3 MBLD""),H17&lt;&gt;""""),CONCATENATE(C17&amp;"" kan inte ha c.t.l.""),
AND(G17&lt;&gt;"""",H17&lt;&gt;""""),""Välj time limit"&amp;" ELLER c.t.l"",
AND(C17=""6x6 / 7x7"",G17="""",H17=""""),""Sätt time limit (x / y) eller c.t.l (z)"",
AND(G17="""",H17=""""),""Sätt en time limit eller c.t.l"",
AND(OR(C17=""6x6 / 7x7"",C17=""4x4 / 5x5 BLD""),G17&lt;&gt;"""",REGEXMATCH(TO_TEXT(G17),"" / "")=FAL"&amp;"SE),CONCATENATE(""Time limit måste vara x / y""),
AND(H17&lt;&gt;"""",I17&lt;&gt;""""),CONCATENATE(C17&amp;"" brukar ej ha cutoff OCH c.t.l""),
AND(E17=1,H17="""",I17="""",OR(FILTER(Info!$E$2:E81, Info!$A$2:A81 = C17) = ""Yes"",FILTER(Info!$F$2:F81, Info!$A$2:A81 = C17) "&amp;"= ""Yes""),OR(F17=""Avg of 5"",F17=""Mean of 3"")),CONCATENATE(C17&amp;"" bör ha cutoff eller c.t.l""),
AND(C17=""6x6 / 7x7"",I17&lt;&gt;"""",REGEXMATCH(TO_TEXT(I17),"" / "")=FALSE),CONCATENATE(""Cutoff måste vara x / y""),
AND(H17&lt;&gt;"""",ISNUMBER(H17)=FALSE),""C.t."&amp;"l. måste vara positivt tal (x)"",
AND(C17&lt;&gt;""6x6 / 7x7"",I17&lt;&gt;"""",ISNUMBER(I17)=FALSE),""Cutoff måste vara positivt tal (x)"",
AND(H17&lt;&gt;"""",FILTER(Info!$E$2:E81, Info!$A$2:A81 = C17) = ""No"",FILTER(Info!$F$2:F81, Info!$A$2:A81 = C17) = ""No""),CONCATEN"&amp;"ATE(C17&amp;"" brukar inte ha c.t.l.""),
AND(I17&lt;&gt;"""",FILTER(Info!$E$2:E81, Info!$A$2:A81 = C17) = ""No"",FILTER(Info!$F$2:F81, Info!$A$2:A81 = C17) = ""No""),CONCATENATE(C17&amp;"" brukar inte ha cutoff""),
AND(H17="""",FILTER(Info!$F$2:F81, Info!$A$2:A81 = C17"&amp;") = ""Yes""),CONCATENATE(C17&amp;"" brukar ha c.t.l.""),
AND(C17&lt;&gt;""6x6 / 7x7"",C17&lt;&gt;""4x4 / 5x5 BLD"",G17&lt;&gt;"""",ISNUMBER(G17)=FALSE),""Time limit måste vara positivt tal (x)"",
J17=""J - Error"",CONCATENATE(""För få deltagare i R1 för ""&amp;COUNTIF($C$7:$C$102,"&amp;"indirect(""C""&amp;row()))&amp;"" rundor""),
J17=""K2 - Error"",CONCATENATE(C17&amp;"" är mer populär - byt i K2!""),
AND(C17&lt;&gt;""6x6 / 7x7"",C17&lt;&gt;""4x4 / 5x5 BLD"",G17&lt;&gt;"""",I17&lt;&gt;"""",G17&lt;=I17),""Time limit måste vara &gt; cutoff"",
AND(C17&lt;&gt;""6x6 / 7x7"",C17&lt;&gt;""4x4 / 5"&amp;"x5 BLD"",H17&lt;&gt;"""",I17&lt;&gt;"""",H17&lt;=I17),""C.t.l. måste vara &gt; cutoff"",
AND(C17&lt;&gt;""3x3 FMC"",C17&lt;&gt;""3x3 MBLD"",J17=""""),CONCATENATE(""Fyll i antal deltagare i J""&amp;row()),
AND(C17="""",OR(E17&lt;&gt;"""",F17&lt;&gt;"""",G17&lt;&gt;"""",H17&lt;&gt;"""",I17&lt;&gt;"""",J17&lt;&gt;"""")),""Skri"&amp;"v ALLTID gren / aktivitet först"",
AND(I17="""",H17="""",J17&lt;&gt;""""),J17,
OR(""3x3 FMC""=C17,""3x3 MBLD""=C17),J17,
AND(I17&lt;&gt;"""",""6x6 / 7x7""=C17),
IFS(ArrayFormula(SUM(IFERROR(SPLIT(I17,"" / ""))))&lt;(Info!$J$6+Info!$J$7)*2/3,CONCATENATE(""Höj helst cutof"&amp;"fs i ""&amp;C17),
ArrayFormula(SUM(IFERROR(SPLIT(I17,"" / ""))))&lt;=(Info!$J$6+Info!$J$7),ROUNDUP(J17*Info!$J$22),
ArrayFormula(SUM(IFERROR(SPLIT(I17,"" / ""))))&lt;=Info!$J$6+Info!$J$7,ROUNDUP(J17*Info!$K$22),
ArrayFormula(SUM(IFERROR(SPLIT(I17,"" / ""))))&lt;=Info!"&amp;"$K$6+Info!$K$7,ROUNDUP(J17*Info!L$22),
ArrayFormula(SUM(IFERROR(SPLIT(I17,"" / ""))))&lt;=Info!$L$6+Info!$L$7,ROUNDUP(J17*Info!$M$22),
ArrayFormula(SUM(IFERROR(SPLIT(I17,"" / ""))))&lt;=Info!$M$6+Info!$M$7,ROUNDUP(J17*Info!$N$22),
ArrayFormula(SUM(IFERROR(SPLIT"&amp;"(I17,"" / ""))))&lt;=(Info!$N$6+Info!$N$7)*3/2,ROUNDUP(J17*Info!$J$26),
ArrayFormula(SUM(IFERROR(SPLIT(I17,"" / ""))))&gt;(Info!$N$6+Info!$N$7)*3/2,CONCATENATE(""Sänk helst cutoffs i ""&amp;C17)),
AND(I17&lt;&gt;"""",FILTER(Info!$E$2:E81, Info!$A$2:A81 = C17) = ""Yes""),"&amp;"
IFS(I17&lt;FILTER(Info!$J$2:J81, Info!$A$2:A81 = C17)*2/3,CONCATENATE(""Höj helst cutoff i ""&amp;C17),
I17&lt;=FILTER(Info!$J$2:J81, Info!$A$2:A81 = C17),ROUNDUP(J17*Info!$J$22),
I17&lt;=FILTER(Info!$K$2:K81, Info!$A$2:A81 = C17),ROUNDUP(J17*Info!$K$22),
I17&lt;=FILTER"&amp;"(Info!$L$2:L81, Info!$A$2:A81 = C17),ROUNDUP(J17*Info!L$22),
I17&lt;=FILTER(Info!$M$2:M81, Info!$A$2:A81 = C17),ROUNDUP(J17*Info!$M$22),
I17&lt;=FILTER(Info!$N$2:N81, Info!$A$2:A81 = C17),ROUNDUP(J17*Info!$N$22),
I17&lt;=FILTER(Info!$N$2:N81, Info!$A$2:A81 = C17)*"&amp;"3/2,ROUNDUP(J17*Info!$J$26),
I17&gt;FILTER(Info!$N$2:N81, Info!$A$2:A81 = C17)*3/2,CONCATENATE(""Sänk helst cutoff i ""&amp;C17)),
AND(H17&lt;&gt;"""",""6x6 / 7x7""=C17),
IFS(H17/3&lt;=(Info!$J$6+Info!$J$7)*2/3,""Höj helst cumulative time limit"",
H17/3&lt;=Info!$J$6+Info!$"&amp;"J$7,ROUNDUP(J17*Info!$J$24),
H17/3&lt;=Info!$K$6+Info!$K$7,ROUNDUP(J17*Info!$K$24),
H17/3&lt;=Info!$L$6+Info!$L$7,ROUNDUP(J17*Info!L$24),
H17/3&lt;=Info!$M$6+Info!$M$7,ROUNDUP(J17*Info!$M$24),
H17/3&lt;=Info!$N$6+Info!$N$7,ROUNDUP(J17*Info!$N$24),
H17/3&lt;=(Info!$N$6+I"&amp;"nfo!$N$7)*3/2,ROUNDUP(J17*Info!$L$26),
H17/3&gt;(Info!$J$6+Info!$J$7)*3/2,""Sänk helst cumulative time limit""),
AND(H17&lt;&gt;"""",FILTER(Info!$F$2:F81, Info!$A$2:A81 = C17) = ""Yes""),
IFS(H17&lt;=FILTER(Info!$J$2:J81, Info!$A$2:A81 = C17)*2/3,CONCATENATE(""Höj he"&amp;"lst c.t.l. i ""&amp;C17),
H17&lt;=FILTER(Info!$J$2:J81, Info!$A$2:A81 = C17),ROUNDUP(J17*Info!$J$24),
H17&lt;=FILTER(Info!$K$2:K81, Info!$A$2:A81 = C17),ROUNDUP(J17*Info!$K$24),
H17&lt;=FILTER(Info!$L$2:L81, Info!$A$2:A81 = C17),ROUNDUP(J17*Info!L$24),
H17&lt;=FILTER(Inf"&amp;"o!$M$2:M81, Info!$A$2:A81 = C17),ROUNDUP(J17*Info!$M$24),
H17&lt;=FILTER(Info!$N$2:N81, Info!$A$2:A81 = C17),ROUNDUP(J17*Info!$N$24),
H17&lt;=FILTER(Info!$N$2:N81, Info!$A$2:A81 = C17)*3/2,ROUNDUP(J17*Info!$L$26),
H17&gt;FILTER(Info!$N$2:N81, Info!$A$2:A81 = C17)*"&amp;"3/2,CONCATENATE(""Sänk helst c.t.l. i ""&amp;C17)),
AND(H17&lt;&gt;"""",FILTER(Info!$F$2:F81, Info!$A$2:A81 = C17) = ""No""),
IFS(H17/AA17&lt;=FILTER(Info!$J$2:J81, Info!$A$2:A81 = C17)*2/3,CONCATENATE(""Höj helst c.t.l. i ""&amp;C17),
H17/AA17&lt;=FILTER(Info!$J$2:J81, Info"&amp;"!$A$2:A81 = C17),ROUNDUP(J17*Info!$J$24),
H17/AA17&lt;=FILTER(Info!$K$2:K81, Info!$A$2:A81 = C17),ROUNDUP(J17*Info!$K$24),
H17/AA17&lt;=FILTER(Info!$L$2:L81, Info!$A$2:A81 = C17),ROUNDUP(J17*Info!L$24),
H17/AA17&lt;=FILTER(Info!$M$2:M81, Info!$A$2:A81 = C17),ROUND"&amp;"UP(J17*Info!$M$24),
H17/AA17&lt;=FILTER(Info!$N$2:N81, Info!$A$2:A81 = C17),ROUNDUP(J17*Info!$N$24),
H17/AA17&lt;=FILTER(Info!$N$2:N81, Info!$A$2:A81 = C17)*3/2,ROUNDUP(J17*Info!$L$26),
H17/AA17&gt;FILTER(Info!$N$2:N81, Info!$A$2:A81 = C17)*3/2,CONCATENATE(""Sänk "&amp;"helst c.t.l. i ""&amp;C17)),
AND(I17="""",H17&lt;&gt;"""",J17&lt;&gt;""""),ROUNDUP(J17*Info!$T$29),
AND(I17&lt;&gt;"""",H17="""",J17&lt;&gt;""""),ROUNDUP(J17*Info!$T$26))"),"")</f>
        <v/>
      </c>
      <c r="L17" s="42">
        <f>IFERROR(__xludf.DUMMYFUNCTION("IFS(C17="""",0,
C17=""3x3 FMC"",Info!$B$9*N17+M17, C17=""3x3 MBLD"",Info!$B$18*N17+M17,
COUNTIF(Info!$A$22:A81,C17)&gt;0,FILTER(Info!$B$22:B81,Info!$A$22:A81=C17)+M17,
AND(C17&lt;&gt;"""",E17=""""),CONCATENATE(""Fyll i E""&amp;row()),
AND(C17&lt;&gt;"""",E17&lt;&gt;"""",E17&lt;&gt;1,E1"&amp;"7&lt;&gt;2,E17&lt;&gt;3,E17&lt;&gt;""Final""),CONCATENATE(""Fel format på E""&amp;row()),
K17=CONCATENATE(""Runda ""&amp;E17&amp;"" i ""&amp;C17&amp;"" finns redan""),CONCATENATE(""Fel i E""&amp;row()),
AND(C17&lt;&gt;"""",F17=""""),CONCATENATE(""Fyll i F""&amp;row()),
K17=CONCATENATE(C17&amp;"" måste ha forma"&amp;"tet ""&amp;FILTER(Info!$D$2:D81, Info!$A$2:A81 = C17)),CONCATENATE(""Fel format på F""&amp;row()),
AND(C17&lt;&gt;"""",D17=1,H17="""",FILTER(Info!$F$2:F81, Info!$A$2:A81 = C17) = ""Yes""),CONCATENATE(""Fyll i H""&amp;row()),
AND(C17&lt;&gt;"""",D17=1,I17="""",FILTER(Info!$E$2:E8"&amp;"1, Info!$A$2:A81 = C17) = ""Yes""),CONCATENATE(""Fyll i I""&amp;row()),
AND(C17&lt;&gt;"""",J17=""""),CONCATENATE(""Fyll i J""&amp;row()),
AND(C17&lt;&gt;"""",K17="""",OR(H17&lt;&gt;"""",I17&lt;&gt;"""")),CONCATENATE(""Fyll i K""&amp;row()),
AND(C17&lt;&gt;"""",K17=""""),CONCATENATE(""Skriv samma"&amp;" i K""&amp;row()&amp;"" som i J""&amp;row()),
AND(OR(C17=""4x4 BLD"",C17=""5x5 BLD"",C17=""4x4 / 5x5 BLD"")=TRUE,V17&lt;=P17),
MROUND(H17*(Info!$T$20-((Info!$T$20-1)/2)*(1-V17/P17))*(1+((J17/K17)-1)*(1-Info!$J$24))*N17+(Info!$T$11/2)+(N17*Info!$T$11)+(N17*Info!$T$14*(O1"&amp;"7-1)),0.01)+M17,
AND(OR(C17=""4x4 BLD"",C17=""5x5 BLD"",C17=""4x4 / 5x5 BLD"")=TRUE,V17&gt;P17),
MROUND((((J17*Z17+K17*(AA17-Z17))*(H17*Info!$T$20/AA17))/X17)*(1+((J17/K17)-1)*(1-Info!$J$24))*(1+(X17-Info!$T$8)/100)+(Info!$T$11/2)+(N17*Info!$T$11)+(N17*Info!"&amp;"$T$14*(O17-1)),0.01)+M17,
AND(C17=""3x3 BLD"",V17&lt;=P17),
MROUND(H17*(Info!$T$23-((Info!$T$23-1)/2)*(1-V17/P17))*(1+((J17/K17)-1)*(1-Info!$J$24))*N17+(Info!$T$11/2)+(N17*Info!$T$11)+(N17*Info!$T$14*(O17-1)),0.01)+M17,
AND(C17=""3x3 BLD"",V17&gt;P17),
MROUND(("&amp;"((J17*Z17+K17*(AA17-Z17))*(H17*Info!$T$23/AA17))/X17)*(1+((J17/K17)-1)*(1-Info!$J$24))*(1+(X17-Info!$T$8)/100)+(Info!$T$11/2)+(N17*Info!$T$11)+(N17*Info!$T$14*(O17-1)),0.01)+M17,
E17=1,MROUND((((J17*Z17+K17*(AA17-Z17))*Y17)/X17)*(1+(X17-Info!$T$8)/100)+(N"&amp;"17*Info!$T$11)+(N17*Info!$T$14*(O17-1)),0.01)+M17,
AND(E17=""Final"",N17=1,FILTER(Info!$G$2:$G$20,Info!$A$2:$A$20=C17)=""Mycket svår""),
MROUND((((J17*Z17+K17*(AA17-Z17))*(Y17*Info!$T$38))/X17)*(1+(X17-Info!$T$8)/100)+(N17*Info!$T$11)+(N17*Info!$T$14*(O17"&amp;"-1)),0.01)+M17,
AND(E17=""Final"",N17=1,FILTER(Info!$G$2:$G$20,Info!$A$2:$A$20=C17)=""Svår""),
MROUND((((J17*Z17+K17*(AA17-Z17))*(Y17*Info!$T$35))/X17)*(1+(X17-Info!$T$8)/100)+(N17*Info!$T$11)+(N17*Info!$T$14*(O17-1)),0.01)+M17,
E17=""Final"",MROUND((((J1"&amp;"7*Z17+K17*(AA17-Z17))*(Y17*Info!$T$5))/X17)*(1+(X17-Info!$T$8)/100)+(N17*Info!$T$11)+(N17*Info!$T$14*(O17-1)),0.01)+M17,
OR(E17=2,E17=3),MROUND((((J17*Z17+K17*(AA17-Z17))*(Y17*Info!$T$2))/X17)*(1+(X17-Info!$T$8)/100)+(N17*Info!$T$11)+(N17*Info!$T$14*(O17-"&amp;"1)),0.01)+M17)"),0.0)</f>
        <v>0</v>
      </c>
      <c r="M17" s="43">
        <f t="shared" si="1"/>
        <v>0</v>
      </c>
      <c r="N17" s="43" t="str">
        <f>IFS(OR(COUNTIF(Info!$A$22:A81,C17)&gt;0,C17=""),"",
OR(C17="4x4 BLD",C17="5x5 BLD",C17="3x3 MBLD",C17="3x3 FMC",C17="4x4 / 5x5 BLD"),1,
AND(E17="Final",Q17="Yes",MAX(1,ROUNDUP(J17/P17))&gt;1),MAX(2,ROUNDUP(J17/P17)),
AND(E17="Final",Q17="No",MAX(1,ROUNDUP(J17/((P17*2)+2.625-Y17*1.5)))&gt;1),MAX(2,ROUNDUP(J17/((P17*2)+2.625-Y17*1.5))),
E17="Final",1,
Q17="Yes",MAX(2,ROUNDUP(J17/P17)),
TRUE,MAX(2,ROUNDUP(J17/((P17*2)+2.625-Y17*1.5))))</f>
        <v/>
      </c>
      <c r="O17" s="43" t="str">
        <f>IFS(OR(COUNTIF(Info!$A$22:A81,C17)&gt;0,C17=""),"",
OR("3x3 MBLD"=C17,"3x3 FMC"=C17)=TRUE,"",
D17=$E$4,$G$6,D17=$K$4,$M$6,D17=$Q$4,$S$6,D17=$W$4,$Y$6,
TRUE,$S$2)</f>
        <v/>
      </c>
      <c r="P17" s="43" t="str">
        <f>IFS(OR(COUNTIF(Info!$A$22:A81,C17)&gt;0,C17=""),"",
OR("3x3 MBLD"=C17,"3x3 FMC"=C17)=TRUE,"",
D17=$E$4,$E$6,D17=$K$4,$K$6,D17=$Q$4,$Q$6,D17=$W$4,$W$6,
TRUE,$Q$2)</f>
        <v/>
      </c>
      <c r="Q17" s="44" t="str">
        <f>IFS(OR(COUNTIF(Info!$A$22:A81,C17)&gt;0,C17=""),"",
OR("3x3 MBLD"=C17,"3x3 FMC"=C17)=TRUE,"",
D17=$E$4,$I$6,D17=$K$4,$O$6,D17=$Q$4,$U$6,D17=$W$4,$AA$6,
TRUE,$U$2)</f>
        <v/>
      </c>
      <c r="R17" s="45" t="str">
        <f>IFERROR(__xludf.DUMMYFUNCTION("IF(C17="""","""",IFERROR(FILTER(Info!$B$22:B81,Info!$A$22:A81=C17)+M17,""?""))"),"")</f>
        <v/>
      </c>
      <c r="S17" s="46" t="str">
        <f>IFS(OR(COUNTIF(Info!$A$22:A81,C17)&gt;0,C17=""),"",
AND(H17="",I17=""),J17,
TRUE,"?")</f>
        <v/>
      </c>
      <c r="T17" s="45" t="str">
        <f>IFS(OR(COUNTIF(Info!$A$22:A81,C17)&gt;0,C17=""),"",
AND(L17&lt;&gt;0,OR(R17="?",R17="")),"Fyll i R-kolumnen",
OR(C17="3x3 FMC",C17="3x3 MBLD"),R17,
AND(L17&lt;&gt;0,OR(S17="?",S17="")),"Fyll i S-kolumnen",
OR(COUNTIF(Info!$A$22:A81,C17)&gt;0,C17=""),"",
TRUE,Y17*R17/L17)</f>
        <v/>
      </c>
      <c r="U17" s="45"/>
      <c r="V17" s="47" t="str">
        <f>IFS(OR(COUNTIF(Info!$A$22:A81,C17)&gt;0,C17=""),"",
OR("3x3 MBLD"=C17,"3x3 FMC"=C17)=TRUE,"",
TRUE,MROUND((J17/N17),0.01))</f>
        <v/>
      </c>
      <c r="W17" s="48" t="str">
        <f>IFS(OR(COUNTIF(Info!$A$22:A81,C17)&gt;0,C17=""),"",
TRUE,L17/N17)</f>
        <v/>
      </c>
      <c r="X17" s="49" t="str">
        <f>IFS(OR(COUNTIF(Info!$A$22:A81,C17)&gt;0,C17=""),"",
OR("3x3 MBLD"=C17,"3x3 FMC"=C17)=TRUE,"",
OR(C17="4x4 BLD",C17="5x5 BLD",C17="4x4 / 5x5 BLD",AND(C17="3x3 BLD",H17&lt;&gt;""))=TRUE,MIN(V17,P17),
TRUE,MIN(P17,V17,MROUND(((V17*2/3)+((Y17-1.625)/2)),0.01)))</f>
        <v/>
      </c>
      <c r="Y17" s="48" t="str">
        <f>IFERROR(__xludf.DUMMYFUNCTION("IFS(OR(COUNTIF(Info!$A$22:A81,C17)&gt;0,C17=""""),"""",
FILTER(Info!$F$2:F81, Info!$A$2:A81 = C17) = ""Yes"",H17/AA17,
""3x3 FMC""=C17,Info!$B$9,""3x3 MBLD""=C17,Info!$B$18,
AND(E17=1,I17="""",H17="""",Q17=""No"",G17&gt;SUMIF(Info!$A$2:A81,C17,Info!$B$2:B81)*1."&amp;"5),
MIN(SUMIF(Info!$A$2:A81,C17,Info!$B$2:B81)*1.1,SUMIF(Info!$A$2:A81,C17,Info!$B$2:B81)*(1.15-(0.15*(SUMIF(Info!$A$2:A81,C17,Info!$B$2:B81)*1.5)/G17))),
AND(E17=1,I17="""",H17="""",Q17=""Yes"",G17&gt;SUMIF(Info!$A$2:A81,C17,Info!$C$2:C81)*1.5),
MIN(SUMIF(I"&amp;"nfo!$A$2:A81,C17,Info!$C$2:C81)*1.1,SUMIF(Info!$A$2:A81,C17,Info!$C$2:C81)*(1.15-(0.15*(SUMIF(Info!$A$2:A81,C17,Info!$C$2:C81)*1.5)/G17))),
Q17=""No"",SUMIF(Info!$A$2:A81,C17,Info!$B$2:B81),
Q17=""Yes"",SUMIF(Info!$A$2:A81,C17,Info!$C$2:C81))"),"")</f>
        <v/>
      </c>
      <c r="Z17" s="47" t="str">
        <f>IFS(OR(COUNTIF(Info!$A$22:A81,C17)&gt;0,C17=""),"",
AND(OR("3x3 FMC"=C17,"3x3 MBLD"=C17),I17&lt;&gt;""),1,
AND(OR(H17&lt;&gt;"",I17&lt;&gt;""),F17="Avg of 5"),2,
F17="Avg of 5",AA17,
AND(OR(H17&lt;&gt;"",I17&lt;&gt;""),F17="Mean of 3",C17="6x6 / 7x7"),2,
AND(OR(H17&lt;&gt;"",I17&lt;&gt;""),F17="Mean of 3"),1,
F17="Mean of 3",AA17,
AND(OR(H17&lt;&gt;"",I17&lt;&gt;""),F17="Best of 3",C17="4x4 / 5x5 BLD"),2,
AND(OR(H17&lt;&gt;"",I17&lt;&gt;""),F17="Best of 3"),1,
F17="Best of 2",AA17,
F17="Best of 1",AA17)</f>
        <v/>
      </c>
      <c r="AA17" s="47" t="str">
        <f>IFS(OR(COUNTIF(Info!$A$22:A81,C17)&gt;0,C17=""),"",
AND(OR("3x3 MBLD"=C17,"3x3 FMC"=C17),F17="Best of 1"=TRUE),1,
AND(OR("3x3 MBLD"=C17,"3x3 FMC"=C17),F17="Best of 2"=TRUE),2,
AND(OR("3x3 MBLD"=C17,"3x3 FMC"=C17),OR(F17="Best of 3",F17="Mean of 3")=TRUE),3,
AND(F17="Mean of 3",C17="6x6 / 7x7"),6,
AND(F17="Best of 3",C17="4x4 / 5x5 BLD"),6,
F17="Avg of 5",5,F17="Mean of 3",3,F17="Best of 3",3,F17="Best of 2",2,F17="Best of 1",1)</f>
        <v/>
      </c>
      <c r="AB17" s="50"/>
    </row>
    <row r="18" ht="15.75" customHeight="1">
      <c r="A18" s="35">
        <f>IFERROR(__xludf.DUMMYFUNCTION("IFS(indirect(""A""&amp;row()-1)=""Start"",TIME(indirect(""A""&amp;row()-2),indirect(""B""&amp;row()-2),0),
$O$2=""No"",TIME(0,($A$6*60+$B$6)+CEILING(SUM($L$7:indirect(""L""&amp;row()-1)),5),0),
D18=$E$2,TIME(0,($A$6*60+$B$6)+CEILING(SUM(IFERROR(FILTER($L$7:indirect(""L"""&amp;"&amp;row()-1),REGEXMATCH($D$7:indirect(""D""&amp;row()-1),$E$2)),0)),5),0),
TRUE,""=time(hh;mm;ss)"")"),0.4166666666666667)</f>
        <v>0.4166666667</v>
      </c>
      <c r="B18" s="36">
        <f>IFERROR(__xludf.DUMMYFUNCTION("IFS($O$2=""No"",TIME(0,($A$6*60+$B$6)+CEILING(SUM($L$7:indirect(""L""&amp;row())),5),0),
D18=$E$2,TIME(0,($A$6*60+$B$6)+CEILING(SUM(FILTER($L$7:indirect(""L""&amp;row()),REGEXMATCH($D$7:indirect(""D""&amp;row()),$E$2))),5),0),
A18=""=time(hh;mm;ss)"",CONCATENATE(""Sk"&amp;"riv tid i A""&amp;row()),
AND(A18&lt;&gt;"""",A18&lt;&gt;""=time(hh;mm;ss)""),A18+TIME(0,CEILING(indirect(""L""&amp;row()),5),0))"),0.4166666666666667)</f>
        <v>0.4166666667</v>
      </c>
      <c r="C18" s="37"/>
      <c r="D18" s="38" t="str">
        <f t="shared" si="2"/>
        <v>Stora salen</v>
      </c>
      <c r="E18" s="38" t="str">
        <f>IFERROR(__xludf.DUMMYFUNCTION("IFS(COUNTIF(Info!$A$22:A81,C18)&gt;0,"""",
AND(OR(""3x3 FMC""=C18,""3x3 MBLD""=C18),COUNTIF($C$7:indirect(""C""&amp;row()),indirect(""C""&amp;row()))&gt;=13),""E - Error"",
AND(OR(""3x3 FMC""=C18,""3x3 MBLD""=C18),COUNTIF($C$7:indirect(""C""&amp;row()),indirect(""C""&amp;row()"&amp;"))=12),""Final - A3"",
AND(OR(""3x3 FMC""=C18,""3x3 MBLD""=C18),COUNTIF($C$7:indirect(""C""&amp;row()),indirect(""C""&amp;row()))=11),""Final - A2"",
AND(OR(""3x3 FMC""=C18,""3x3 MBLD""=C18),COUNTIF($C$7:indirect(""C""&amp;row()),indirect(""C""&amp;row()))=10),""Final - "&amp;"A1"",
AND(OR(""3x3 FMC""=C18,""3x3 MBLD""=C18),COUNTIF($C$7:indirect(""C""&amp;row()),indirect(""C""&amp;row()))=9,
COUNTIF($C$7:$C$102,indirect(""C""&amp;row()))&gt;9),""R3 - A3"",
AND(OR(""3x3 FMC""=C18,""3x3 MBLD""=C18),COUNTIF($C$7:indirect(""C""&amp;row()),indirect(""C"&amp;"""&amp;row()))=9,
COUNTIF($C$7:$C$102,indirect(""C""&amp;row()))&lt;=9),""Final - A3"",
AND(OR(""3x3 FMC""=C18,""3x3 MBLD""=C18),COUNTIF($C$7:indirect(""C""&amp;row()),indirect(""C""&amp;row()))=8,
COUNTIF($C$7:$C$102,indirect(""C""&amp;row()))&gt;9),""R3 - A2"",
AND(OR(""3x3 FMC"&amp;"""=C18,""3x3 MBLD""=C18),COUNTIF($C$7:indirect(""C""&amp;row()),indirect(""C""&amp;row()))=8,
COUNTIF($C$7:$C$102,indirect(""C""&amp;row()))&lt;=9),""Final - A2"",
AND(OR(""3x3 FMC""=C18,""3x3 MBLD""=C18),COUNTIF($C$7:indirect(""C""&amp;row()),indirect(""C""&amp;row()))=7,
COUN"&amp;"TIF($C$7:$C$102,indirect(""C""&amp;row()))&gt;9),""R3 - A1"",
AND(OR(""3x3 FMC""=C18,""3x3 MBLD""=C18),COUNTIF($C$7:indirect(""C""&amp;row()),indirect(""C""&amp;row()))=7,
COUNTIF($C$7:$C$102,indirect(""C""&amp;row()))&lt;=9),""Final - A1"",
AND(OR(""3x3 FMC""=C18,""3x3 MBLD"""&amp;"=C18),COUNTIF($C$7:indirect(""C""&amp;row()),indirect(""C""&amp;row()))=6,
COUNTIF($C$7:$C$102,indirect(""C""&amp;row()))&gt;6),""R2 - A3"",
AND(OR(""3x3 FMC""=C18,""3x3 MBLD""=C18),COUNTIF($C$7:indirect(""C""&amp;row()),indirect(""C""&amp;row()))=6,
COUNTIF($C$7:$C$102,indirec"&amp;"t(""C""&amp;row()))&lt;=6),""Final - A3"",
AND(OR(""3x3 FMC""=C18,""3x3 MBLD""=C18),COUNTIF($C$7:indirect(""C""&amp;row()),indirect(""C""&amp;row()))=5,
COUNTIF($C$7:$C$102,indirect(""C""&amp;row()))&gt;6),""R2 - A2"",
AND(OR(""3x3 FMC""=C18,""3x3 MBLD""=C18),COUNTIF($C$7:indi"&amp;"rect(""C""&amp;row()),indirect(""C""&amp;row()))=5,
COUNTIF($C$7:$C$102,indirect(""C""&amp;row()))&lt;=6),""Final - A2"",
AND(OR(""3x3 FMC""=C18,""3x3 MBLD""=C18),COUNTIF($C$7:indirect(""C""&amp;row()),indirect(""C""&amp;row()))=4,
COUNTIF($C$7:$C$102,indirect(""C""&amp;row()))&gt;6),"&amp;"""R2 - A1"",
AND(OR(""3x3 FMC""=C18,""3x3 MBLD""=C18),COUNTIF($C$7:indirect(""C""&amp;row()),indirect(""C""&amp;row()))=4,
COUNTIF($C$7:$C$102,indirect(""C""&amp;row()))&lt;=6),""Final - A1"",
AND(OR(""3x3 FMC""=C18,""3x3 MBLD""=C18),COUNTIF($C$7:indirect(""C""&amp;row()),i"&amp;"ndirect(""C""&amp;row()))=3),""R1 - A3"",
AND(OR(""3x3 FMC""=C18,""3x3 MBLD""=C18),COUNTIF($C$7:indirect(""C""&amp;row()),indirect(""C""&amp;row()))=2),""R1 - A2"",
AND(OR(""3x3 FMC""=C18,""3x3 MBLD""=C18),COUNTIF($C$7:indirect(""C""&amp;row()),indirect(""C""&amp;row()))=1),"&amp;"""R1 -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C18),ROUNDUP((FILTER(Info!$H$2:H81,Info!$A$2:A81=C18)/FILTER(Info!$H$2:H81,Info!$A$2:A81=$K$2))*$I$2)&gt;99),3,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C18),ROUNDUP((FILTER(Info!$H$2:H81,Info!$A$2:A81=C18)/FILTER(Info!$H$2:H81,Info!$A$2:A81=$K$2))*$I$2)&gt;15),2,
AND(COUNTIF($C$7:indirect(""C""&amp;row()),indirect(""C""&amp;row()))=2,COUNTIF($C$7:$C$102,indirect(""C""&amp;row()))=COUNTIF($"&amp;"C$7:indirect(""C""&amp;row()),indirect(""C""&amp;row()))),""Final"",
COUNTIF($C$7:indirect(""C""&amp;row()),indirect(""C""&amp;row()))=1,1,
COUNTIF($C$7:indirect(""C""&amp;row()),indirect(""C""&amp;row()))=0,"""")"),"")</f>
        <v/>
      </c>
      <c r="F18" s="39" t="str">
        <f>IFERROR(__xludf.DUMMYFUNCTION("IFS(C18="""","""",
AND(C18=""3x3 FMC"",MOD(COUNTIF($C$7:indirect(""C""&amp;row()),indirect(""C""&amp;row())),3)=0),""Mean of 3"",
AND(C18=""3x3 MBLD"",MOD(COUNTIF($C$7:indirect(""C""&amp;row()),indirect(""C""&amp;row())),3)=0),""Best of 3"",
AND(C18=""3x3 FMC"",MOD(COUNT"&amp;"IF($C$7:indirect(""C""&amp;row()),indirect(""C""&amp;row())),3)=2,
COUNTIF($C$7:$C$102,indirect(""C""&amp;row()))&lt;=COUNTIF($C$7:indirect(""C""&amp;row()),indirect(""C""&amp;row()))),""Best of 2"",
AND(C18=""3x3 FMC"",MOD(COUNTIF($C$7:indirect(""C""&amp;row()),indirect(""C""&amp;row("&amp;"))),3)=2,
COUNTIF($C$7:$C$102,indirect(""C""&amp;row()))&gt;COUNTIF($C$7:indirect(""C""&amp;row()),indirect(""C""&amp;row()))),""Mean of 3"",
AND(C18=""3x3 MBLD"",MOD(COUNTIF($C$7:indirect(""C""&amp;row()),indirect(""C""&amp;row())),3)=2,
COUNTIF($C$7:$C$102,indirect(""C""&amp;row("&amp;")))&lt;=COUNTIF($C$7:indirect(""C""&amp;row()),indirect(""C""&amp;row()))),""Best of 2"",
AND(C18=""3x3 MBLD"",MOD(COUNTIF($C$7:indirect(""C""&amp;row()),indirect(""C""&amp;row())),3)=2,
COUNTIF($C$7:$C$102,indirect(""C""&amp;row()))&gt;COUNTIF($C$7:indirect(""C""&amp;row()),indirect("&amp;"""C""&amp;row()))),""Best of 3"",
AND(C18=""3x3 FMC"",MOD(COUNTIF($C$7:indirect(""C""&amp;row()),indirect(""C""&amp;row())),3)=1,
COUNTIF($C$7:$C$102,indirect(""C""&amp;row()))&lt;=COUNTIF($C$7:indirect(""C""&amp;row()),indirect(""C""&amp;row()))),""Best of 1"",
AND(C18=""3x3 FMC"""&amp;",MOD(COUNTIF($C$7:indirect(""C""&amp;row()),indirect(""C""&amp;row())),3)=1,
COUNTIF($C$7:$C$102,indirect(""C""&amp;row()))=COUNTIF($C$7:indirect(""C""&amp;row()),indirect(""C""&amp;row()))+1),""Best of 2"",
AND(C18=""3x3 FMC"",MOD(COUNTIF($C$7:indirect(""C""&amp;row()),indirect"&amp;"(""C""&amp;row())),3)=1,
COUNTIF($C$7:$C$102,indirect(""C""&amp;row()))&gt;COUNTIF($C$7:indirect(""C""&amp;row()),indirect(""C""&amp;row()))),""Mean of 3"",
AND(C18=""3x3 MBLD"",MOD(COUNTIF($C$7:indirect(""C""&amp;row()),indirect(""C""&amp;row())),3)=1,
COUNTIF($C$7:$C$102,indirect"&amp;"(""C""&amp;row()))&lt;=COUNTIF($C$7:indirect(""C""&amp;row()),indirect(""C""&amp;row()))),""Best of 1"",
AND(C18=""3x3 MBLD"",MOD(COUNTIF($C$7:indirect(""C""&amp;row()),indirect(""C""&amp;row())),3)=1,
COUNTIF($C$7:$C$102,indirect(""C""&amp;row()))=COUNTIF($C$7:indirect(""C""&amp;row()"&amp;"),indirect(""C""&amp;row()))+1),""Best of 2"",
AND(C18=""3x3 MBLD"",MOD(COUNTIF($C$7:indirect(""C""&amp;row()),indirect(""C""&amp;row())),3)=1,
COUNTIF($C$7:$C$102,indirect(""C""&amp;row()))&gt;COUNTIF($C$7:indirect(""C""&amp;row()),indirect(""C""&amp;row()))),""Best of 3"",
TRUE,("&amp;"IFERROR(FILTER(Info!$D$2:D81, Info!$A$2:A81 = C18), """")))"),"")</f>
        <v/>
      </c>
      <c r="G18" s="40" t="str">
        <f>IFERROR(__xludf.DUMMYFUNCTION("IFS(OR(COUNTIF(Info!$A$22:A81,C18)&gt;0,C18=""""),"""",
OR(""3x3 MBLD""=C18,""3x3 FMC""=C18),60,
AND(E18=1,FILTER(Info!$F$2:F81, Info!$A$2:A81 = C18) = ""No""),FILTER(Info!$P$2:P81, Info!$A$2:A81 = C18),
AND(E18=2,FILTER(Info!$F$2:F81, Info!$A$2:A81 = C18) ="&amp;" ""No""),FILTER(Info!$Q$2:Q81, Info!$A$2:A81 = C18),
AND(E18=3,FILTER(Info!$F$2:F81, Info!$A$2:A81 = C18) = ""No""),FILTER(Info!$R$2:R81, Info!$A$2:A81 = C18),
AND(E18=""Final"",FILTER(Info!$F$2:F81, Info!$A$2:A81 = C18) = ""No""),FILTER(Info!$S$2:S81, In"&amp;"fo!$A$2:A81 = C18),
FILTER(Info!$F$2:F81, Info!$A$2:A81 = C18) = ""Yes"","""")"),"")</f>
        <v/>
      </c>
      <c r="H18" s="40" t="str">
        <f>IFERROR(__xludf.DUMMYFUNCTION("IFS(OR(COUNTIF(Info!$A$22:A81,C18)&gt;0,C18=""""),"""",
OR(""3x3 MBLD""=C18,""3x3 FMC""=C18)=TRUE,"""",
FILTER(Info!$F$2:F81, Info!$A$2:A81 = C18) = ""Yes"",FILTER(Info!$O$2:O81, Info!$A$2:A81 = C18),
FILTER(Info!$F$2:F81, Info!$A$2:A81 = C18) = ""No"",IF(G1"&amp;"8="""",FILTER(Info!$O$2:O81, Info!$A$2:A81 = C18),""""))"),"")</f>
        <v/>
      </c>
      <c r="I18" s="40" t="str">
        <f>IFERROR(__xludf.DUMMYFUNCTION("IFS(OR(COUNTIF(Info!$A$22:A81,C18)&gt;0,C18="""",H18&lt;&gt;""""),"""",
AND(E18&lt;&gt;1,E18&lt;&gt;""R1 - A1"",E18&lt;&gt;""R1 - A2"",E18&lt;&gt;""R1 - A3""),"""",
FILTER(Info!$E$2:E81, Info!$A$2:A81 = C18) = ""Yes"",IF(H18="""",FILTER(Info!$L$2:L81, Info!$A$2:A81 = C18),""""),
FILTER(I"&amp;"nfo!$E$2:E81, Info!$A$2:A81 = C18) = ""No"","""")"),"")</f>
        <v/>
      </c>
      <c r="J18" s="40" t="str">
        <f>IFERROR(__xludf.DUMMYFUNCTION("IFS(OR(COUNTIF(Info!$A$22:A81,C18)&gt;0,C18="""",""3x3 MBLD""=C18,""3x3 FMC""=C18),"""",
AND(E18=1,FILTER(Info!$H$2:H81,Info!$A$2:A81 = C18)&lt;=FILTER(Info!$H$2:H81,Info!$A$2:A81=$K$2)),
ROUNDUP((FILTER(Info!$H$2:H81,Info!$A$2:A81 = C18)/FILTER(Info!$H$2:H81,I"&amp;"nfo!$A$2:A81=$K$2))*$I$2),
AND(E18=1,FILTER(Info!$H$2:H81,Info!$A$2:A81 = C18)&gt;FILTER(Info!$H$2:H81,Info!$A$2:A81=$K$2)),""K2 - Error"",
AND(E18=2,FILTER($J$7:indirect(""J""&amp;row()-1),$C$7:indirect(""C""&amp;row()-1)=C18)&lt;=7),""J - Error"",
E18=2,FLOOR(FILTER("&amp;"$J$7:indirect(""J""&amp;row()-1),$C$7:indirect(""C""&amp;row()-1)=C18)*Info!$T$32),
AND(E18=3,FILTER($J$7:indirect(""J""&amp;row()-1),$C$7:indirect(""C""&amp;row()-1)=C18)&lt;=15),""J - Error"",
E18=3,FLOOR(Info!$T$32*FLOOR(FILTER($J$7:indirect(""J""&amp;row()-1),$C$7:indirect("&amp;"""C""&amp;row()-1)=C18)*Info!$T$32)),
AND(E18=""Final"",COUNTIF($C$7:$C$102,C18)=2,FILTER($J$7:indirect(""J""&amp;row()-1),$C$7:indirect(""C""&amp;row()-1)=C18)&lt;=7),""J - Error"",
AND(E18=""Final"",COUNTIF($C$7:$C$102,C18)=2),
MIN(P18,FLOOR(FILTER($J$7:indirect(""J"""&amp;"&amp;row()-1),$C$7:indirect(""C""&amp;row()-1)=C18)*Info!$T$32)),
AND(E18=""Final"",COUNTIF($C$7:$C$102,C18)=3,FILTER($J$7:indirect(""J""&amp;row()-1),$C$7:indirect(""C""&amp;row()-1)=C18)&lt;=15),""J - Error"",
AND(E18=""Final"",COUNTIF($C$7:$C$102,C18)=3),
MIN(P18,FLOOR(I"&amp;"nfo!$T$32*FLOOR(FILTER($J$7:indirect(""J""&amp;row()-1),$C$7:indirect(""C""&amp;row()-1)=C18)*Info!$T$32))),
AND(E18=""Final"",COUNTIF($C$7:$C$102,C18)&gt;=4,FILTER($J$7:indirect(""J""&amp;row()-1),$C$7:indirect(""C""&amp;row()-1)=C18)&lt;=99),""J - Error"",
AND(E18=""Final"","&amp;"COUNTIF($C$7:$C$102,C18)&gt;=4),
MIN(P18,FLOOR(Info!$T$32*FLOOR(Info!$T$32*FLOOR(FILTER($J$7:indirect(""J""&amp;row()-1),$C$7:indirect(""C""&amp;row()-1)=C18)*Info!$T$32)))))"),"")</f>
        <v/>
      </c>
      <c r="K18" s="41" t="str">
        <f>IFERROR(__xludf.DUMMYFUNCTION("IFS(AND(indirect(""D""&amp;row()+2)&lt;&gt;$E$2,indirect(""D""&amp;row()+1)=""""),CONCATENATE(""Tom rad! Kopiera hela rad ""&amp;row()&amp;"" dit""),
AND(indirect(""D""&amp;row()-1)&lt;&gt;""Rum"",indirect(""D""&amp;row()-1)=""""),CONCATENATE(""Tom rad! Kopiera hela rad ""&amp;row()&amp;"" dit""),
"&amp;"C18="""","""",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OR(AND(D18&lt;&gt;$E$2,D18&lt;&gt;$E$4,D18&lt;&gt;$K$4,D18&lt;&gt;$Q$4),D18="&amp;"""""),CONCATENATE(""Rum: ""&amp;D18&amp;"" finns ej, byt i D""&amp;row()),
AND(indirect(""D""&amp;row()-1)=""Rum"",C18=""""),CONCATENATE(""För att börja: skriv i cell C""&amp;row()),
AND(C18=""Paus"",M18&lt;=0),CONCATENATE(""Skriv pausens längd i M""&amp;row()),
OR(COUNTIF(Info!$A$"&amp;"22:A81,C18)&gt;0,C18=""""),"""",
AND(D18&lt;&gt;$E$2,$O$2=""Yes"",A18=""=time(hh;mm;ss)""),CONCATENATE(""Skriv starttid för ""&amp;C18&amp;"" i A""&amp;row()),
E18=""E - Error"",CONCATENATE(""För många ""&amp;C18&amp;"" rundor!""),
AND(C18&lt;&gt;""3x3 FMC"",C18&lt;&gt;""3x3 MBLD"",E18&lt;&gt;1,E18&lt;&gt;"&amp;"""Final"",IFERROR(FILTER($E$7:indirect(""E""&amp;row()-1),
$E$7:indirect(""E""&amp;row()-1)=E18-1,$C$7:indirect(""C""&amp;row()-1)=C18))=FALSE),CONCATENATE(""Kan ej vara R""&amp;E18&amp;"", saknar R""&amp;(E18-1)),
AND(indirect(""E""&amp;row()-1)&lt;&gt;""Omgång"",IFERROR(FILTER($E$7:indi"&amp;"rect(""E""&amp;row()-1),
$E$7:indirect(""E""&amp;row()-1)=E18,$C$7:indirect(""C""&amp;row()-1)=C18)=E18)=TRUE),CONCATENATE(""Runda ""&amp;E18&amp;"" i ""&amp;C18&amp;"" finns redan""),
AND(C18&lt;&gt;""3x3 BLD"",C18&lt;&gt;""4x4 BLD"",C18&lt;&gt;""5x5 BLD"",C18&lt;&gt;""4x4 / 5x5 BLD"",OR(E18=2,E18=3,E18="&amp;"""Final""),H18&lt;&gt;""""),CONCATENATE(E18&amp;""-rundor brukar ej ha c.t.l.""),
AND(OR(E18=2,E18=3,E18=""Final""),I18&lt;&gt;""""),CONCATENATE(E18&amp;""-rundor brukar ej ha cutoff""),
AND(OR(C18=""3x3 FMC"",C18=""3x3 MBLD""),OR(E18=1,E18=2,E18=3,E18=""Final"")),CONCATENAT"&amp;"E(C18&amp;""s omgång är Rx - Ax""),
AND(C18&lt;&gt;""3x3 MBLD"",C18&lt;&gt;""3x3 FMC"",FILTER(Info!$D$2:D81, Info!$A$2:A81 = C18)&lt;&gt;F18),CONCATENATE(C18&amp;"" måste ha formatet ""&amp;FILTER(Info!$D$2:D81, Info!$A$2:A81 = C18)),
AND(C18=""3x3 MBLD"",OR(F18=""Avg of 5"",F18=""Mea"&amp;"n of 3"")),CONCATENATE(""Ogiltigt format för ""&amp;C18),
AND(C18=""3x3 FMC"",OR(F18=""Avg of 5"",F18=""Best of 3"")),CONCATENATE(""Ogiltigt format för ""&amp;C18),
AND(OR(F18=""Best of 1"",F18=""Best of 2"",F18=""Best of 3""),I18&lt;&gt;""""),CONCATENATE(F18&amp;""-rundor"&amp;" får ej ha cutoff""),
AND(OR(C18=""3x3 FMC"",C18=""3x3 MBLD""),G18&lt;&gt;60),CONCATENATE(C18&amp;"" måste ha time limit: 60""),
AND(OR(C18=""3x3 FMC"",C18=""3x3 MBLD""),H18&lt;&gt;""""),CONCATENATE(C18&amp;"" kan inte ha c.t.l.""),
AND(G18&lt;&gt;"""",H18&lt;&gt;""""),""Välj time limit"&amp;" ELLER c.t.l"",
AND(C18=""6x6 / 7x7"",G18="""",H18=""""),""Sätt time limit (x / y) eller c.t.l (z)"",
AND(G18="""",H18=""""),""Sätt en time limit eller c.t.l"",
AND(OR(C18=""6x6 / 7x7"",C18=""4x4 / 5x5 BLD""),G18&lt;&gt;"""",REGEXMATCH(TO_TEXT(G18),"" / "")=FAL"&amp;"SE),CONCATENATE(""Time limit måste vara x / y""),
AND(H18&lt;&gt;"""",I18&lt;&gt;""""),CONCATENATE(C18&amp;"" brukar ej ha cutoff OCH c.t.l""),
AND(E18=1,H18="""",I18="""",OR(FILTER(Info!$E$2:E81, Info!$A$2:A81 = C18) = ""Yes"",FILTER(Info!$F$2:F81, Info!$A$2:A81 = C18) "&amp;"= ""Yes""),OR(F18=""Avg of 5"",F18=""Mean of 3"")),CONCATENATE(C18&amp;"" bör ha cutoff eller c.t.l""),
AND(C18=""6x6 / 7x7"",I18&lt;&gt;"""",REGEXMATCH(TO_TEXT(I18),"" / "")=FALSE),CONCATENATE(""Cutoff måste vara x / y""),
AND(H18&lt;&gt;"""",ISNUMBER(H18)=FALSE),""C.t."&amp;"l. måste vara positivt tal (x)"",
AND(C18&lt;&gt;""6x6 / 7x7"",I18&lt;&gt;"""",ISNUMBER(I18)=FALSE),""Cutoff måste vara positivt tal (x)"",
AND(H18&lt;&gt;"""",FILTER(Info!$E$2:E81, Info!$A$2:A81 = C18) = ""No"",FILTER(Info!$F$2:F81, Info!$A$2:A81 = C18) = ""No""),CONCATEN"&amp;"ATE(C18&amp;"" brukar inte ha c.t.l.""),
AND(I18&lt;&gt;"""",FILTER(Info!$E$2:E81, Info!$A$2:A81 = C18) = ""No"",FILTER(Info!$F$2:F81, Info!$A$2:A81 = C18) = ""No""),CONCATENATE(C18&amp;"" brukar inte ha cutoff""),
AND(H18="""",FILTER(Info!$F$2:F81, Info!$A$2:A81 = C18"&amp;") = ""Yes""),CONCATENATE(C18&amp;"" brukar ha c.t.l.""),
AND(C18&lt;&gt;""6x6 / 7x7"",C18&lt;&gt;""4x4 / 5x5 BLD"",G18&lt;&gt;"""",ISNUMBER(G18)=FALSE),""Time limit måste vara positivt tal (x)"",
J18=""J - Error"",CONCATENATE(""För få deltagare i R1 för ""&amp;COUNTIF($C$7:$C$102,"&amp;"indirect(""C""&amp;row()))&amp;"" rundor""),
J18=""K2 - Error"",CONCATENATE(C18&amp;"" är mer populär - byt i K2!""),
AND(C18&lt;&gt;""6x6 / 7x7"",C18&lt;&gt;""4x4 / 5x5 BLD"",G18&lt;&gt;"""",I18&lt;&gt;"""",G18&lt;=I18),""Time limit måste vara &gt; cutoff"",
AND(C18&lt;&gt;""6x6 / 7x7"",C18&lt;&gt;""4x4 / 5"&amp;"x5 BLD"",H18&lt;&gt;"""",I18&lt;&gt;"""",H18&lt;=I18),""C.t.l. måste vara &gt; cutoff"",
AND(C18&lt;&gt;""3x3 FMC"",C18&lt;&gt;""3x3 MBLD"",J18=""""),CONCATENATE(""Fyll i antal deltagare i J""&amp;row()),
AND(C18="""",OR(E18&lt;&gt;"""",F18&lt;&gt;"""",G18&lt;&gt;"""",H18&lt;&gt;"""",I18&lt;&gt;"""",J18&lt;&gt;"""")),""Skri"&amp;"v ALLTID gren / aktivitet först"",
AND(I18="""",H18="""",J18&lt;&gt;""""),J18,
OR(""3x3 FMC""=C18,""3x3 MBLD""=C18),J18,
AND(I18&lt;&gt;"""",""6x6 / 7x7""=C18),
IFS(ArrayFormula(SUM(IFERROR(SPLIT(I18,"" / ""))))&lt;(Info!$J$6+Info!$J$7)*2/3,CONCATENATE(""Höj helst cutof"&amp;"fs i ""&amp;C18),
ArrayFormula(SUM(IFERROR(SPLIT(I18,"" / ""))))&lt;=(Info!$J$6+Info!$J$7),ROUNDUP(J18*Info!$J$22),
ArrayFormula(SUM(IFERROR(SPLIT(I18,"" / ""))))&lt;=Info!$J$6+Info!$J$7,ROUNDUP(J18*Info!$K$22),
ArrayFormula(SUM(IFERROR(SPLIT(I18,"" / ""))))&lt;=Info!"&amp;"$K$6+Info!$K$7,ROUNDUP(J18*Info!L$22),
ArrayFormula(SUM(IFERROR(SPLIT(I18,"" / ""))))&lt;=Info!$L$6+Info!$L$7,ROUNDUP(J18*Info!$M$22),
ArrayFormula(SUM(IFERROR(SPLIT(I18,"" / ""))))&lt;=Info!$M$6+Info!$M$7,ROUNDUP(J18*Info!$N$22),
ArrayFormula(SUM(IFERROR(SPLIT"&amp;"(I18,"" / ""))))&lt;=(Info!$N$6+Info!$N$7)*3/2,ROUNDUP(J18*Info!$J$26),
ArrayFormula(SUM(IFERROR(SPLIT(I18,"" / ""))))&gt;(Info!$N$6+Info!$N$7)*3/2,CONCATENATE(""Sänk helst cutoffs i ""&amp;C18)),
AND(I18&lt;&gt;"""",FILTER(Info!$E$2:E81, Info!$A$2:A81 = C18) = ""Yes""),"&amp;"
IFS(I18&lt;FILTER(Info!$J$2:J81, Info!$A$2:A81 = C18)*2/3,CONCATENATE(""Höj helst cutoff i ""&amp;C18),
I18&lt;=FILTER(Info!$J$2:J81, Info!$A$2:A81 = C18),ROUNDUP(J18*Info!$J$22),
I18&lt;=FILTER(Info!$K$2:K81, Info!$A$2:A81 = C18),ROUNDUP(J18*Info!$K$22),
I18&lt;=FILTER"&amp;"(Info!$L$2:L81, Info!$A$2:A81 = C18),ROUNDUP(J18*Info!L$22),
I18&lt;=FILTER(Info!$M$2:M81, Info!$A$2:A81 = C18),ROUNDUP(J18*Info!$M$22),
I18&lt;=FILTER(Info!$N$2:N81, Info!$A$2:A81 = C18),ROUNDUP(J18*Info!$N$22),
I18&lt;=FILTER(Info!$N$2:N81, Info!$A$2:A81 = C18)*"&amp;"3/2,ROUNDUP(J18*Info!$J$26),
I18&gt;FILTER(Info!$N$2:N81, Info!$A$2:A81 = C18)*3/2,CONCATENATE(""Sänk helst cutoff i ""&amp;C18)),
AND(H18&lt;&gt;"""",""6x6 / 7x7""=C18),
IFS(H18/3&lt;=(Info!$J$6+Info!$J$7)*2/3,""Höj helst cumulative time limit"",
H18/3&lt;=Info!$J$6+Info!$"&amp;"J$7,ROUNDUP(J18*Info!$J$24),
H18/3&lt;=Info!$K$6+Info!$K$7,ROUNDUP(J18*Info!$K$24),
H18/3&lt;=Info!$L$6+Info!$L$7,ROUNDUP(J18*Info!L$24),
H18/3&lt;=Info!$M$6+Info!$M$7,ROUNDUP(J18*Info!$M$24),
H18/3&lt;=Info!$N$6+Info!$N$7,ROUNDUP(J18*Info!$N$24),
H18/3&lt;=(Info!$N$6+I"&amp;"nfo!$N$7)*3/2,ROUNDUP(J18*Info!$L$26),
H18/3&gt;(Info!$J$6+Info!$J$7)*3/2,""Sänk helst cumulative time limit""),
AND(H18&lt;&gt;"""",FILTER(Info!$F$2:F81, Info!$A$2:A81 = C18) = ""Yes""),
IFS(H18&lt;=FILTER(Info!$J$2:J81, Info!$A$2:A81 = C18)*2/3,CONCATENATE(""Höj he"&amp;"lst c.t.l. i ""&amp;C18),
H18&lt;=FILTER(Info!$J$2:J81, Info!$A$2:A81 = C18),ROUNDUP(J18*Info!$J$24),
H18&lt;=FILTER(Info!$K$2:K81, Info!$A$2:A81 = C18),ROUNDUP(J18*Info!$K$24),
H18&lt;=FILTER(Info!$L$2:L81, Info!$A$2:A81 = C18),ROUNDUP(J18*Info!L$24),
H18&lt;=FILTER(Inf"&amp;"o!$M$2:M81, Info!$A$2:A81 = C18),ROUNDUP(J18*Info!$M$24),
H18&lt;=FILTER(Info!$N$2:N81, Info!$A$2:A81 = C18),ROUNDUP(J18*Info!$N$24),
H18&lt;=FILTER(Info!$N$2:N81, Info!$A$2:A81 = C18)*3/2,ROUNDUP(J18*Info!$L$26),
H18&gt;FILTER(Info!$N$2:N81, Info!$A$2:A81 = C18)*"&amp;"3/2,CONCATENATE(""Sänk helst c.t.l. i ""&amp;C18)),
AND(H18&lt;&gt;"""",FILTER(Info!$F$2:F81, Info!$A$2:A81 = C18) = ""No""),
IFS(H18/AA18&lt;=FILTER(Info!$J$2:J81, Info!$A$2:A81 = C18)*2/3,CONCATENATE(""Höj helst c.t.l. i ""&amp;C18),
H18/AA18&lt;=FILTER(Info!$J$2:J81, Info"&amp;"!$A$2:A81 = C18),ROUNDUP(J18*Info!$J$24),
H18/AA18&lt;=FILTER(Info!$K$2:K81, Info!$A$2:A81 = C18),ROUNDUP(J18*Info!$K$24),
H18/AA18&lt;=FILTER(Info!$L$2:L81, Info!$A$2:A81 = C18),ROUNDUP(J18*Info!L$24),
H18/AA18&lt;=FILTER(Info!$M$2:M81, Info!$A$2:A81 = C18),ROUND"&amp;"UP(J18*Info!$M$24),
H18/AA18&lt;=FILTER(Info!$N$2:N81, Info!$A$2:A81 = C18),ROUNDUP(J18*Info!$N$24),
H18/AA18&lt;=FILTER(Info!$N$2:N81, Info!$A$2:A81 = C18)*3/2,ROUNDUP(J18*Info!$L$26),
H18/AA18&gt;FILTER(Info!$N$2:N81, Info!$A$2:A81 = C18)*3/2,CONCATENATE(""Sänk "&amp;"helst c.t.l. i ""&amp;C18)),
AND(I18="""",H18&lt;&gt;"""",J18&lt;&gt;""""),ROUNDUP(J18*Info!$T$29),
AND(I18&lt;&gt;"""",H18="""",J18&lt;&gt;""""),ROUNDUP(J18*Info!$T$26))"),"")</f>
        <v/>
      </c>
      <c r="L18" s="42">
        <f>IFERROR(__xludf.DUMMYFUNCTION("IFS(C18="""",0,
C18=""3x3 FMC"",Info!$B$9*N18+M18, C18=""3x3 MBLD"",Info!$B$18*N18+M18,
COUNTIF(Info!$A$22:A81,C18)&gt;0,FILTER(Info!$B$22:B81,Info!$A$22:A81=C18)+M18,
AND(C18&lt;&gt;"""",E18=""""),CONCATENATE(""Fyll i E""&amp;row()),
AND(C18&lt;&gt;"""",E18&lt;&gt;"""",E18&lt;&gt;1,E1"&amp;"8&lt;&gt;2,E18&lt;&gt;3,E18&lt;&gt;""Final""),CONCATENATE(""Fel format på E""&amp;row()),
K18=CONCATENATE(""Runda ""&amp;E18&amp;"" i ""&amp;C18&amp;"" finns redan""),CONCATENATE(""Fel i E""&amp;row()),
AND(C18&lt;&gt;"""",F18=""""),CONCATENATE(""Fyll i F""&amp;row()),
K18=CONCATENATE(C18&amp;"" måste ha forma"&amp;"tet ""&amp;FILTER(Info!$D$2:D81, Info!$A$2:A81 = C18)),CONCATENATE(""Fel format på F""&amp;row()),
AND(C18&lt;&gt;"""",D18=1,H18="""",FILTER(Info!$F$2:F81, Info!$A$2:A81 = C18) = ""Yes""),CONCATENATE(""Fyll i H""&amp;row()),
AND(C18&lt;&gt;"""",D18=1,I18="""",FILTER(Info!$E$2:E8"&amp;"1, Info!$A$2:A81 = C18) = ""Yes""),CONCATENATE(""Fyll i I""&amp;row()),
AND(C18&lt;&gt;"""",J18=""""),CONCATENATE(""Fyll i J""&amp;row()),
AND(C18&lt;&gt;"""",K18="""",OR(H18&lt;&gt;"""",I18&lt;&gt;"""")),CONCATENATE(""Fyll i K""&amp;row()),
AND(C18&lt;&gt;"""",K18=""""),CONCATENATE(""Skriv samma"&amp;" i K""&amp;row()&amp;"" som i J""&amp;row()),
AND(OR(C18=""4x4 BLD"",C18=""5x5 BLD"",C18=""4x4 / 5x5 BLD"")=TRUE,V18&lt;=P18),
MROUND(H18*(Info!$T$20-((Info!$T$20-1)/2)*(1-V18/P18))*(1+((J18/K18)-1)*(1-Info!$J$24))*N18+(Info!$T$11/2)+(N18*Info!$T$11)+(N18*Info!$T$14*(O1"&amp;"8-1)),0.01)+M18,
AND(OR(C18=""4x4 BLD"",C18=""5x5 BLD"",C18=""4x4 / 5x5 BLD"")=TRUE,V18&gt;P18),
MROUND((((J18*Z18+K18*(AA18-Z18))*(H18*Info!$T$20/AA18))/X18)*(1+((J18/K18)-1)*(1-Info!$J$24))*(1+(X18-Info!$T$8)/100)+(Info!$T$11/2)+(N18*Info!$T$11)+(N18*Info!"&amp;"$T$14*(O18-1)),0.01)+M18,
AND(C18=""3x3 BLD"",V18&lt;=P18),
MROUND(H18*(Info!$T$23-((Info!$T$23-1)/2)*(1-V18/P18))*(1+((J18/K18)-1)*(1-Info!$J$24))*N18+(Info!$T$11/2)+(N18*Info!$T$11)+(N18*Info!$T$14*(O18-1)),0.01)+M18,
AND(C18=""3x3 BLD"",V18&gt;P18),
MROUND(("&amp;"((J18*Z18+K18*(AA18-Z18))*(H18*Info!$T$23/AA18))/X18)*(1+((J18/K18)-1)*(1-Info!$J$24))*(1+(X18-Info!$T$8)/100)+(Info!$T$11/2)+(N18*Info!$T$11)+(N18*Info!$T$14*(O18-1)),0.01)+M18,
E18=1,MROUND((((J18*Z18+K18*(AA18-Z18))*Y18)/X18)*(1+(X18-Info!$T$8)/100)+(N"&amp;"18*Info!$T$11)+(N18*Info!$T$14*(O18-1)),0.01)+M18,
AND(E18=""Final"",N18=1,FILTER(Info!$G$2:$G$20,Info!$A$2:$A$20=C18)=""Mycket svår""),
MROUND((((J18*Z18+K18*(AA18-Z18))*(Y18*Info!$T$38))/X18)*(1+(X18-Info!$T$8)/100)+(N18*Info!$T$11)+(N18*Info!$T$14*(O18"&amp;"-1)),0.01)+M18,
AND(E18=""Final"",N18=1,FILTER(Info!$G$2:$G$20,Info!$A$2:$A$20=C18)=""Svår""),
MROUND((((J18*Z18+K18*(AA18-Z18))*(Y18*Info!$T$35))/X18)*(1+(X18-Info!$T$8)/100)+(N18*Info!$T$11)+(N18*Info!$T$14*(O18-1)),0.01)+M18,
E18=""Final"",MROUND((((J1"&amp;"8*Z18+K18*(AA18-Z18))*(Y18*Info!$T$5))/X18)*(1+(X18-Info!$T$8)/100)+(N18*Info!$T$11)+(N18*Info!$T$14*(O18-1)),0.01)+M18,
OR(E18=2,E18=3),MROUND((((J18*Z18+K18*(AA18-Z18))*(Y18*Info!$T$2))/X18)*(1+(X18-Info!$T$8)/100)+(N18*Info!$T$11)+(N18*Info!$T$14*(O18-"&amp;"1)),0.01)+M18)"),0.0)</f>
        <v>0</v>
      </c>
      <c r="M18" s="43">
        <f t="shared" si="1"/>
        <v>0</v>
      </c>
      <c r="N18" s="43" t="str">
        <f>IFS(OR(COUNTIF(Info!$A$22:A81,C18)&gt;0,C18=""),"",
OR(C18="4x4 BLD",C18="5x5 BLD",C18="3x3 MBLD",C18="3x3 FMC",C18="4x4 / 5x5 BLD"),1,
AND(E18="Final",Q18="Yes",MAX(1,ROUNDUP(J18/P18))&gt;1),MAX(2,ROUNDUP(J18/P18)),
AND(E18="Final",Q18="No",MAX(1,ROUNDUP(J18/((P18*2)+2.625-Y18*1.5)))&gt;1),MAX(2,ROUNDUP(J18/((P18*2)+2.625-Y18*1.5))),
E18="Final",1,
Q18="Yes",MAX(2,ROUNDUP(J18/P18)),
TRUE,MAX(2,ROUNDUP(J18/((P18*2)+2.625-Y18*1.5))))</f>
        <v/>
      </c>
      <c r="O18" s="43" t="str">
        <f>IFS(OR(COUNTIF(Info!$A$22:A81,C18)&gt;0,C18=""),"",
OR("3x3 MBLD"=C18,"3x3 FMC"=C18)=TRUE,"",
D18=$E$4,$G$6,D18=$K$4,$M$6,D18=$Q$4,$S$6,D18=$W$4,$Y$6,
TRUE,$S$2)</f>
        <v/>
      </c>
      <c r="P18" s="43" t="str">
        <f>IFS(OR(COUNTIF(Info!$A$22:A81,C18)&gt;0,C18=""),"",
OR("3x3 MBLD"=C18,"3x3 FMC"=C18)=TRUE,"",
D18=$E$4,$E$6,D18=$K$4,$K$6,D18=$Q$4,$Q$6,D18=$W$4,$W$6,
TRUE,$Q$2)</f>
        <v/>
      </c>
      <c r="Q18" s="44" t="str">
        <f>IFS(OR(COUNTIF(Info!$A$22:A81,C18)&gt;0,C18=""),"",
OR("3x3 MBLD"=C18,"3x3 FMC"=C18)=TRUE,"",
D18=$E$4,$I$6,D18=$K$4,$O$6,D18=$Q$4,$U$6,D18=$W$4,$AA$6,
TRUE,$U$2)</f>
        <v/>
      </c>
      <c r="R18" s="45" t="str">
        <f>IFERROR(__xludf.DUMMYFUNCTION("IF(C18="""","""",IFERROR(FILTER(Info!$B$22:B81,Info!$A$22:A81=C18)+M18,""?""))"),"")</f>
        <v/>
      </c>
      <c r="S18" s="46" t="str">
        <f>IFS(OR(COUNTIF(Info!$A$22:A81,C18)&gt;0,C18=""),"",
AND(H18="",I18=""),J18,
TRUE,"?")</f>
        <v/>
      </c>
      <c r="T18" s="45" t="str">
        <f>IFS(OR(COUNTIF(Info!$A$22:A81,C18)&gt;0,C18=""),"",
AND(L18&lt;&gt;0,OR(R18="?",R18="")),"Fyll i R-kolumnen",
OR(C18="3x3 FMC",C18="3x3 MBLD"),R18,
AND(L18&lt;&gt;0,OR(S18="?",S18="")),"Fyll i S-kolumnen",
OR(COUNTIF(Info!$A$22:A81,C18)&gt;0,C18=""),"",
TRUE,Y18*R18/L18)</f>
        <v/>
      </c>
      <c r="U18" s="45"/>
      <c r="V18" s="47" t="str">
        <f>IFS(OR(COUNTIF(Info!$A$22:A81,C18)&gt;0,C18=""),"",
OR("3x3 MBLD"=C18,"3x3 FMC"=C18)=TRUE,"",
TRUE,MROUND((J18/N18),0.01))</f>
        <v/>
      </c>
      <c r="W18" s="48" t="str">
        <f>IFS(OR(COUNTIF(Info!$A$22:A81,C18)&gt;0,C18=""),"",
TRUE,L18/N18)</f>
        <v/>
      </c>
      <c r="X18" s="49" t="str">
        <f>IFS(OR(COUNTIF(Info!$A$22:A81,C18)&gt;0,C18=""),"",
OR("3x3 MBLD"=C18,"3x3 FMC"=C18)=TRUE,"",
OR(C18="4x4 BLD",C18="5x5 BLD",C18="4x4 / 5x5 BLD",AND(C18="3x3 BLD",H18&lt;&gt;""))=TRUE,MIN(V18,P18),
TRUE,MIN(P18,V18,MROUND(((V18*2/3)+((Y18-1.625)/2)),0.01)))</f>
        <v/>
      </c>
      <c r="Y18" s="48" t="str">
        <f>IFERROR(__xludf.DUMMYFUNCTION("IFS(OR(COUNTIF(Info!$A$22:A81,C18)&gt;0,C18=""""),"""",
FILTER(Info!$F$2:F81, Info!$A$2:A81 = C18) = ""Yes"",H18/AA18,
""3x3 FMC""=C18,Info!$B$9,""3x3 MBLD""=C18,Info!$B$18,
AND(E18=1,I18="""",H18="""",Q18=""No"",G18&gt;SUMIF(Info!$A$2:A81,C18,Info!$B$2:B81)*1."&amp;"5),
MIN(SUMIF(Info!$A$2:A81,C18,Info!$B$2:B81)*1.1,SUMIF(Info!$A$2:A81,C18,Info!$B$2:B81)*(1.15-(0.15*(SUMIF(Info!$A$2:A81,C18,Info!$B$2:B81)*1.5)/G18))),
AND(E18=1,I18="""",H18="""",Q18=""Yes"",G18&gt;SUMIF(Info!$A$2:A81,C18,Info!$C$2:C81)*1.5),
MIN(SUMIF(I"&amp;"nfo!$A$2:A81,C18,Info!$C$2:C81)*1.1,SUMIF(Info!$A$2:A81,C18,Info!$C$2:C81)*(1.15-(0.15*(SUMIF(Info!$A$2:A81,C18,Info!$C$2:C81)*1.5)/G18))),
Q18=""No"",SUMIF(Info!$A$2:A81,C18,Info!$B$2:B81),
Q18=""Yes"",SUMIF(Info!$A$2:A81,C18,Info!$C$2:C81))"),"")</f>
        <v/>
      </c>
      <c r="Z18" s="47" t="str">
        <f>IFS(OR(COUNTIF(Info!$A$22:A81,C18)&gt;0,C18=""),"",
AND(OR("3x3 FMC"=C18,"3x3 MBLD"=C18),I18&lt;&gt;""),1,
AND(OR(H18&lt;&gt;"",I18&lt;&gt;""),F18="Avg of 5"),2,
F18="Avg of 5",AA18,
AND(OR(H18&lt;&gt;"",I18&lt;&gt;""),F18="Mean of 3",C18="6x6 / 7x7"),2,
AND(OR(H18&lt;&gt;"",I18&lt;&gt;""),F18="Mean of 3"),1,
F18="Mean of 3",AA18,
AND(OR(H18&lt;&gt;"",I18&lt;&gt;""),F18="Best of 3",C18="4x4 / 5x5 BLD"),2,
AND(OR(H18&lt;&gt;"",I18&lt;&gt;""),F18="Best of 3"),1,
F18="Best of 2",AA18,
F18="Best of 1",AA18)</f>
        <v/>
      </c>
      <c r="AA18" s="47" t="str">
        <f>IFS(OR(COUNTIF(Info!$A$22:A81,C18)&gt;0,C18=""),"",
AND(OR("3x3 MBLD"=C18,"3x3 FMC"=C18),F18="Best of 1"=TRUE),1,
AND(OR("3x3 MBLD"=C18,"3x3 FMC"=C18),F18="Best of 2"=TRUE),2,
AND(OR("3x3 MBLD"=C18,"3x3 FMC"=C18),OR(F18="Best of 3",F18="Mean of 3")=TRUE),3,
AND(F18="Mean of 3",C18="6x6 / 7x7"),6,
AND(F18="Best of 3",C18="4x4 / 5x5 BLD"),6,
F18="Avg of 5",5,F18="Mean of 3",3,F18="Best of 3",3,F18="Best of 2",2,F18="Best of 1",1)</f>
        <v/>
      </c>
      <c r="AB18" s="50"/>
    </row>
    <row r="19" ht="15.75" customHeight="1">
      <c r="A19" s="35">
        <f>IFERROR(__xludf.DUMMYFUNCTION("IFS(indirect(""A""&amp;row()-1)=""Start"",TIME(indirect(""A""&amp;row()-2),indirect(""B""&amp;row()-2),0),
$O$2=""No"",TIME(0,($A$6*60+$B$6)+CEILING(SUM($L$7:indirect(""L""&amp;row()-1)),5),0),
D19=$E$2,TIME(0,($A$6*60+$B$6)+CEILING(SUM(IFERROR(FILTER($L$7:indirect(""L"""&amp;"&amp;row()-1),REGEXMATCH($D$7:indirect(""D""&amp;row()-1),$E$2)),0)),5),0),
TRUE,""=time(hh;mm;ss)"")"),0.4166666666666667)</f>
        <v>0.4166666667</v>
      </c>
      <c r="B19" s="36">
        <f>IFERROR(__xludf.DUMMYFUNCTION("IFS($O$2=""No"",TIME(0,($A$6*60+$B$6)+CEILING(SUM($L$7:indirect(""L""&amp;row())),5),0),
D19=$E$2,TIME(0,($A$6*60+$B$6)+CEILING(SUM(FILTER($L$7:indirect(""L""&amp;row()),REGEXMATCH($D$7:indirect(""D""&amp;row()),$E$2))),5),0),
A19=""=time(hh;mm;ss)"",CONCATENATE(""Sk"&amp;"riv tid i A""&amp;row()),
AND(A19&lt;&gt;"""",A19&lt;&gt;""=time(hh;mm;ss)""),A19+TIME(0,CEILING(indirect(""L""&amp;row()),5),0))"),0.4166666666666667)</f>
        <v>0.4166666667</v>
      </c>
      <c r="C19" s="37"/>
      <c r="D19" s="38" t="str">
        <f t="shared" si="2"/>
        <v>Stora salen</v>
      </c>
      <c r="E19" s="38" t="str">
        <f>IFERROR(__xludf.DUMMYFUNCTION("IFS(COUNTIF(Info!$A$22:A81,C19)&gt;0,"""",
AND(OR(""3x3 FMC""=C19,""3x3 MBLD""=C19),COUNTIF($C$7:indirect(""C""&amp;row()),indirect(""C""&amp;row()))&gt;=13),""E - Error"",
AND(OR(""3x3 FMC""=C19,""3x3 MBLD""=C19),COUNTIF($C$7:indirect(""C""&amp;row()),indirect(""C""&amp;row()"&amp;"))=12),""Final - A3"",
AND(OR(""3x3 FMC""=C19,""3x3 MBLD""=C19),COUNTIF($C$7:indirect(""C""&amp;row()),indirect(""C""&amp;row()))=11),""Final - A2"",
AND(OR(""3x3 FMC""=C19,""3x3 MBLD""=C19),COUNTIF($C$7:indirect(""C""&amp;row()),indirect(""C""&amp;row()))=10),""Final - "&amp;"A1"",
AND(OR(""3x3 FMC""=C19,""3x3 MBLD""=C19),COUNTIF($C$7:indirect(""C""&amp;row()),indirect(""C""&amp;row()))=9,
COUNTIF($C$7:$C$102,indirect(""C""&amp;row()))&gt;9),""R3 - A3"",
AND(OR(""3x3 FMC""=C19,""3x3 MBLD""=C19),COUNTIF($C$7:indirect(""C""&amp;row()),indirect(""C"&amp;"""&amp;row()))=9,
COUNTIF($C$7:$C$102,indirect(""C""&amp;row()))&lt;=9),""Final - A3"",
AND(OR(""3x3 FMC""=C19,""3x3 MBLD""=C19),COUNTIF($C$7:indirect(""C""&amp;row()),indirect(""C""&amp;row()))=8,
COUNTIF($C$7:$C$102,indirect(""C""&amp;row()))&gt;9),""R3 - A2"",
AND(OR(""3x3 FMC"&amp;"""=C19,""3x3 MBLD""=C19),COUNTIF($C$7:indirect(""C""&amp;row()),indirect(""C""&amp;row()))=8,
COUNTIF($C$7:$C$102,indirect(""C""&amp;row()))&lt;=9),""Final - A2"",
AND(OR(""3x3 FMC""=C19,""3x3 MBLD""=C19),COUNTIF($C$7:indirect(""C""&amp;row()),indirect(""C""&amp;row()))=7,
COUN"&amp;"TIF($C$7:$C$102,indirect(""C""&amp;row()))&gt;9),""R3 - A1"",
AND(OR(""3x3 FMC""=C19,""3x3 MBLD""=C19),COUNTIF($C$7:indirect(""C""&amp;row()),indirect(""C""&amp;row()))=7,
COUNTIF($C$7:$C$102,indirect(""C""&amp;row()))&lt;=9),""Final - A1"",
AND(OR(""3x3 FMC""=C19,""3x3 MBLD"""&amp;"=C19),COUNTIF($C$7:indirect(""C""&amp;row()),indirect(""C""&amp;row()))=6,
COUNTIF($C$7:$C$102,indirect(""C""&amp;row()))&gt;6),""R2 - A3"",
AND(OR(""3x3 FMC""=C19,""3x3 MBLD""=C19),COUNTIF($C$7:indirect(""C""&amp;row()),indirect(""C""&amp;row()))=6,
COUNTIF($C$7:$C$102,indirec"&amp;"t(""C""&amp;row()))&lt;=6),""Final - A3"",
AND(OR(""3x3 FMC""=C19,""3x3 MBLD""=C19),COUNTIF($C$7:indirect(""C""&amp;row()),indirect(""C""&amp;row()))=5,
COUNTIF($C$7:$C$102,indirect(""C""&amp;row()))&gt;6),""R2 - A2"",
AND(OR(""3x3 FMC""=C19,""3x3 MBLD""=C19),COUNTIF($C$7:indi"&amp;"rect(""C""&amp;row()),indirect(""C""&amp;row()))=5,
COUNTIF($C$7:$C$102,indirect(""C""&amp;row()))&lt;=6),""Final - A2"",
AND(OR(""3x3 FMC""=C19,""3x3 MBLD""=C19),COUNTIF($C$7:indirect(""C""&amp;row()),indirect(""C""&amp;row()))=4,
COUNTIF($C$7:$C$102,indirect(""C""&amp;row()))&gt;6),"&amp;"""R2 - A1"",
AND(OR(""3x3 FMC""=C19,""3x3 MBLD""=C19),COUNTIF($C$7:indirect(""C""&amp;row()),indirect(""C""&amp;row()))=4,
COUNTIF($C$7:$C$102,indirect(""C""&amp;row()))&lt;=6),""Final - A1"",
AND(OR(""3x3 FMC""=C19,""3x3 MBLD""=C19),COUNTIF($C$7:indirect(""C""&amp;row()),i"&amp;"ndirect(""C""&amp;row()))=3),""R1 - A3"",
AND(OR(""3x3 FMC""=C19,""3x3 MBLD""=C19),COUNTIF($C$7:indirect(""C""&amp;row()),indirect(""C""&amp;row()))=2),""R1 - A2"",
AND(OR(""3x3 FMC""=C19,""3x3 MBLD""=C19),COUNTIF($C$7:indirect(""C""&amp;row()),indirect(""C""&amp;row()))=1),"&amp;"""R1 -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C19),ROUNDUP((FILTER(Info!$H$2:H81,Info!$A$2:A81=C19)/FILTER(Info!$H$2:H81,Info!$A$2:A81=$K$2))*$I$2)&gt;99),3,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C19),ROUNDUP((FILTER(Info!$H$2:H81,Info!$A$2:A81=C19)/FILTER(Info!$H$2:H81,Info!$A$2:A81=$K$2))*$I$2)&gt;15),2,
AND(COUNTIF($C$7:indirect(""C""&amp;row()),indirect(""C""&amp;row()))=2,COUNTIF($C$7:$C$102,indirect(""C""&amp;row()))=COUNTIF($"&amp;"C$7:indirect(""C""&amp;row()),indirect(""C""&amp;row()))),""Final"",
COUNTIF($C$7:indirect(""C""&amp;row()),indirect(""C""&amp;row()))=1,1,
COUNTIF($C$7:indirect(""C""&amp;row()),indirect(""C""&amp;row()))=0,"""")"),"")</f>
        <v/>
      </c>
      <c r="F19" s="39" t="str">
        <f>IFERROR(__xludf.DUMMYFUNCTION("IFS(C19="""","""",
AND(C19=""3x3 FMC"",MOD(COUNTIF($C$7:indirect(""C""&amp;row()),indirect(""C""&amp;row())),3)=0),""Mean of 3"",
AND(C19=""3x3 MBLD"",MOD(COUNTIF($C$7:indirect(""C""&amp;row()),indirect(""C""&amp;row())),3)=0),""Best of 3"",
AND(C19=""3x3 FMC"",MOD(COUNT"&amp;"IF($C$7:indirect(""C""&amp;row()),indirect(""C""&amp;row())),3)=2,
COUNTIF($C$7:$C$102,indirect(""C""&amp;row()))&lt;=COUNTIF($C$7:indirect(""C""&amp;row()),indirect(""C""&amp;row()))),""Best of 2"",
AND(C19=""3x3 FMC"",MOD(COUNTIF($C$7:indirect(""C""&amp;row()),indirect(""C""&amp;row("&amp;"))),3)=2,
COUNTIF($C$7:$C$102,indirect(""C""&amp;row()))&gt;COUNTIF($C$7:indirect(""C""&amp;row()),indirect(""C""&amp;row()))),""Mean of 3"",
AND(C19=""3x3 MBLD"",MOD(COUNTIF($C$7:indirect(""C""&amp;row()),indirect(""C""&amp;row())),3)=2,
COUNTIF($C$7:$C$102,indirect(""C""&amp;row("&amp;")))&lt;=COUNTIF($C$7:indirect(""C""&amp;row()),indirect(""C""&amp;row()))),""Best of 2"",
AND(C19=""3x3 MBLD"",MOD(COUNTIF($C$7:indirect(""C""&amp;row()),indirect(""C""&amp;row())),3)=2,
COUNTIF($C$7:$C$102,indirect(""C""&amp;row()))&gt;COUNTIF($C$7:indirect(""C""&amp;row()),indirect("&amp;"""C""&amp;row()))),""Best of 3"",
AND(C19=""3x3 FMC"",MOD(COUNTIF($C$7:indirect(""C""&amp;row()),indirect(""C""&amp;row())),3)=1,
COUNTIF($C$7:$C$102,indirect(""C""&amp;row()))&lt;=COUNTIF($C$7:indirect(""C""&amp;row()),indirect(""C""&amp;row()))),""Best of 1"",
AND(C19=""3x3 FMC"""&amp;",MOD(COUNTIF($C$7:indirect(""C""&amp;row()),indirect(""C""&amp;row())),3)=1,
COUNTIF($C$7:$C$102,indirect(""C""&amp;row()))=COUNTIF($C$7:indirect(""C""&amp;row()),indirect(""C""&amp;row()))+1),""Best of 2"",
AND(C19=""3x3 FMC"",MOD(COUNTIF($C$7:indirect(""C""&amp;row()),indirect"&amp;"(""C""&amp;row())),3)=1,
COUNTIF($C$7:$C$102,indirect(""C""&amp;row()))&gt;COUNTIF($C$7:indirect(""C""&amp;row()),indirect(""C""&amp;row()))),""Mean of 3"",
AND(C19=""3x3 MBLD"",MOD(COUNTIF($C$7:indirect(""C""&amp;row()),indirect(""C""&amp;row())),3)=1,
COUNTIF($C$7:$C$102,indirect"&amp;"(""C""&amp;row()))&lt;=COUNTIF($C$7:indirect(""C""&amp;row()),indirect(""C""&amp;row()))),""Best of 1"",
AND(C19=""3x3 MBLD"",MOD(COUNTIF($C$7:indirect(""C""&amp;row()),indirect(""C""&amp;row())),3)=1,
COUNTIF($C$7:$C$102,indirect(""C""&amp;row()))=COUNTIF($C$7:indirect(""C""&amp;row()"&amp;"),indirect(""C""&amp;row()))+1),""Best of 2"",
AND(C19=""3x3 MBLD"",MOD(COUNTIF($C$7:indirect(""C""&amp;row()),indirect(""C""&amp;row())),3)=1,
COUNTIF($C$7:$C$102,indirect(""C""&amp;row()))&gt;COUNTIF($C$7:indirect(""C""&amp;row()),indirect(""C""&amp;row()))),""Best of 3"",
TRUE,("&amp;"IFERROR(FILTER(Info!$D$2:D81, Info!$A$2:A81 = C19), """")))"),"")</f>
        <v/>
      </c>
      <c r="G19" s="40" t="str">
        <f>IFERROR(__xludf.DUMMYFUNCTION("IFS(OR(COUNTIF(Info!$A$22:A81,C19)&gt;0,C19=""""),"""",
OR(""3x3 MBLD""=C19,""3x3 FMC""=C19),60,
AND(E19=1,FILTER(Info!$F$2:F81, Info!$A$2:A81 = C19) = ""No""),FILTER(Info!$P$2:P81, Info!$A$2:A81 = C19),
AND(E19=2,FILTER(Info!$F$2:F81, Info!$A$2:A81 = C19) ="&amp;" ""No""),FILTER(Info!$Q$2:Q81, Info!$A$2:A81 = C19),
AND(E19=3,FILTER(Info!$F$2:F81, Info!$A$2:A81 = C19) = ""No""),FILTER(Info!$R$2:R81, Info!$A$2:A81 = C19),
AND(E19=""Final"",FILTER(Info!$F$2:F81, Info!$A$2:A81 = C19) = ""No""),FILTER(Info!$S$2:S81, In"&amp;"fo!$A$2:A81 = C19),
FILTER(Info!$F$2:F81, Info!$A$2:A81 = C19) = ""Yes"","""")"),"")</f>
        <v/>
      </c>
      <c r="H19" s="40" t="str">
        <f>IFERROR(__xludf.DUMMYFUNCTION("IFS(OR(COUNTIF(Info!$A$22:A81,C19)&gt;0,C19=""""),"""",
OR(""3x3 MBLD""=C19,""3x3 FMC""=C19)=TRUE,"""",
FILTER(Info!$F$2:F81, Info!$A$2:A81 = C19) = ""Yes"",FILTER(Info!$O$2:O81, Info!$A$2:A81 = C19),
FILTER(Info!$F$2:F81, Info!$A$2:A81 = C19) = ""No"",IF(G1"&amp;"9="""",FILTER(Info!$O$2:O81, Info!$A$2:A81 = C19),""""))"),"")</f>
        <v/>
      </c>
      <c r="I19" s="40" t="str">
        <f>IFERROR(__xludf.DUMMYFUNCTION("IFS(OR(COUNTIF(Info!$A$22:A81,C19)&gt;0,C19="""",H19&lt;&gt;""""),"""",
AND(E19&lt;&gt;1,E19&lt;&gt;""R1 - A1"",E19&lt;&gt;""R1 - A2"",E19&lt;&gt;""R1 - A3""),"""",
FILTER(Info!$E$2:E81, Info!$A$2:A81 = C19) = ""Yes"",IF(H19="""",FILTER(Info!$L$2:L81, Info!$A$2:A81 = C19),""""),
FILTER(I"&amp;"nfo!$E$2:E81, Info!$A$2:A81 = C19) = ""No"","""")"),"")</f>
        <v/>
      </c>
      <c r="J19" s="40" t="str">
        <f>IFERROR(__xludf.DUMMYFUNCTION("IFS(OR(COUNTIF(Info!$A$22:A81,C19)&gt;0,C19="""",""3x3 MBLD""=C19,""3x3 FMC""=C19),"""",
AND(E19=1,FILTER(Info!$H$2:H81,Info!$A$2:A81 = C19)&lt;=FILTER(Info!$H$2:H81,Info!$A$2:A81=$K$2)),
ROUNDUP((FILTER(Info!$H$2:H81,Info!$A$2:A81 = C19)/FILTER(Info!$H$2:H81,I"&amp;"nfo!$A$2:A81=$K$2))*$I$2),
AND(E19=1,FILTER(Info!$H$2:H81,Info!$A$2:A81 = C19)&gt;FILTER(Info!$H$2:H81,Info!$A$2:A81=$K$2)),""K2 - Error"",
AND(E19=2,FILTER($J$7:indirect(""J""&amp;row()-1),$C$7:indirect(""C""&amp;row()-1)=C19)&lt;=7),""J - Error"",
E19=2,FLOOR(FILTER("&amp;"$J$7:indirect(""J""&amp;row()-1),$C$7:indirect(""C""&amp;row()-1)=C19)*Info!$T$32),
AND(E19=3,FILTER($J$7:indirect(""J""&amp;row()-1),$C$7:indirect(""C""&amp;row()-1)=C19)&lt;=15),""J - Error"",
E19=3,FLOOR(Info!$T$32*FLOOR(FILTER($J$7:indirect(""J""&amp;row()-1),$C$7:indirect("&amp;"""C""&amp;row()-1)=C19)*Info!$T$32)),
AND(E19=""Final"",COUNTIF($C$7:$C$102,C19)=2,FILTER($J$7:indirect(""J""&amp;row()-1),$C$7:indirect(""C""&amp;row()-1)=C19)&lt;=7),""J - Error"",
AND(E19=""Final"",COUNTIF($C$7:$C$102,C19)=2),
MIN(P19,FLOOR(FILTER($J$7:indirect(""J"""&amp;"&amp;row()-1),$C$7:indirect(""C""&amp;row()-1)=C19)*Info!$T$32)),
AND(E19=""Final"",COUNTIF($C$7:$C$102,C19)=3,FILTER($J$7:indirect(""J""&amp;row()-1),$C$7:indirect(""C""&amp;row()-1)=C19)&lt;=15),""J - Error"",
AND(E19=""Final"",COUNTIF($C$7:$C$102,C19)=3),
MIN(P19,FLOOR(I"&amp;"nfo!$T$32*FLOOR(FILTER($J$7:indirect(""J""&amp;row()-1),$C$7:indirect(""C""&amp;row()-1)=C19)*Info!$T$32))),
AND(E19=""Final"",COUNTIF($C$7:$C$102,C19)&gt;=4,FILTER($J$7:indirect(""J""&amp;row()-1),$C$7:indirect(""C""&amp;row()-1)=C19)&lt;=99),""J - Error"",
AND(E19=""Final"","&amp;"COUNTIF($C$7:$C$102,C19)&gt;=4),
MIN(P19,FLOOR(Info!$T$32*FLOOR(Info!$T$32*FLOOR(FILTER($J$7:indirect(""J""&amp;row()-1),$C$7:indirect(""C""&amp;row()-1)=C19)*Info!$T$32)))))"),"")</f>
        <v/>
      </c>
      <c r="K19" s="41" t="str">
        <f>IFERROR(__xludf.DUMMYFUNCTION("IFS(AND(indirect(""D""&amp;row()+2)&lt;&gt;$E$2,indirect(""D""&amp;row()+1)=""""),CONCATENATE(""Tom rad! Kopiera hela rad ""&amp;row()&amp;"" dit""),
AND(indirect(""D""&amp;row()-1)&lt;&gt;""Rum"",indirect(""D""&amp;row()-1)=""""),CONCATENATE(""Tom rad! Kopiera hela rad ""&amp;row()&amp;"" dit""),
"&amp;"C19="""","""",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OR(AND(D19&lt;&gt;$E$2,D19&lt;&gt;$E$4,D19&lt;&gt;$K$4,D19&lt;&gt;$Q$4),D19="&amp;"""""),CONCATENATE(""Rum: ""&amp;D19&amp;"" finns ej, byt i D""&amp;row()),
AND(indirect(""D""&amp;row()-1)=""Rum"",C19=""""),CONCATENATE(""För att börja: skriv i cell C""&amp;row()),
AND(C19=""Paus"",M19&lt;=0),CONCATENATE(""Skriv pausens längd i M""&amp;row()),
OR(COUNTIF(Info!$A$"&amp;"22:A81,C19)&gt;0,C19=""""),"""",
AND(D19&lt;&gt;$E$2,$O$2=""Yes"",A19=""=time(hh;mm;ss)""),CONCATENATE(""Skriv starttid för ""&amp;C19&amp;"" i A""&amp;row()),
E19=""E - Error"",CONCATENATE(""För många ""&amp;C19&amp;"" rundor!""),
AND(C19&lt;&gt;""3x3 FMC"",C19&lt;&gt;""3x3 MBLD"",E19&lt;&gt;1,E19&lt;&gt;"&amp;"""Final"",IFERROR(FILTER($E$7:indirect(""E""&amp;row()-1),
$E$7:indirect(""E""&amp;row()-1)=E19-1,$C$7:indirect(""C""&amp;row()-1)=C19))=FALSE),CONCATENATE(""Kan ej vara R""&amp;E19&amp;"", saknar R""&amp;(E19-1)),
AND(indirect(""E""&amp;row()-1)&lt;&gt;""Omgång"",IFERROR(FILTER($E$7:indi"&amp;"rect(""E""&amp;row()-1),
$E$7:indirect(""E""&amp;row()-1)=E19,$C$7:indirect(""C""&amp;row()-1)=C19)=E19)=TRUE),CONCATENATE(""Runda ""&amp;E19&amp;"" i ""&amp;C19&amp;"" finns redan""),
AND(C19&lt;&gt;""3x3 BLD"",C19&lt;&gt;""4x4 BLD"",C19&lt;&gt;""5x5 BLD"",C19&lt;&gt;""4x4 / 5x5 BLD"",OR(E19=2,E19=3,E19="&amp;"""Final""),H19&lt;&gt;""""),CONCATENATE(E19&amp;""-rundor brukar ej ha c.t.l.""),
AND(OR(E19=2,E19=3,E19=""Final""),I19&lt;&gt;""""),CONCATENATE(E19&amp;""-rundor brukar ej ha cutoff""),
AND(OR(C19=""3x3 FMC"",C19=""3x3 MBLD""),OR(E19=1,E19=2,E19=3,E19=""Final"")),CONCATENAT"&amp;"E(C19&amp;""s omgång är Rx - Ax""),
AND(C19&lt;&gt;""3x3 MBLD"",C19&lt;&gt;""3x3 FMC"",FILTER(Info!$D$2:D81, Info!$A$2:A81 = C19)&lt;&gt;F19),CONCATENATE(C19&amp;"" måste ha formatet ""&amp;FILTER(Info!$D$2:D81, Info!$A$2:A81 = C19)),
AND(C19=""3x3 MBLD"",OR(F19=""Avg of 5"",F19=""Mea"&amp;"n of 3"")),CONCATENATE(""Ogiltigt format för ""&amp;C19),
AND(C19=""3x3 FMC"",OR(F19=""Avg of 5"",F19=""Best of 3"")),CONCATENATE(""Ogiltigt format för ""&amp;C19),
AND(OR(F19=""Best of 1"",F19=""Best of 2"",F19=""Best of 3""),I19&lt;&gt;""""),CONCATENATE(F19&amp;""-rundor"&amp;" får ej ha cutoff""),
AND(OR(C19=""3x3 FMC"",C19=""3x3 MBLD""),G19&lt;&gt;60),CONCATENATE(C19&amp;"" måste ha time limit: 60""),
AND(OR(C19=""3x3 FMC"",C19=""3x3 MBLD""),H19&lt;&gt;""""),CONCATENATE(C19&amp;"" kan inte ha c.t.l.""),
AND(G19&lt;&gt;"""",H19&lt;&gt;""""),""Välj time limit"&amp;" ELLER c.t.l"",
AND(C19=""6x6 / 7x7"",G19="""",H19=""""),""Sätt time limit (x / y) eller c.t.l (z)"",
AND(G19="""",H19=""""),""Sätt en time limit eller c.t.l"",
AND(OR(C19=""6x6 / 7x7"",C19=""4x4 / 5x5 BLD""),G19&lt;&gt;"""",REGEXMATCH(TO_TEXT(G19),"" / "")=FAL"&amp;"SE),CONCATENATE(""Time limit måste vara x / y""),
AND(H19&lt;&gt;"""",I19&lt;&gt;""""),CONCATENATE(C19&amp;"" brukar ej ha cutoff OCH c.t.l""),
AND(E19=1,H19="""",I19="""",OR(FILTER(Info!$E$2:E81, Info!$A$2:A81 = C19) = ""Yes"",FILTER(Info!$F$2:F81, Info!$A$2:A81 = C19) "&amp;"= ""Yes""),OR(F19=""Avg of 5"",F19=""Mean of 3"")),CONCATENATE(C19&amp;"" bör ha cutoff eller c.t.l""),
AND(C19=""6x6 / 7x7"",I19&lt;&gt;"""",REGEXMATCH(TO_TEXT(I19),"" / "")=FALSE),CONCATENATE(""Cutoff måste vara x / y""),
AND(H19&lt;&gt;"""",ISNUMBER(H19)=FALSE),""C.t."&amp;"l. måste vara positivt tal (x)"",
AND(C19&lt;&gt;""6x6 / 7x7"",I19&lt;&gt;"""",ISNUMBER(I19)=FALSE),""Cutoff måste vara positivt tal (x)"",
AND(H19&lt;&gt;"""",FILTER(Info!$E$2:E81, Info!$A$2:A81 = C19) = ""No"",FILTER(Info!$F$2:F81, Info!$A$2:A81 = C19) = ""No""),CONCATEN"&amp;"ATE(C19&amp;"" brukar inte ha c.t.l.""),
AND(I19&lt;&gt;"""",FILTER(Info!$E$2:E81, Info!$A$2:A81 = C19) = ""No"",FILTER(Info!$F$2:F81, Info!$A$2:A81 = C19) = ""No""),CONCATENATE(C19&amp;"" brukar inte ha cutoff""),
AND(H19="""",FILTER(Info!$F$2:F81, Info!$A$2:A81 = C19"&amp;") = ""Yes""),CONCATENATE(C19&amp;"" brukar ha c.t.l.""),
AND(C19&lt;&gt;""6x6 / 7x7"",C19&lt;&gt;""4x4 / 5x5 BLD"",G19&lt;&gt;"""",ISNUMBER(G19)=FALSE),""Time limit måste vara positivt tal (x)"",
J19=""J - Error"",CONCATENATE(""För få deltagare i R1 för ""&amp;COUNTIF($C$7:$C$102,"&amp;"indirect(""C""&amp;row()))&amp;"" rundor""),
J19=""K2 - Error"",CONCATENATE(C19&amp;"" är mer populär - byt i K2!""),
AND(C19&lt;&gt;""6x6 / 7x7"",C19&lt;&gt;""4x4 / 5x5 BLD"",G19&lt;&gt;"""",I19&lt;&gt;"""",G19&lt;=I19),""Time limit måste vara &gt; cutoff"",
AND(C19&lt;&gt;""6x6 / 7x7"",C19&lt;&gt;""4x4 / 5"&amp;"x5 BLD"",H19&lt;&gt;"""",I19&lt;&gt;"""",H19&lt;=I19),""C.t.l. måste vara &gt; cutoff"",
AND(C19&lt;&gt;""3x3 FMC"",C19&lt;&gt;""3x3 MBLD"",J19=""""),CONCATENATE(""Fyll i antal deltagare i J""&amp;row()),
AND(C19="""",OR(E19&lt;&gt;"""",F19&lt;&gt;"""",G19&lt;&gt;"""",H19&lt;&gt;"""",I19&lt;&gt;"""",J19&lt;&gt;"""")),""Skri"&amp;"v ALLTID gren / aktivitet först"",
AND(I19="""",H19="""",J19&lt;&gt;""""),J19,
OR(""3x3 FMC""=C19,""3x3 MBLD""=C19),J19,
AND(I19&lt;&gt;"""",""6x6 / 7x7""=C19),
IFS(ArrayFormula(SUM(IFERROR(SPLIT(I19,"" / ""))))&lt;(Info!$J$6+Info!$J$7)*2/3,CONCATENATE(""Höj helst cutof"&amp;"fs i ""&amp;C19),
ArrayFormula(SUM(IFERROR(SPLIT(I19,"" / ""))))&lt;=(Info!$J$6+Info!$J$7),ROUNDUP(J19*Info!$J$22),
ArrayFormula(SUM(IFERROR(SPLIT(I19,"" / ""))))&lt;=Info!$J$6+Info!$J$7,ROUNDUP(J19*Info!$K$22),
ArrayFormula(SUM(IFERROR(SPLIT(I19,"" / ""))))&lt;=Info!"&amp;"$K$6+Info!$K$7,ROUNDUP(J19*Info!L$22),
ArrayFormula(SUM(IFERROR(SPLIT(I19,"" / ""))))&lt;=Info!$L$6+Info!$L$7,ROUNDUP(J19*Info!$M$22),
ArrayFormula(SUM(IFERROR(SPLIT(I19,"" / ""))))&lt;=Info!$M$6+Info!$M$7,ROUNDUP(J19*Info!$N$22),
ArrayFormula(SUM(IFERROR(SPLIT"&amp;"(I19,"" / ""))))&lt;=(Info!$N$6+Info!$N$7)*3/2,ROUNDUP(J19*Info!$J$26),
ArrayFormula(SUM(IFERROR(SPLIT(I19,"" / ""))))&gt;(Info!$N$6+Info!$N$7)*3/2,CONCATENATE(""Sänk helst cutoffs i ""&amp;C19)),
AND(I19&lt;&gt;"""",FILTER(Info!$E$2:E81, Info!$A$2:A81 = C19) = ""Yes""),"&amp;"
IFS(I19&lt;FILTER(Info!$J$2:J81, Info!$A$2:A81 = C19)*2/3,CONCATENATE(""Höj helst cutoff i ""&amp;C19),
I19&lt;=FILTER(Info!$J$2:J81, Info!$A$2:A81 = C19),ROUNDUP(J19*Info!$J$22),
I19&lt;=FILTER(Info!$K$2:K81, Info!$A$2:A81 = C19),ROUNDUP(J19*Info!$K$22),
I19&lt;=FILTER"&amp;"(Info!$L$2:L81, Info!$A$2:A81 = C19),ROUNDUP(J19*Info!L$22),
I19&lt;=FILTER(Info!$M$2:M81, Info!$A$2:A81 = C19),ROUNDUP(J19*Info!$M$22),
I19&lt;=FILTER(Info!$N$2:N81, Info!$A$2:A81 = C19),ROUNDUP(J19*Info!$N$22),
I19&lt;=FILTER(Info!$N$2:N81, Info!$A$2:A81 = C19)*"&amp;"3/2,ROUNDUP(J19*Info!$J$26),
I19&gt;FILTER(Info!$N$2:N81, Info!$A$2:A81 = C19)*3/2,CONCATENATE(""Sänk helst cutoff i ""&amp;C19)),
AND(H19&lt;&gt;"""",""6x6 / 7x7""=C19),
IFS(H19/3&lt;=(Info!$J$6+Info!$J$7)*2/3,""Höj helst cumulative time limit"",
H19/3&lt;=Info!$J$6+Info!$"&amp;"J$7,ROUNDUP(J19*Info!$J$24),
H19/3&lt;=Info!$K$6+Info!$K$7,ROUNDUP(J19*Info!$K$24),
H19/3&lt;=Info!$L$6+Info!$L$7,ROUNDUP(J19*Info!L$24),
H19/3&lt;=Info!$M$6+Info!$M$7,ROUNDUP(J19*Info!$M$24),
H19/3&lt;=Info!$N$6+Info!$N$7,ROUNDUP(J19*Info!$N$24),
H19/3&lt;=(Info!$N$6+I"&amp;"nfo!$N$7)*3/2,ROUNDUP(J19*Info!$L$26),
H19/3&gt;(Info!$J$6+Info!$J$7)*3/2,""Sänk helst cumulative time limit""),
AND(H19&lt;&gt;"""",FILTER(Info!$F$2:F81, Info!$A$2:A81 = C19) = ""Yes""),
IFS(H19&lt;=FILTER(Info!$J$2:J81, Info!$A$2:A81 = C19)*2/3,CONCATENATE(""Höj he"&amp;"lst c.t.l. i ""&amp;C19),
H19&lt;=FILTER(Info!$J$2:J81, Info!$A$2:A81 = C19),ROUNDUP(J19*Info!$J$24),
H19&lt;=FILTER(Info!$K$2:K81, Info!$A$2:A81 = C19),ROUNDUP(J19*Info!$K$24),
H19&lt;=FILTER(Info!$L$2:L81, Info!$A$2:A81 = C19),ROUNDUP(J19*Info!L$24),
H19&lt;=FILTER(Inf"&amp;"o!$M$2:M81, Info!$A$2:A81 = C19),ROUNDUP(J19*Info!$M$24),
H19&lt;=FILTER(Info!$N$2:N81, Info!$A$2:A81 = C19),ROUNDUP(J19*Info!$N$24),
H19&lt;=FILTER(Info!$N$2:N81, Info!$A$2:A81 = C19)*3/2,ROUNDUP(J19*Info!$L$26),
H19&gt;FILTER(Info!$N$2:N81, Info!$A$2:A81 = C19)*"&amp;"3/2,CONCATENATE(""Sänk helst c.t.l. i ""&amp;C19)),
AND(H19&lt;&gt;"""",FILTER(Info!$F$2:F81, Info!$A$2:A81 = C19) = ""No""),
IFS(H19/AA19&lt;=FILTER(Info!$J$2:J81, Info!$A$2:A81 = C19)*2/3,CONCATENATE(""Höj helst c.t.l. i ""&amp;C19),
H19/AA19&lt;=FILTER(Info!$J$2:J81, Info"&amp;"!$A$2:A81 = C19),ROUNDUP(J19*Info!$J$24),
H19/AA19&lt;=FILTER(Info!$K$2:K81, Info!$A$2:A81 = C19),ROUNDUP(J19*Info!$K$24),
H19/AA19&lt;=FILTER(Info!$L$2:L81, Info!$A$2:A81 = C19),ROUNDUP(J19*Info!L$24),
H19/AA19&lt;=FILTER(Info!$M$2:M81, Info!$A$2:A81 = C19),ROUND"&amp;"UP(J19*Info!$M$24),
H19/AA19&lt;=FILTER(Info!$N$2:N81, Info!$A$2:A81 = C19),ROUNDUP(J19*Info!$N$24),
H19/AA19&lt;=FILTER(Info!$N$2:N81, Info!$A$2:A81 = C19)*3/2,ROUNDUP(J19*Info!$L$26),
H19/AA19&gt;FILTER(Info!$N$2:N81, Info!$A$2:A81 = C19)*3/2,CONCATENATE(""Sänk "&amp;"helst c.t.l. i ""&amp;C19)),
AND(I19="""",H19&lt;&gt;"""",J19&lt;&gt;""""),ROUNDUP(J19*Info!$T$29),
AND(I19&lt;&gt;"""",H19="""",J19&lt;&gt;""""),ROUNDUP(J19*Info!$T$26))"),"")</f>
        <v/>
      </c>
      <c r="L19" s="42">
        <f>IFERROR(__xludf.DUMMYFUNCTION("IFS(C19="""",0,
C19=""3x3 FMC"",Info!$B$9*N19+M19, C19=""3x3 MBLD"",Info!$B$18*N19+M19,
COUNTIF(Info!$A$22:A81,C19)&gt;0,FILTER(Info!$B$22:B81,Info!$A$22:A81=C19)+M19,
AND(C19&lt;&gt;"""",E19=""""),CONCATENATE(""Fyll i E""&amp;row()),
AND(C19&lt;&gt;"""",E19&lt;&gt;"""",E19&lt;&gt;1,E1"&amp;"9&lt;&gt;2,E19&lt;&gt;3,E19&lt;&gt;""Final""),CONCATENATE(""Fel format på E""&amp;row()),
K19=CONCATENATE(""Runda ""&amp;E19&amp;"" i ""&amp;C19&amp;"" finns redan""),CONCATENATE(""Fel i E""&amp;row()),
AND(C19&lt;&gt;"""",F19=""""),CONCATENATE(""Fyll i F""&amp;row()),
K19=CONCATENATE(C19&amp;"" måste ha forma"&amp;"tet ""&amp;FILTER(Info!$D$2:D81, Info!$A$2:A81 = C19)),CONCATENATE(""Fel format på F""&amp;row()),
AND(C19&lt;&gt;"""",D19=1,H19="""",FILTER(Info!$F$2:F81, Info!$A$2:A81 = C19) = ""Yes""),CONCATENATE(""Fyll i H""&amp;row()),
AND(C19&lt;&gt;"""",D19=1,I19="""",FILTER(Info!$E$2:E8"&amp;"1, Info!$A$2:A81 = C19) = ""Yes""),CONCATENATE(""Fyll i I""&amp;row()),
AND(C19&lt;&gt;"""",J19=""""),CONCATENATE(""Fyll i J""&amp;row()),
AND(C19&lt;&gt;"""",K19="""",OR(H19&lt;&gt;"""",I19&lt;&gt;"""")),CONCATENATE(""Fyll i K""&amp;row()),
AND(C19&lt;&gt;"""",K19=""""),CONCATENATE(""Skriv samma"&amp;" i K""&amp;row()&amp;"" som i J""&amp;row()),
AND(OR(C19=""4x4 BLD"",C19=""5x5 BLD"",C19=""4x4 / 5x5 BLD"")=TRUE,V19&lt;=P19),
MROUND(H19*(Info!$T$20-((Info!$T$20-1)/2)*(1-V19/P19))*(1+((J19/K19)-1)*(1-Info!$J$24))*N19+(Info!$T$11/2)+(N19*Info!$T$11)+(N19*Info!$T$14*(O1"&amp;"9-1)),0.01)+M19,
AND(OR(C19=""4x4 BLD"",C19=""5x5 BLD"",C19=""4x4 / 5x5 BLD"")=TRUE,V19&gt;P19),
MROUND((((J19*Z19+K19*(AA19-Z19))*(H19*Info!$T$20/AA19))/X19)*(1+((J19/K19)-1)*(1-Info!$J$24))*(1+(X19-Info!$T$8)/100)+(Info!$T$11/2)+(N19*Info!$T$11)+(N19*Info!"&amp;"$T$14*(O19-1)),0.01)+M19,
AND(C19=""3x3 BLD"",V19&lt;=P19),
MROUND(H19*(Info!$T$23-((Info!$T$23-1)/2)*(1-V19/P19))*(1+((J19/K19)-1)*(1-Info!$J$24))*N19+(Info!$T$11/2)+(N19*Info!$T$11)+(N19*Info!$T$14*(O19-1)),0.01)+M19,
AND(C19=""3x3 BLD"",V19&gt;P19),
MROUND(("&amp;"((J19*Z19+K19*(AA19-Z19))*(H19*Info!$T$23/AA19))/X19)*(1+((J19/K19)-1)*(1-Info!$J$24))*(1+(X19-Info!$T$8)/100)+(Info!$T$11/2)+(N19*Info!$T$11)+(N19*Info!$T$14*(O19-1)),0.01)+M19,
E19=1,MROUND((((J19*Z19+K19*(AA19-Z19))*Y19)/X19)*(1+(X19-Info!$T$8)/100)+(N"&amp;"19*Info!$T$11)+(N19*Info!$T$14*(O19-1)),0.01)+M19,
AND(E19=""Final"",N19=1,FILTER(Info!$G$2:$G$20,Info!$A$2:$A$20=C19)=""Mycket svår""),
MROUND((((J19*Z19+K19*(AA19-Z19))*(Y19*Info!$T$38))/X19)*(1+(X19-Info!$T$8)/100)+(N19*Info!$T$11)+(N19*Info!$T$14*(O19"&amp;"-1)),0.01)+M19,
AND(E19=""Final"",N19=1,FILTER(Info!$G$2:$G$20,Info!$A$2:$A$20=C19)=""Svår""),
MROUND((((J19*Z19+K19*(AA19-Z19))*(Y19*Info!$T$35))/X19)*(1+(X19-Info!$T$8)/100)+(N19*Info!$T$11)+(N19*Info!$T$14*(O19-1)),0.01)+M19,
E19=""Final"",MROUND((((J1"&amp;"9*Z19+K19*(AA19-Z19))*(Y19*Info!$T$5))/X19)*(1+(X19-Info!$T$8)/100)+(N19*Info!$T$11)+(N19*Info!$T$14*(O19-1)),0.01)+M19,
OR(E19=2,E19=3),MROUND((((J19*Z19+K19*(AA19-Z19))*(Y19*Info!$T$2))/X19)*(1+(X19-Info!$T$8)/100)+(N19*Info!$T$11)+(N19*Info!$T$14*(O19-"&amp;"1)),0.01)+M19)"),0.0)</f>
        <v>0</v>
      </c>
      <c r="M19" s="43">
        <f t="shared" si="1"/>
        <v>0</v>
      </c>
      <c r="N19" s="43" t="str">
        <f>IFS(OR(COUNTIF(Info!$A$22:A81,C19)&gt;0,C19=""),"",
OR(C19="4x4 BLD",C19="5x5 BLD",C19="3x3 MBLD",C19="3x3 FMC",C19="4x4 / 5x5 BLD"),1,
AND(E19="Final",Q19="Yes",MAX(1,ROUNDUP(J19/P19))&gt;1),MAX(2,ROUNDUP(J19/P19)),
AND(E19="Final",Q19="No",MAX(1,ROUNDUP(J19/((P19*2)+2.625-Y19*1.5)))&gt;1),MAX(2,ROUNDUP(J19/((P19*2)+2.625-Y19*1.5))),
E19="Final",1,
Q19="Yes",MAX(2,ROUNDUP(J19/P19)),
TRUE,MAX(2,ROUNDUP(J19/((P19*2)+2.625-Y19*1.5))))</f>
        <v/>
      </c>
      <c r="O19" s="43" t="str">
        <f>IFS(OR(COUNTIF(Info!$A$22:A81,C19)&gt;0,C19=""),"",
OR("3x3 MBLD"=C19,"3x3 FMC"=C19)=TRUE,"",
D19=$E$4,$G$6,D19=$K$4,$M$6,D19=$Q$4,$S$6,D19=$W$4,$Y$6,
TRUE,$S$2)</f>
        <v/>
      </c>
      <c r="P19" s="43" t="str">
        <f>IFS(OR(COUNTIF(Info!$A$22:A81,C19)&gt;0,C19=""),"",
OR("3x3 MBLD"=C19,"3x3 FMC"=C19)=TRUE,"",
D19=$E$4,$E$6,D19=$K$4,$K$6,D19=$Q$4,$Q$6,D19=$W$4,$W$6,
TRUE,$Q$2)</f>
        <v/>
      </c>
      <c r="Q19" s="44" t="str">
        <f>IFS(OR(COUNTIF(Info!$A$22:A81,C19)&gt;0,C19=""),"",
OR("3x3 MBLD"=C19,"3x3 FMC"=C19)=TRUE,"",
D19=$E$4,$I$6,D19=$K$4,$O$6,D19=$Q$4,$U$6,D19=$W$4,$AA$6,
TRUE,$U$2)</f>
        <v/>
      </c>
      <c r="R19" s="45" t="str">
        <f>IFERROR(__xludf.DUMMYFUNCTION("IF(C19="""","""",IFERROR(FILTER(Info!$B$22:B81,Info!$A$22:A81=C19)+M19,""?""))"),"")</f>
        <v/>
      </c>
      <c r="S19" s="46" t="str">
        <f>IFS(OR(COUNTIF(Info!$A$22:A81,C19)&gt;0,C19=""),"",
AND(H19="",I19=""),J19,
TRUE,"?")</f>
        <v/>
      </c>
      <c r="T19" s="45" t="str">
        <f>IFS(OR(COUNTIF(Info!$A$22:A81,C19)&gt;0,C19=""),"",
AND(L19&lt;&gt;0,OR(R19="?",R19="")),"Fyll i R-kolumnen",
OR(C19="3x3 FMC",C19="3x3 MBLD"),R19,
AND(L19&lt;&gt;0,OR(S19="?",S19="")),"Fyll i S-kolumnen",
OR(COUNTIF(Info!$A$22:A81,C19)&gt;0,C19=""),"",
TRUE,Y19*R19/L19)</f>
        <v/>
      </c>
      <c r="U19" s="45"/>
      <c r="V19" s="47" t="str">
        <f>IFS(OR(COUNTIF(Info!$A$22:A81,C19)&gt;0,C19=""),"",
OR("3x3 MBLD"=C19,"3x3 FMC"=C19)=TRUE,"",
TRUE,MROUND((J19/N19),0.01))</f>
        <v/>
      </c>
      <c r="W19" s="48" t="str">
        <f>IFS(OR(COUNTIF(Info!$A$22:A81,C19)&gt;0,C19=""),"",
TRUE,L19/N19)</f>
        <v/>
      </c>
      <c r="X19" s="49" t="str">
        <f>IFS(OR(COUNTIF(Info!$A$22:A81,C19)&gt;0,C19=""),"",
OR("3x3 MBLD"=C19,"3x3 FMC"=C19)=TRUE,"",
OR(C19="4x4 BLD",C19="5x5 BLD",C19="4x4 / 5x5 BLD",AND(C19="3x3 BLD",H19&lt;&gt;""))=TRUE,MIN(V19,P19),
TRUE,MIN(P19,V19,MROUND(((V19*2/3)+((Y19-1.625)/2)),0.01)))</f>
        <v/>
      </c>
      <c r="Y19" s="48" t="str">
        <f>IFERROR(__xludf.DUMMYFUNCTION("IFS(OR(COUNTIF(Info!$A$22:A81,C19)&gt;0,C19=""""),"""",
FILTER(Info!$F$2:F81, Info!$A$2:A81 = C19) = ""Yes"",H19/AA19,
""3x3 FMC""=C19,Info!$B$9,""3x3 MBLD""=C19,Info!$B$18,
AND(E19=1,I19="""",H19="""",Q19=""No"",G19&gt;SUMIF(Info!$A$2:A81,C19,Info!$B$2:B81)*1."&amp;"5),
MIN(SUMIF(Info!$A$2:A81,C19,Info!$B$2:B81)*1.1,SUMIF(Info!$A$2:A81,C19,Info!$B$2:B81)*(1.15-(0.15*(SUMIF(Info!$A$2:A81,C19,Info!$B$2:B81)*1.5)/G19))),
AND(E19=1,I19="""",H19="""",Q19=""Yes"",G19&gt;SUMIF(Info!$A$2:A81,C19,Info!$C$2:C81)*1.5),
MIN(SUMIF(I"&amp;"nfo!$A$2:A81,C19,Info!$C$2:C81)*1.1,SUMIF(Info!$A$2:A81,C19,Info!$C$2:C81)*(1.15-(0.15*(SUMIF(Info!$A$2:A81,C19,Info!$C$2:C81)*1.5)/G19))),
Q19=""No"",SUMIF(Info!$A$2:A81,C19,Info!$B$2:B81),
Q19=""Yes"",SUMIF(Info!$A$2:A81,C19,Info!$C$2:C81))"),"")</f>
        <v/>
      </c>
      <c r="Z19" s="47" t="str">
        <f>IFS(OR(COUNTIF(Info!$A$22:A81,C19)&gt;0,C19=""),"",
AND(OR("3x3 FMC"=C19,"3x3 MBLD"=C19),I19&lt;&gt;""),1,
AND(OR(H19&lt;&gt;"",I19&lt;&gt;""),F19="Avg of 5"),2,
F19="Avg of 5",AA19,
AND(OR(H19&lt;&gt;"",I19&lt;&gt;""),F19="Mean of 3",C19="6x6 / 7x7"),2,
AND(OR(H19&lt;&gt;"",I19&lt;&gt;""),F19="Mean of 3"),1,
F19="Mean of 3",AA19,
AND(OR(H19&lt;&gt;"",I19&lt;&gt;""),F19="Best of 3",C19="4x4 / 5x5 BLD"),2,
AND(OR(H19&lt;&gt;"",I19&lt;&gt;""),F19="Best of 3"),1,
F19="Best of 2",AA19,
F19="Best of 1",AA19)</f>
        <v/>
      </c>
      <c r="AA19" s="47" t="str">
        <f>IFS(OR(COUNTIF(Info!$A$22:A81,C19)&gt;0,C19=""),"",
AND(OR("3x3 MBLD"=C19,"3x3 FMC"=C19),F19="Best of 1"=TRUE),1,
AND(OR("3x3 MBLD"=C19,"3x3 FMC"=C19),F19="Best of 2"=TRUE),2,
AND(OR("3x3 MBLD"=C19,"3x3 FMC"=C19),OR(F19="Best of 3",F19="Mean of 3")=TRUE),3,
AND(F19="Mean of 3",C19="6x6 / 7x7"),6,
AND(F19="Best of 3",C19="4x4 / 5x5 BLD"),6,
F19="Avg of 5",5,F19="Mean of 3",3,F19="Best of 3",3,F19="Best of 2",2,F19="Best of 1",1)</f>
        <v/>
      </c>
      <c r="AB19" s="50"/>
    </row>
    <row r="20" ht="15.75" customHeight="1">
      <c r="A20" s="35">
        <f>IFERROR(__xludf.DUMMYFUNCTION("IFS(indirect(""A""&amp;row()-1)=""Start"",TIME(indirect(""A""&amp;row()-2),indirect(""B""&amp;row()-2),0),
$O$2=""No"",TIME(0,($A$6*60+$B$6)+CEILING(SUM($L$7:indirect(""L""&amp;row()-1)),5),0),
D20=$E$2,TIME(0,($A$6*60+$B$6)+CEILING(SUM(IFERROR(FILTER($L$7:indirect(""L"""&amp;"&amp;row()-1),REGEXMATCH($D$7:indirect(""D""&amp;row()-1),$E$2)),0)),5),0),
TRUE,""=time(hh;mm;ss)"")"),0.4166666666666667)</f>
        <v>0.4166666667</v>
      </c>
      <c r="B20" s="36">
        <f>IFERROR(__xludf.DUMMYFUNCTION("IFS($O$2=""No"",TIME(0,($A$6*60+$B$6)+CEILING(SUM($L$7:indirect(""L""&amp;row())),5),0),
D20=$E$2,TIME(0,($A$6*60+$B$6)+CEILING(SUM(FILTER($L$7:indirect(""L""&amp;row()),REGEXMATCH($D$7:indirect(""D""&amp;row()),$E$2))),5),0),
A20=""=time(hh;mm;ss)"",CONCATENATE(""Sk"&amp;"riv tid i A""&amp;row()),
AND(A20&lt;&gt;"""",A20&lt;&gt;""=time(hh;mm;ss)""),A20+TIME(0,CEILING(indirect(""L""&amp;row()),5),0))"),0.4166666666666667)</f>
        <v>0.4166666667</v>
      </c>
      <c r="C20" s="37"/>
      <c r="D20" s="38" t="str">
        <f t="shared" si="2"/>
        <v>Stora salen</v>
      </c>
      <c r="E20" s="38" t="str">
        <f>IFERROR(__xludf.DUMMYFUNCTION("IFS(COUNTIF(Info!$A$22:A81,C20)&gt;0,"""",
AND(OR(""3x3 FMC""=C20,""3x3 MBLD""=C20),COUNTIF($C$7:indirect(""C""&amp;row()),indirect(""C""&amp;row()))&gt;=13),""E - Error"",
AND(OR(""3x3 FMC""=C20,""3x3 MBLD""=C20),COUNTIF($C$7:indirect(""C""&amp;row()),indirect(""C""&amp;row()"&amp;"))=12),""Final - A3"",
AND(OR(""3x3 FMC""=C20,""3x3 MBLD""=C20),COUNTIF($C$7:indirect(""C""&amp;row()),indirect(""C""&amp;row()))=11),""Final - A2"",
AND(OR(""3x3 FMC""=C20,""3x3 MBLD""=C20),COUNTIF($C$7:indirect(""C""&amp;row()),indirect(""C""&amp;row()))=10),""Final - "&amp;"A1"",
AND(OR(""3x3 FMC""=C20,""3x3 MBLD""=C20),COUNTIF($C$7:indirect(""C""&amp;row()),indirect(""C""&amp;row()))=9,
COUNTIF($C$7:$C$102,indirect(""C""&amp;row()))&gt;9),""R3 - A3"",
AND(OR(""3x3 FMC""=C20,""3x3 MBLD""=C20),COUNTIF($C$7:indirect(""C""&amp;row()),indirect(""C"&amp;"""&amp;row()))=9,
COUNTIF($C$7:$C$102,indirect(""C""&amp;row()))&lt;=9),""Final - A3"",
AND(OR(""3x3 FMC""=C20,""3x3 MBLD""=C20),COUNTIF($C$7:indirect(""C""&amp;row()),indirect(""C""&amp;row()))=8,
COUNTIF($C$7:$C$102,indirect(""C""&amp;row()))&gt;9),""R3 - A2"",
AND(OR(""3x3 FMC"&amp;"""=C20,""3x3 MBLD""=C20),COUNTIF($C$7:indirect(""C""&amp;row()),indirect(""C""&amp;row()))=8,
COUNTIF($C$7:$C$102,indirect(""C""&amp;row()))&lt;=9),""Final - A2"",
AND(OR(""3x3 FMC""=C20,""3x3 MBLD""=C20),COUNTIF($C$7:indirect(""C""&amp;row()),indirect(""C""&amp;row()))=7,
COUN"&amp;"TIF($C$7:$C$102,indirect(""C""&amp;row()))&gt;9),""R3 - A1"",
AND(OR(""3x3 FMC""=C20,""3x3 MBLD""=C20),COUNTIF($C$7:indirect(""C""&amp;row()),indirect(""C""&amp;row()))=7,
COUNTIF($C$7:$C$102,indirect(""C""&amp;row()))&lt;=9),""Final - A1"",
AND(OR(""3x3 FMC""=C20,""3x3 MBLD"""&amp;"=C20),COUNTIF($C$7:indirect(""C""&amp;row()),indirect(""C""&amp;row()))=6,
COUNTIF($C$7:$C$102,indirect(""C""&amp;row()))&gt;6),""R2 - A3"",
AND(OR(""3x3 FMC""=C20,""3x3 MBLD""=C20),COUNTIF($C$7:indirect(""C""&amp;row()),indirect(""C""&amp;row()))=6,
COUNTIF($C$7:$C$102,indirec"&amp;"t(""C""&amp;row()))&lt;=6),""Final - A3"",
AND(OR(""3x3 FMC""=C20,""3x3 MBLD""=C20),COUNTIF($C$7:indirect(""C""&amp;row()),indirect(""C""&amp;row()))=5,
COUNTIF($C$7:$C$102,indirect(""C""&amp;row()))&gt;6),""R2 - A2"",
AND(OR(""3x3 FMC""=C20,""3x3 MBLD""=C20),COUNTIF($C$7:indi"&amp;"rect(""C""&amp;row()),indirect(""C""&amp;row()))=5,
COUNTIF($C$7:$C$102,indirect(""C""&amp;row()))&lt;=6),""Final - A2"",
AND(OR(""3x3 FMC""=C20,""3x3 MBLD""=C20),COUNTIF($C$7:indirect(""C""&amp;row()),indirect(""C""&amp;row()))=4,
COUNTIF($C$7:$C$102,indirect(""C""&amp;row()))&gt;6),"&amp;"""R2 - A1"",
AND(OR(""3x3 FMC""=C20,""3x3 MBLD""=C20),COUNTIF($C$7:indirect(""C""&amp;row()),indirect(""C""&amp;row()))=4,
COUNTIF($C$7:$C$102,indirect(""C""&amp;row()))&lt;=6),""Final - A1"",
AND(OR(""3x3 FMC""=C20,""3x3 MBLD""=C20),COUNTIF($C$7:indirect(""C""&amp;row()),i"&amp;"ndirect(""C""&amp;row()))=3),""R1 - A3"",
AND(OR(""3x3 FMC""=C20,""3x3 MBLD""=C20),COUNTIF($C$7:indirect(""C""&amp;row()),indirect(""C""&amp;row()))=2),""R1 - A2"",
AND(OR(""3x3 FMC""=C20,""3x3 MBLD""=C20),COUNTIF($C$7:indirect(""C""&amp;row()),indirect(""C""&amp;row()))=1),"&amp;"""R1 -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C20),ROUNDUP((FILTER(Info!$H$2:H81,Info!$A$2:A81=C20)/FILTER(Info!$H$2:H81,Info!$A$2:A81=$K$2))*$I$2)&gt;99),3,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C20),ROUNDUP((FILTER(Info!$H$2:H81,Info!$A$2:A81=C20)/FILTER(Info!$H$2:H81,Info!$A$2:A81=$K$2))*$I$2)&gt;15),2,
AND(COUNTIF($C$7:indirect(""C""&amp;row()),indirect(""C""&amp;row()))=2,COUNTIF($C$7:$C$102,indirect(""C""&amp;row()))=COUNTIF($"&amp;"C$7:indirect(""C""&amp;row()),indirect(""C""&amp;row()))),""Final"",
COUNTIF($C$7:indirect(""C""&amp;row()),indirect(""C""&amp;row()))=1,1,
COUNTIF($C$7:indirect(""C""&amp;row()),indirect(""C""&amp;row()))=0,"""")"),"")</f>
        <v/>
      </c>
      <c r="F20" s="39" t="str">
        <f>IFERROR(__xludf.DUMMYFUNCTION("IFS(C20="""","""",
AND(C20=""3x3 FMC"",MOD(COUNTIF($C$7:indirect(""C""&amp;row()),indirect(""C""&amp;row())),3)=0),""Mean of 3"",
AND(C20=""3x3 MBLD"",MOD(COUNTIF($C$7:indirect(""C""&amp;row()),indirect(""C""&amp;row())),3)=0),""Best of 3"",
AND(C20=""3x3 FMC"",MOD(COUNT"&amp;"IF($C$7:indirect(""C""&amp;row()),indirect(""C""&amp;row())),3)=2,
COUNTIF($C$7:$C$102,indirect(""C""&amp;row()))&lt;=COUNTIF($C$7:indirect(""C""&amp;row()),indirect(""C""&amp;row()))),""Best of 2"",
AND(C20=""3x3 FMC"",MOD(COUNTIF($C$7:indirect(""C""&amp;row()),indirect(""C""&amp;row("&amp;"))),3)=2,
COUNTIF($C$7:$C$102,indirect(""C""&amp;row()))&gt;COUNTIF($C$7:indirect(""C""&amp;row()),indirect(""C""&amp;row()))),""Mean of 3"",
AND(C20=""3x3 MBLD"",MOD(COUNTIF($C$7:indirect(""C""&amp;row()),indirect(""C""&amp;row())),3)=2,
COUNTIF($C$7:$C$102,indirect(""C""&amp;row("&amp;")))&lt;=COUNTIF($C$7:indirect(""C""&amp;row()),indirect(""C""&amp;row()))),""Best of 2"",
AND(C20=""3x3 MBLD"",MOD(COUNTIF($C$7:indirect(""C""&amp;row()),indirect(""C""&amp;row())),3)=2,
COUNTIF($C$7:$C$102,indirect(""C""&amp;row()))&gt;COUNTIF($C$7:indirect(""C""&amp;row()),indirect("&amp;"""C""&amp;row()))),""Best of 3"",
AND(C20=""3x3 FMC"",MOD(COUNTIF($C$7:indirect(""C""&amp;row()),indirect(""C""&amp;row())),3)=1,
COUNTIF($C$7:$C$102,indirect(""C""&amp;row()))&lt;=COUNTIF($C$7:indirect(""C""&amp;row()),indirect(""C""&amp;row()))),""Best of 1"",
AND(C20=""3x3 FMC"""&amp;",MOD(COUNTIF($C$7:indirect(""C""&amp;row()),indirect(""C""&amp;row())),3)=1,
COUNTIF($C$7:$C$102,indirect(""C""&amp;row()))=COUNTIF($C$7:indirect(""C""&amp;row()),indirect(""C""&amp;row()))+1),""Best of 2"",
AND(C20=""3x3 FMC"",MOD(COUNTIF($C$7:indirect(""C""&amp;row()),indirect"&amp;"(""C""&amp;row())),3)=1,
COUNTIF($C$7:$C$102,indirect(""C""&amp;row()))&gt;COUNTIF($C$7:indirect(""C""&amp;row()),indirect(""C""&amp;row()))),""Mean of 3"",
AND(C20=""3x3 MBLD"",MOD(COUNTIF($C$7:indirect(""C""&amp;row()),indirect(""C""&amp;row())),3)=1,
COUNTIF($C$7:$C$102,indirect"&amp;"(""C""&amp;row()))&lt;=COUNTIF($C$7:indirect(""C""&amp;row()),indirect(""C""&amp;row()))),""Best of 1"",
AND(C20=""3x3 MBLD"",MOD(COUNTIF($C$7:indirect(""C""&amp;row()),indirect(""C""&amp;row())),3)=1,
COUNTIF($C$7:$C$102,indirect(""C""&amp;row()))=COUNTIF($C$7:indirect(""C""&amp;row()"&amp;"),indirect(""C""&amp;row()))+1),""Best of 2"",
AND(C20=""3x3 MBLD"",MOD(COUNTIF($C$7:indirect(""C""&amp;row()),indirect(""C""&amp;row())),3)=1,
COUNTIF($C$7:$C$102,indirect(""C""&amp;row()))&gt;COUNTIF($C$7:indirect(""C""&amp;row()),indirect(""C""&amp;row()))),""Best of 3"",
TRUE,("&amp;"IFERROR(FILTER(Info!$D$2:D81, Info!$A$2:A81 = C20), """")))"),"")</f>
        <v/>
      </c>
      <c r="G20" s="40" t="str">
        <f>IFERROR(__xludf.DUMMYFUNCTION("IFS(OR(COUNTIF(Info!$A$22:A81,C20)&gt;0,C20=""""),"""",
OR(""3x3 MBLD""=C20,""3x3 FMC""=C20),60,
AND(E20=1,FILTER(Info!$F$2:F81, Info!$A$2:A81 = C20) = ""No""),FILTER(Info!$P$2:P81, Info!$A$2:A81 = C20),
AND(E20=2,FILTER(Info!$F$2:F81, Info!$A$2:A81 = C20) ="&amp;" ""No""),FILTER(Info!$Q$2:Q81, Info!$A$2:A81 = C20),
AND(E20=3,FILTER(Info!$F$2:F81, Info!$A$2:A81 = C20) = ""No""),FILTER(Info!$R$2:R81, Info!$A$2:A81 = C20),
AND(E20=""Final"",FILTER(Info!$F$2:F81, Info!$A$2:A81 = C20) = ""No""),FILTER(Info!$S$2:S81, In"&amp;"fo!$A$2:A81 = C20),
FILTER(Info!$F$2:F81, Info!$A$2:A81 = C20) = ""Yes"","""")"),"")</f>
        <v/>
      </c>
      <c r="H20" s="40" t="str">
        <f>IFERROR(__xludf.DUMMYFUNCTION("IFS(OR(COUNTIF(Info!$A$22:A81,C20)&gt;0,C20=""""),"""",
OR(""3x3 MBLD""=C20,""3x3 FMC""=C20)=TRUE,"""",
FILTER(Info!$F$2:F81, Info!$A$2:A81 = C20) = ""Yes"",FILTER(Info!$O$2:O81, Info!$A$2:A81 = C20),
FILTER(Info!$F$2:F81, Info!$A$2:A81 = C20) = ""No"",IF(G2"&amp;"0="""",FILTER(Info!$O$2:O81, Info!$A$2:A81 = C20),""""))"),"")</f>
        <v/>
      </c>
      <c r="I20" s="40" t="str">
        <f>IFERROR(__xludf.DUMMYFUNCTION("IFS(OR(COUNTIF(Info!$A$22:A81,C20)&gt;0,C20="""",H20&lt;&gt;""""),"""",
AND(E20&lt;&gt;1,E20&lt;&gt;""R1 - A1"",E20&lt;&gt;""R1 - A2"",E20&lt;&gt;""R1 - A3""),"""",
FILTER(Info!$E$2:E81, Info!$A$2:A81 = C20) = ""Yes"",IF(H20="""",FILTER(Info!$L$2:L81, Info!$A$2:A81 = C20),""""),
FILTER(I"&amp;"nfo!$E$2:E81, Info!$A$2:A81 = C20) = ""No"","""")"),"")</f>
        <v/>
      </c>
      <c r="J20" s="40" t="str">
        <f>IFERROR(__xludf.DUMMYFUNCTION("IFS(OR(COUNTIF(Info!$A$22:A81,C20)&gt;0,C20="""",""3x3 MBLD""=C20,""3x3 FMC""=C20),"""",
AND(E20=1,FILTER(Info!$H$2:H81,Info!$A$2:A81 = C20)&lt;=FILTER(Info!$H$2:H81,Info!$A$2:A81=$K$2)),
ROUNDUP((FILTER(Info!$H$2:H81,Info!$A$2:A81 = C20)/FILTER(Info!$H$2:H81,I"&amp;"nfo!$A$2:A81=$K$2))*$I$2),
AND(E20=1,FILTER(Info!$H$2:H81,Info!$A$2:A81 = C20)&gt;FILTER(Info!$H$2:H81,Info!$A$2:A81=$K$2)),""K2 - Error"",
AND(E20=2,FILTER($J$7:indirect(""J""&amp;row()-1),$C$7:indirect(""C""&amp;row()-1)=C20)&lt;=7),""J - Error"",
E20=2,FLOOR(FILTER("&amp;"$J$7:indirect(""J""&amp;row()-1),$C$7:indirect(""C""&amp;row()-1)=C20)*Info!$T$32),
AND(E20=3,FILTER($J$7:indirect(""J""&amp;row()-1),$C$7:indirect(""C""&amp;row()-1)=C20)&lt;=15),""J - Error"",
E20=3,FLOOR(Info!$T$32*FLOOR(FILTER($J$7:indirect(""J""&amp;row()-1),$C$7:indirect("&amp;"""C""&amp;row()-1)=C20)*Info!$T$32)),
AND(E20=""Final"",COUNTIF($C$7:$C$102,C20)=2,FILTER($J$7:indirect(""J""&amp;row()-1),$C$7:indirect(""C""&amp;row()-1)=C20)&lt;=7),""J - Error"",
AND(E20=""Final"",COUNTIF($C$7:$C$102,C20)=2),
MIN(P20,FLOOR(FILTER($J$7:indirect(""J"""&amp;"&amp;row()-1),$C$7:indirect(""C""&amp;row()-1)=C20)*Info!$T$32)),
AND(E20=""Final"",COUNTIF($C$7:$C$102,C20)=3,FILTER($J$7:indirect(""J""&amp;row()-1),$C$7:indirect(""C""&amp;row()-1)=C20)&lt;=15),""J - Error"",
AND(E20=""Final"",COUNTIF($C$7:$C$102,C20)=3),
MIN(P20,FLOOR(I"&amp;"nfo!$T$32*FLOOR(FILTER($J$7:indirect(""J""&amp;row()-1),$C$7:indirect(""C""&amp;row()-1)=C20)*Info!$T$32))),
AND(E20=""Final"",COUNTIF($C$7:$C$102,C20)&gt;=4,FILTER($J$7:indirect(""J""&amp;row()-1),$C$7:indirect(""C""&amp;row()-1)=C20)&lt;=99),""J - Error"",
AND(E20=""Final"","&amp;"COUNTIF($C$7:$C$102,C20)&gt;=4),
MIN(P20,FLOOR(Info!$T$32*FLOOR(Info!$T$32*FLOOR(FILTER($J$7:indirect(""J""&amp;row()-1),$C$7:indirect(""C""&amp;row()-1)=C20)*Info!$T$32)))))"),"")</f>
        <v/>
      </c>
      <c r="K20" s="41" t="str">
        <f>IFERROR(__xludf.DUMMYFUNCTION("IFS(AND(indirect(""D""&amp;row()+2)&lt;&gt;$E$2,indirect(""D""&amp;row()+1)=""""),CONCATENATE(""Tom rad! Kopiera hela rad ""&amp;row()&amp;"" dit""),
AND(indirect(""D""&amp;row()-1)&lt;&gt;""Rum"",indirect(""D""&amp;row()-1)=""""),CONCATENATE(""Tom rad! Kopiera hela rad ""&amp;row()&amp;"" dit""),
"&amp;"C20="""","""",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OR(AND(D20&lt;&gt;$E$2,D20&lt;&gt;$E$4,D20&lt;&gt;$K$4,D20&lt;&gt;$Q$4),D20="&amp;"""""),CONCATENATE(""Rum: ""&amp;D20&amp;"" finns ej, byt i D""&amp;row()),
AND(indirect(""D""&amp;row()-1)=""Rum"",C20=""""),CONCATENATE(""För att börja: skriv i cell C""&amp;row()),
AND(C20=""Paus"",M20&lt;=0),CONCATENATE(""Skriv pausens längd i M""&amp;row()),
OR(COUNTIF(Info!$A$"&amp;"22:A81,C20)&gt;0,C20=""""),"""",
AND(D20&lt;&gt;$E$2,$O$2=""Yes"",A20=""=time(hh;mm;ss)""),CONCATENATE(""Skriv starttid för ""&amp;C20&amp;"" i A""&amp;row()),
E20=""E - Error"",CONCATENATE(""För många ""&amp;C20&amp;"" rundor!""),
AND(C20&lt;&gt;""3x3 FMC"",C20&lt;&gt;""3x3 MBLD"",E20&lt;&gt;1,E20&lt;&gt;"&amp;"""Final"",IFERROR(FILTER($E$7:indirect(""E""&amp;row()-1),
$E$7:indirect(""E""&amp;row()-1)=E20-1,$C$7:indirect(""C""&amp;row()-1)=C20))=FALSE),CONCATENATE(""Kan ej vara R""&amp;E20&amp;"", saknar R""&amp;(E20-1)),
AND(indirect(""E""&amp;row()-1)&lt;&gt;""Omgång"",IFERROR(FILTER($E$7:indi"&amp;"rect(""E""&amp;row()-1),
$E$7:indirect(""E""&amp;row()-1)=E20,$C$7:indirect(""C""&amp;row()-1)=C20)=E20)=TRUE),CONCATENATE(""Runda ""&amp;E20&amp;"" i ""&amp;C20&amp;"" finns redan""),
AND(C20&lt;&gt;""3x3 BLD"",C20&lt;&gt;""4x4 BLD"",C20&lt;&gt;""5x5 BLD"",C20&lt;&gt;""4x4 / 5x5 BLD"",OR(E20=2,E20=3,E20="&amp;"""Final""),H20&lt;&gt;""""),CONCATENATE(E20&amp;""-rundor brukar ej ha c.t.l.""),
AND(OR(E20=2,E20=3,E20=""Final""),I20&lt;&gt;""""),CONCATENATE(E20&amp;""-rundor brukar ej ha cutoff""),
AND(OR(C20=""3x3 FMC"",C20=""3x3 MBLD""),OR(E20=1,E20=2,E20=3,E20=""Final"")),CONCATENAT"&amp;"E(C20&amp;""s omgång är Rx - Ax""),
AND(C20&lt;&gt;""3x3 MBLD"",C20&lt;&gt;""3x3 FMC"",FILTER(Info!$D$2:D81, Info!$A$2:A81 = C20)&lt;&gt;F20),CONCATENATE(C20&amp;"" måste ha formatet ""&amp;FILTER(Info!$D$2:D81, Info!$A$2:A81 = C20)),
AND(C20=""3x3 MBLD"",OR(F20=""Avg of 5"",F20=""Mea"&amp;"n of 3"")),CONCATENATE(""Ogiltigt format för ""&amp;C20),
AND(C20=""3x3 FMC"",OR(F20=""Avg of 5"",F20=""Best of 3"")),CONCATENATE(""Ogiltigt format för ""&amp;C20),
AND(OR(F20=""Best of 1"",F20=""Best of 2"",F20=""Best of 3""),I20&lt;&gt;""""),CONCATENATE(F20&amp;""-rundor"&amp;" får ej ha cutoff""),
AND(OR(C20=""3x3 FMC"",C20=""3x3 MBLD""),G20&lt;&gt;60),CONCATENATE(C20&amp;"" måste ha time limit: 60""),
AND(OR(C20=""3x3 FMC"",C20=""3x3 MBLD""),H20&lt;&gt;""""),CONCATENATE(C20&amp;"" kan inte ha c.t.l.""),
AND(G20&lt;&gt;"""",H20&lt;&gt;""""),""Välj time limit"&amp;" ELLER c.t.l"",
AND(C20=""6x6 / 7x7"",G20="""",H20=""""),""Sätt time limit (x / y) eller c.t.l (z)"",
AND(G20="""",H20=""""),""Sätt en time limit eller c.t.l"",
AND(OR(C20=""6x6 / 7x7"",C20=""4x4 / 5x5 BLD""),G20&lt;&gt;"""",REGEXMATCH(TO_TEXT(G20),"" / "")=FAL"&amp;"SE),CONCATENATE(""Time limit måste vara x / y""),
AND(H20&lt;&gt;"""",I20&lt;&gt;""""),CONCATENATE(C20&amp;"" brukar ej ha cutoff OCH c.t.l""),
AND(E20=1,H20="""",I20="""",OR(FILTER(Info!$E$2:E81, Info!$A$2:A81 = C20) = ""Yes"",FILTER(Info!$F$2:F81, Info!$A$2:A81 = C20) "&amp;"= ""Yes""),OR(F20=""Avg of 5"",F20=""Mean of 3"")),CONCATENATE(C20&amp;"" bör ha cutoff eller c.t.l""),
AND(C20=""6x6 / 7x7"",I20&lt;&gt;"""",REGEXMATCH(TO_TEXT(I20),"" / "")=FALSE),CONCATENATE(""Cutoff måste vara x / y""),
AND(H20&lt;&gt;"""",ISNUMBER(H20)=FALSE),""C.t."&amp;"l. måste vara positivt tal (x)"",
AND(C20&lt;&gt;""6x6 / 7x7"",I20&lt;&gt;"""",ISNUMBER(I20)=FALSE),""Cutoff måste vara positivt tal (x)"",
AND(H20&lt;&gt;"""",FILTER(Info!$E$2:E81, Info!$A$2:A81 = C20) = ""No"",FILTER(Info!$F$2:F81, Info!$A$2:A81 = C20) = ""No""),CONCATEN"&amp;"ATE(C20&amp;"" brukar inte ha c.t.l.""),
AND(I20&lt;&gt;"""",FILTER(Info!$E$2:E81, Info!$A$2:A81 = C20) = ""No"",FILTER(Info!$F$2:F81, Info!$A$2:A81 = C20) = ""No""),CONCATENATE(C20&amp;"" brukar inte ha cutoff""),
AND(H20="""",FILTER(Info!$F$2:F81, Info!$A$2:A81 = C20"&amp;") = ""Yes""),CONCATENATE(C20&amp;"" brukar ha c.t.l.""),
AND(C20&lt;&gt;""6x6 / 7x7"",C20&lt;&gt;""4x4 / 5x5 BLD"",G20&lt;&gt;"""",ISNUMBER(G20)=FALSE),""Time limit måste vara positivt tal (x)"",
J20=""J - Error"",CONCATENATE(""För få deltagare i R1 för ""&amp;COUNTIF($C$7:$C$102,"&amp;"indirect(""C""&amp;row()))&amp;"" rundor""),
J20=""K2 - Error"",CONCATENATE(C20&amp;"" är mer populär - byt i K2!""),
AND(C20&lt;&gt;""6x6 / 7x7"",C20&lt;&gt;""4x4 / 5x5 BLD"",G20&lt;&gt;"""",I20&lt;&gt;"""",G20&lt;=I20),""Time limit måste vara &gt; cutoff"",
AND(C20&lt;&gt;""6x6 / 7x7"",C20&lt;&gt;""4x4 / 5"&amp;"x5 BLD"",H20&lt;&gt;"""",I20&lt;&gt;"""",H20&lt;=I20),""C.t.l. måste vara &gt; cutoff"",
AND(C20&lt;&gt;""3x3 FMC"",C20&lt;&gt;""3x3 MBLD"",J20=""""),CONCATENATE(""Fyll i antal deltagare i J""&amp;row()),
AND(C20="""",OR(E20&lt;&gt;"""",F20&lt;&gt;"""",G20&lt;&gt;"""",H20&lt;&gt;"""",I20&lt;&gt;"""",J20&lt;&gt;"""")),""Skri"&amp;"v ALLTID gren / aktivitet först"",
AND(I20="""",H20="""",J20&lt;&gt;""""),J20,
OR(""3x3 FMC""=C20,""3x3 MBLD""=C20),J20,
AND(I20&lt;&gt;"""",""6x6 / 7x7""=C20),
IFS(ArrayFormula(SUM(IFERROR(SPLIT(I20,"" / ""))))&lt;(Info!$J$6+Info!$J$7)*2/3,CONCATENATE(""Höj helst cutof"&amp;"fs i ""&amp;C20),
ArrayFormula(SUM(IFERROR(SPLIT(I20,"" / ""))))&lt;=(Info!$J$6+Info!$J$7),ROUNDUP(J20*Info!$J$22),
ArrayFormula(SUM(IFERROR(SPLIT(I20,"" / ""))))&lt;=Info!$J$6+Info!$J$7,ROUNDUP(J20*Info!$K$22),
ArrayFormula(SUM(IFERROR(SPLIT(I20,"" / ""))))&lt;=Info!"&amp;"$K$6+Info!$K$7,ROUNDUP(J20*Info!L$22),
ArrayFormula(SUM(IFERROR(SPLIT(I20,"" / ""))))&lt;=Info!$L$6+Info!$L$7,ROUNDUP(J20*Info!$M$22),
ArrayFormula(SUM(IFERROR(SPLIT(I20,"" / ""))))&lt;=Info!$M$6+Info!$M$7,ROUNDUP(J20*Info!$N$22),
ArrayFormula(SUM(IFERROR(SPLIT"&amp;"(I20,"" / ""))))&lt;=(Info!$N$6+Info!$N$7)*3/2,ROUNDUP(J20*Info!$J$26),
ArrayFormula(SUM(IFERROR(SPLIT(I20,"" / ""))))&gt;(Info!$N$6+Info!$N$7)*3/2,CONCATENATE(""Sänk helst cutoffs i ""&amp;C20)),
AND(I20&lt;&gt;"""",FILTER(Info!$E$2:E81, Info!$A$2:A81 = C20) = ""Yes""),"&amp;"
IFS(I20&lt;FILTER(Info!$J$2:J81, Info!$A$2:A81 = C20)*2/3,CONCATENATE(""Höj helst cutoff i ""&amp;C20),
I20&lt;=FILTER(Info!$J$2:J81, Info!$A$2:A81 = C20),ROUNDUP(J20*Info!$J$22),
I20&lt;=FILTER(Info!$K$2:K81, Info!$A$2:A81 = C20),ROUNDUP(J20*Info!$K$22),
I20&lt;=FILTER"&amp;"(Info!$L$2:L81, Info!$A$2:A81 = C20),ROUNDUP(J20*Info!L$22),
I20&lt;=FILTER(Info!$M$2:M81, Info!$A$2:A81 = C20),ROUNDUP(J20*Info!$M$22),
I20&lt;=FILTER(Info!$N$2:N81, Info!$A$2:A81 = C20),ROUNDUP(J20*Info!$N$22),
I20&lt;=FILTER(Info!$N$2:N81, Info!$A$2:A81 = C20)*"&amp;"3/2,ROUNDUP(J20*Info!$J$26),
I20&gt;FILTER(Info!$N$2:N81, Info!$A$2:A81 = C20)*3/2,CONCATENATE(""Sänk helst cutoff i ""&amp;C20)),
AND(H20&lt;&gt;"""",""6x6 / 7x7""=C20),
IFS(H20/3&lt;=(Info!$J$6+Info!$J$7)*2/3,""Höj helst cumulative time limit"",
H20/3&lt;=Info!$J$6+Info!$"&amp;"J$7,ROUNDUP(J20*Info!$J$24),
H20/3&lt;=Info!$K$6+Info!$K$7,ROUNDUP(J20*Info!$K$24),
H20/3&lt;=Info!$L$6+Info!$L$7,ROUNDUP(J20*Info!L$24),
H20/3&lt;=Info!$M$6+Info!$M$7,ROUNDUP(J20*Info!$M$24),
H20/3&lt;=Info!$N$6+Info!$N$7,ROUNDUP(J20*Info!$N$24),
H20/3&lt;=(Info!$N$6+I"&amp;"nfo!$N$7)*3/2,ROUNDUP(J20*Info!$L$26),
H20/3&gt;(Info!$J$6+Info!$J$7)*3/2,""Sänk helst cumulative time limit""),
AND(H20&lt;&gt;"""",FILTER(Info!$F$2:F81, Info!$A$2:A81 = C20) = ""Yes""),
IFS(H20&lt;=FILTER(Info!$J$2:J81, Info!$A$2:A81 = C20)*2/3,CONCATENATE(""Höj he"&amp;"lst c.t.l. i ""&amp;C20),
H20&lt;=FILTER(Info!$J$2:J81, Info!$A$2:A81 = C20),ROUNDUP(J20*Info!$J$24),
H20&lt;=FILTER(Info!$K$2:K81, Info!$A$2:A81 = C20),ROUNDUP(J20*Info!$K$24),
H20&lt;=FILTER(Info!$L$2:L81, Info!$A$2:A81 = C20),ROUNDUP(J20*Info!L$24),
H20&lt;=FILTER(Inf"&amp;"o!$M$2:M81, Info!$A$2:A81 = C20),ROUNDUP(J20*Info!$M$24),
H20&lt;=FILTER(Info!$N$2:N81, Info!$A$2:A81 = C20),ROUNDUP(J20*Info!$N$24),
H20&lt;=FILTER(Info!$N$2:N81, Info!$A$2:A81 = C20)*3/2,ROUNDUP(J20*Info!$L$26),
H20&gt;FILTER(Info!$N$2:N81, Info!$A$2:A81 = C20)*"&amp;"3/2,CONCATENATE(""Sänk helst c.t.l. i ""&amp;C20)),
AND(H20&lt;&gt;"""",FILTER(Info!$F$2:F81, Info!$A$2:A81 = C20) = ""No""),
IFS(H20/AA20&lt;=FILTER(Info!$J$2:J81, Info!$A$2:A81 = C20)*2/3,CONCATENATE(""Höj helst c.t.l. i ""&amp;C20),
H20/AA20&lt;=FILTER(Info!$J$2:J81, Info"&amp;"!$A$2:A81 = C20),ROUNDUP(J20*Info!$J$24),
H20/AA20&lt;=FILTER(Info!$K$2:K81, Info!$A$2:A81 = C20),ROUNDUP(J20*Info!$K$24),
H20/AA20&lt;=FILTER(Info!$L$2:L81, Info!$A$2:A81 = C20),ROUNDUP(J20*Info!L$24),
H20/AA20&lt;=FILTER(Info!$M$2:M81, Info!$A$2:A81 = C20),ROUND"&amp;"UP(J20*Info!$M$24),
H20/AA20&lt;=FILTER(Info!$N$2:N81, Info!$A$2:A81 = C20),ROUNDUP(J20*Info!$N$24),
H20/AA20&lt;=FILTER(Info!$N$2:N81, Info!$A$2:A81 = C20)*3/2,ROUNDUP(J20*Info!$L$26),
H20/AA20&gt;FILTER(Info!$N$2:N81, Info!$A$2:A81 = C20)*3/2,CONCATENATE(""Sänk "&amp;"helst c.t.l. i ""&amp;C20)),
AND(I20="""",H20&lt;&gt;"""",J20&lt;&gt;""""),ROUNDUP(J20*Info!$T$29),
AND(I20&lt;&gt;"""",H20="""",J20&lt;&gt;""""),ROUNDUP(J20*Info!$T$26))"),"")</f>
        <v/>
      </c>
      <c r="L20" s="42">
        <f>IFERROR(__xludf.DUMMYFUNCTION("IFS(C20="""",0,
C20=""3x3 FMC"",Info!$B$9*N20+M20, C20=""3x3 MBLD"",Info!$B$18*N20+M20,
COUNTIF(Info!$A$22:A81,C20)&gt;0,FILTER(Info!$B$22:B81,Info!$A$22:A81=C20)+M20,
AND(C20&lt;&gt;"""",E20=""""),CONCATENATE(""Fyll i E""&amp;row()),
AND(C20&lt;&gt;"""",E20&lt;&gt;"""",E20&lt;&gt;1,E2"&amp;"0&lt;&gt;2,E20&lt;&gt;3,E20&lt;&gt;""Final""),CONCATENATE(""Fel format på E""&amp;row()),
K20=CONCATENATE(""Runda ""&amp;E20&amp;"" i ""&amp;C20&amp;"" finns redan""),CONCATENATE(""Fel i E""&amp;row()),
AND(C20&lt;&gt;"""",F20=""""),CONCATENATE(""Fyll i F""&amp;row()),
K20=CONCATENATE(C20&amp;"" måste ha forma"&amp;"tet ""&amp;FILTER(Info!$D$2:D81, Info!$A$2:A81 = C20)),CONCATENATE(""Fel format på F""&amp;row()),
AND(C20&lt;&gt;"""",D20=1,H20="""",FILTER(Info!$F$2:F81, Info!$A$2:A81 = C20) = ""Yes""),CONCATENATE(""Fyll i H""&amp;row()),
AND(C20&lt;&gt;"""",D20=1,I20="""",FILTER(Info!$E$2:E8"&amp;"1, Info!$A$2:A81 = C20) = ""Yes""),CONCATENATE(""Fyll i I""&amp;row()),
AND(C20&lt;&gt;"""",J20=""""),CONCATENATE(""Fyll i J""&amp;row()),
AND(C20&lt;&gt;"""",K20="""",OR(H20&lt;&gt;"""",I20&lt;&gt;"""")),CONCATENATE(""Fyll i K""&amp;row()),
AND(C20&lt;&gt;"""",K20=""""),CONCATENATE(""Skriv samma"&amp;" i K""&amp;row()&amp;"" som i J""&amp;row()),
AND(OR(C20=""4x4 BLD"",C20=""5x5 BLD"",C20=""4x4 / 5x5 BLD"")=TRUE,V20&lt;=P20),
MROUND(H20*(Info!$T$20-((Info!$T$20-1)/2)*(1-V20/P20))*(1+((J20/K20)-1)*(1-Info!$J$24))*N20+(Info!$T$11/2)+(N20*Info!$T$11)+(N20*Info!$T$14*(O2"&amp;"0-1)),0.01)+M20,
AND(OR(C20=""4x4 BLD"",C20=""5x5 BLD"",C20=""4x4 / 5x5 BLD"")=TRUE,V20&gt;P20),
MROUND((((J20*Z20+K20*(AA20-Z20))*(H20*Info!$T$20/AA20))/X20)*(1+((J20/K20)-1)*(1-Info!$J$24))*(1+(X20-Info!$T$8)/100)+(Info!$T$11/2)+(N20*Info!$T$11)+(N20*Info!"&amp;"$T$14*(O20-1)),0.01)+M20,
AND(C20=""3x3 BLD"",V20&lt;=P20),
MROUND(H20*(Info!$T$23-((Info!$T$23-1)/2)*(1-V20/P20))*(1+((J20/K20)-1)*(1-Info!$J$24))*N20+(Info!$T$11/2)+(N20*Info!$T$11)+(N20*Info!$T$14*(O20-1)),0.01)+M20,
AND(C20=""3x3 BLD"",V20&gt;P20),
MROUND(("&amp;"((J20*Z20+K20*(AA20-Z20))*(H20*Info!$T$23/AA20))/X20)*(1+((J20/K20)-1)*(1-Info!$J$24))*(1+(X20-Info!$T$8)/100)+(Info!$T$11/2)+(N20*Info!$T$11)+(N20*Info!$T$14*(O20-1)),0.01)+M20,
E20=1,MROUND((((J20*Z20+K20*(AA20-Z20))*Y20)/X20)*(1+(X20-Info!$T$8)/100)+(N"&amp;"20*Info!$T$11)+(N20*Info!$T$14*(O20-1)),0.01)+M20,
AND(E20=""Final"",N20=1,FILTER(Info!$G$2:$G$20,Info!$A$2:$A$20=C20)=""Mycket svår""),
MROUND((((J20*Z20+K20*(AA20-Z20))*(Y20*Info!$T$38))/X20)*(1+(X20-Info!$T$8)/100)+(N20*Info!$T$11)+(N20*Info!$T$14*(O20"&amp;"-1)),0.01)+M20,
AND(E20=""Final"",N20=1,FILTER(Info!$G$2:$G$20,Info!$A$2:$A$20=C20)=""Svår""),
MROUND((((J20*Z20+K20*(AA20-Z20))*(Y20*Info!$T$35))/X20)*(1+(X20-Info!$T$8)/100)+(N20*Info!$T$11)+(N20*Info!$T$14*(O20-1)),0.01)+M20,
E20=""Final"",MROUND((((J2"&amp;"0*Z20+K20*(AA20-Z20))*(Y20*Info!$T$5))/X20)*(1+(X20-Info!$T$8)/100)+(N20*Info!$T$11)+(N20*Info!$T$14*(O20-1)),0.01)+M20,
OR(E20=2,E20=3),MROUND((((J20*Z20+K20*(AA20-Z20))*(Y20*Info!$T$2))/X20)*(1+(X20-Info!$T$8)/100)+(N20*Info!$T$11)+(N20*Info!$T$14*(O20-"&amp;"1)),0.01)+M20)"),0.0)</f>
        <v>0</v>
      </c>
      <c r="M20" s="43">
        <f t="shared" si="1"/>
        <v>0</v>
      </c>
      <c r="N20" s="43" t="str">
        <f>IFS(OR(COUNTIF(Info!$A$22:A81,C20)&gt;0,C20=""),"",
OR(C20="4x4 BLD",C20="5x5 BLD",C20="3x3 MBLD",C20="3x3 FMC",C20="4x4 / 5x5 BLD"),1,
AND(E20="Final",Q20="Yes",MAX(1,ROUNDUP(J20/P20))&gt;1),MAX(2,ROUNDUP(J20/P20)),
AND(E20="Final",Q20="No",MAX(1,ROUNDUP(J20/((P20*2)+2.625-Y20*1.5)))&gt;1),MAX(2,ROUNDUP(J20/((P20*2)+2.625-Y20*1.5))),
E20="Final",1,
Q20="Yes",MAX(2,ROUNDUP(J20/P20)),
TRUE,MAX(2,ROUNDUP(J20/((P20*2)+2.625-Y20*1.5))))</f>
        <v/>
      </c>
      <c r="O20" s="43" t="str">
        <f>IFS(OR(COUNTIF(Info!$A$22:A81,C20)&gt;0,C20=""),"",
OR("3x3 MBLD"=C20,"3x3 FMC"=C20)=TRUE,"",
D20=$E$4,$G$6,D20=$K$4,$M$6,D20=$Q$4,$S$6,D20=$W$4,$Y$6,
TRUE,$S$2)</f>
        <v/>
      </c>
      <c r="P20" s="43" t="str">
        <f>IFS(OR(COUNTIF(Info!$A$22:A81,C20)&gt;0,C20=""),"",
OR("3x3 MBLD"=C20,"3x3 FMC"=C20)=TRUE,"",
D20=$E$4,$E$6,D20=$K$4,$K$6,D20=$Q$4,$Q$6,D20=$W$4,$W$6,
TRUE,$Q$2)</f>
        <v/>
      </c>
      <c r="Q20" s="44" t="str">
        <f>IFS(OR(COUNTIF(Info!$A$22:A81,C20)&gt;0,C20=""),"",
OR("3x3 MBLD"=C20,"3x3 FMC"=C20)=TRUE,"",
D20=$E$4,$I$6,D20=$K$4,$O$6,D20=$Q$4,$U$6,D20=$W$4,$AA$6,
TRUE,$U$2)</f>
        <v/>
      </c>
      <c r="R20" s="45" t="str">
        <f>IFERROR(__xludf.DUMMYFUNCTION("IF(C20="""","""",IFERROR(FILTER(Info!$B$22:B81,Info!$A$22:A81=C20)+M20,""?""))"),"")</f>
        <v/>
      </c>
      <c r="S20" s="46" t="str">
        <f>IFS(OR(COUNTIF(Info!$A$22:A81,C20)&gt;0,C20=""),"",
AND(H20="",I20=""),J20,
TRUE,"?")</f>
        <v/>
      </c>
      <c r="T20" s="45" t="str">
        <f>IFS(OR(COUNTIF(Info!$A$22:A81,C20)&gt;0,C20=""),"",
AND(L20&lt;&gt;0,OR(R20="?",R20="")),"Fyll i R-kolumnen",
OR(C20="3x3 FMC",C20="3x3 MBLD"),R20,
AND(L20&lt;&gt;0,OR(S20="?",S20="")),"Fyll i S-kolumnen",
OR(COUNTIF(Info!$A$22:A81,C20)&gt;0,C20=""),"",
TRUE,Y20*R20/L20)</f>
        <v/>
      </c>
      <c r="U20" s="45"/>
      <c r="V20" s="47" t="str">
        <f>IFS(OR(COUNTIF(Info!$A$22:A81,C20)&gt;0,C20=""),"",
OR("3x3 MBLD"=C20,"3x3 FMC"=C20)=TRUE,"",
TRUE,MROUND((J20/N20),0.01))</f>
        <v/>
      </c>
      <c r="W20" s="48" t="str">
        <f>IFS(OR(COUNTIF(Info!$A$22:A81,C20)&gt;0,C20=""),"",
TRUE,L20/N20)</f>
        <v/>
      </c>
      <c r="X20" s="49" t="str">
        <f>IFS(OR(COUNTIF(Info!$A$22:A81,C20)&gt;0,C20=""),"",
OR("3x3 MBLD"=C20,"3x3 FMC"=C20)=TRUE,"",
OR(C20="4x4 BLD",C20="5x5 BLD",C20="4x4 / 5x5 BLD",AND(C20="3x3 BLD",H20&lt;&gt;""))=TRUE,MIN(V20,P20),
TRUE,MIN(P20,V20,MROUND(((V20*2/3)+((Y20-1.625)/2)),0.01)))</f>
        <v/>
      </c>
      <c r="Y20" s="48" t="str">
        <f>IFERROR(__xludf.DUMMYFUNCTION("IFS(OR(COUNTIF(Info!$A$22:A81,C20)&gt;0,C20=""""),"""",
FILTER(Info!$F$2:F81, Info!$A$2:A81 = C20) = ""Yes"",H20/AA20,
""3x3 FMC""=C20,Info!$B$9,""3x3 MBLD""=C20,Info!$B$18,
AND(E20=1,I20="""",H20="""",Q20=""No"",G20&gt;SUMIF(Info!$A$2:A81,C20,Info!$B$2:B81)*1."&amp;"5),
MIN(SUMIF(Info!$A$2:A81,C20,Info!$B$2:B81)*1.1,SUMIF(Info!$A$2:A81,C20,Info!$B$2:B81)*(1.15-(0.15*(SUMIF(Info!$A$2:A81,C20,Info!$B$2:B81)*1.5)/G20))),
AND(E20=1,I20="""",H20="""",Q20=""Yes"",G20&gt;SUMIF(Info!$A$2:A81,C20,Info!$C$2:C81)*1.5),
MIN(SUMIF(I"&amp;"nfo!$A$2:A81,C20,Info!$C$2:C81)*1.1,SUMIF(Info!$A$2:A81,C20,Info!$C$2:C81)*(1.15-(0.15*(SUMIF(Info!$A$2:A81,C20,Info!$C$2:C81)*1.5)/G20))),
Q20=""No"",SUMIF(Info!$A$2:A81,C20,Info!$B$2:B81),
Q20=""Yes"",SUMIF(Info!$A$2:A81,C20,Info!$C$2:C81))"),"")</f>
        <v/>
      </c>
      <c r="Z20" s="47" t="str">
        <f>IFS(OR(COUNTIF(Info!$A$22:A81,C20)&gt;0,C20=""),"",
AND(OR("3x3 FMC"=C20,"3x3 MBLD"=C20),I20&lt;&gt;""),1,
AND(OR(H20&lt;&gt;"",I20&lt;&gt;""),F20="Avg of 5"),2,
F20="Avg of 5",AA20,
AND(OR(H20&lt;&gt;"",I20&lt;&gt;""),F20="Mean of 3",C20="6x6 / 7x7"),2,
AND(OR(H20&lt;&gt;"",I20&lt;&gt;""),F20="Mean of 3"),1,
F20="Mean of 3",AA20,
AND(OR(H20&lt;&gt;"",I20&lt;&gt;""),F20="Best of 3",C20="4x4 / 5x5 BLD"),2,
AND(OR(H20&lt;&gt;"",I20&lt;&gt;""),F20="Best of 3"),1,
F20="Best of 2",AA20,
F20="Best of 1",AA20)</f>
        <v/>
      </c>
      <c r="AA20" s="47" t="str">
        <f>IFS(OR(COUNTIF(Info!$A$22:A81,C20)&gt;0,C20=""),"",
AND(OR("3x3 MBLD"=C20,"3x3 FMC"=C20),F20="Best of 1"=TRUE),1,
AND(OR("3x3 MBLD"=C20,"3x3 FMC"=C20),F20="Best of 2"=TRUE),2,
AND(OR("3x3 MBLD"=C20,"3x3 FMC"=C20),OR(F20="Best of 3",F20="Mean of 3")=TRUE),3,
AND(F20="Mean of 3",C20="6x6 / 7x7"),6,
AND(F20="Best of 3",C20="4x4 / 5x5 BLD"),6,
F20="Avg of 5",5,F20="Mean of 3",3,F20="Best of 3",3,F20="Best of 2",2,F20="Best of 1",1)</f>
        <v/>
      </c>
      <c r="AB20" s="50"/>
    </row>
    <row r="21" ht="15.75" customHeight="1">
      <c r="A21" s="35">
        <f>IFERROR(__xludf.DUMMYFUNCTION("IFS(indirect(""A""&amp;row()-1)=""Start"",TIME(indirect(""A""&amp;row()-2),indirect(""B""&amp;row()-2),0),
$O$2=""No"",TIME(0,($A$6*60+$B$6)+CEILING(SUM($L$7:indirect(""L""&amp;row()-1)),5),0),
D21=$E$2,TIME(0,($A$6*60+$B$6)+CEILING(SUM(IFERROR(FILTER($L$7:indirect(""L"""&amp;"&amp;row()-1),REGEXMATCH($D$7:indirect(""D""&amp;row()-1),$E$2)),0)),5),0),
TRUE,""=time(hh;mm;ss)"")"),0.4166666666666667)</f>
        <v>0.4166666667</v>
      </c>
      <c r="B21" s="36">
        <f>IFERROR(__xludf.DUMMYFUNCTION("IFS($O$2=""No"",TIME(0,($A$6*60+$B$6)+CEILING(SUM($L$7:indirect(""L""&amp;row())),5),0),
D21=$E$2,TIME(0,($A$6*60+$B$6)+CEILING(SUM(FILTER($L$7:indirect(""L""&amp;row()),REGEXMATCH($D$7:indirect(""D""&amp;row()),$E$2))),5),0),
A21=""=time(hh;mm;ss)"",CONCATENATE(""Sk"&amp;"riv tid i A""&amp;row()),
AND(A21&lt;&gt;"""",A21&lt;&gt;""=time(hh;mm;ss)""),A21+TIME(0,CEILING(indirect(""L""&amp;row()),5),0))"),0.4166666666666667)</f>
        <v>0.4166666667</v>
      </c>
      <c r="C21" s="37"/>
      <c r="D21" s="38" t="str">
        <f t="shared" si="2"/>
        <v>Stora salen</v>
      </c>
      <c r="E21" s="38" t="str">
        <f>IFERROR(__xludf.DUMMYFUNCTION("IFS(COUNTIF(Info!$A$22:A81,C21)&gt;0,"""",
AND(OR(""3x3 FMC""=C21,""3x3 MBLD""=C21),COUNTIF($C$7:indirect(""C""&amp;row()),indirect(""C""&amp;row()))&gt;=13),""E - Error"",
AND(OR(""3x3 FMC""=C21,""3x3 MBLD""=C21),COUNTIF($C$7:indirect(""C""&amp;row()),indirect(""C""&amp;row()"&amp;"))=12),""Final - A3"",
AND(OR(""3x3 FMC""=C21,""3x3 MBLD""=C21),COUNTIF($C$7:indirect(""C""&amp;row()),indirect(""C""&amp;row()))=11),""Final - A2"",
AND(OR(""3x3 FMC""=C21,""3x3 MBLD""=C21),COUNTIF($C$7:indirect(""C""&amp;row()),indirect(""C""&amp;row()))=10),""Final - "&amp;"A1"",
AND(OR(""3x3 FMC""=C21,""3x3 MBLD""=C21),COUNTIF($C$7:indirect(""C""&amp;row()),indirect(""C""&amp;row()))=9,
COUNTIF($C$7:$C$102,indirect(""C""&amp;row()))&gt;9),""R3 - A3"",
AND(OR(""3x3 FMC""=C21,""3x3 MBLD""=C21),COUNTIF($C$7:indirect(""C""&amp;row()),indirect(""C"&amp;"""&amp;row()))=9,
COUNTIF($C$7:$C$102,indirect(""C""&amp;row()))&lt;=9),""Final - A3"",
AND(OR(""3x3 FMC""=C21,""3x3 MBLD""=C21),COUNTIF($C$7:indirect(""C""&amp;row()),indirect(""C""&amp;row()))=8,
COUNTIF($C$7:$C$102,indirect(""C""&amp;row()))&gt;9),""R3 - A2"",
AND(OR(""3x3 FMC"&amp;"""=C21,""3x3 MBLD""=C21),COUNTIF($C$7:indirect(""C""&amp;row()),indirect(""C""&amp;row()))=8,
COUNTIF($C$7:$C$102,indirect(""C""&amp;row()))&lt;=9),""Final - A2"",
AND(OR(""3x3 FMC""=C21,""3x3 MBLD""=C21),COUNTIF($C$7:indirect(""C""&amp;row()),indirect(""C""&amp;row()))=7,
COUN"&amp;"TIF($C$7:$C$102,indirect(""C""&amp;row()))&gt;9),""R3 - A1"",
AND(OR(""3x3 FMC""=C21,""3x3 MBLD""=C21),COUNTIF($C$7:indirect(""C""&amp;row()),indirect(""C""&amp;row()))=7,
COUNTIF($C$7:$C$102,indirect(""C""&amp;row()))&lt;=9),""Final - A1"",
AND(OR(""3x3 FMC""=C21,""3x3 MBLD"""&amp;"=C21),COUNTIF($C$7:indirect(""C""&amp;row()),indirect(""C""&amp;row()))=6,
COUNTIF($C$7:$C$102,indirect(""C""&amp;row()))&gt;6),""R2 - A3"",
AND(OR(""3x3 FMC""=C21,""3x3 MBLD""=C21),COUNTIF($C$7:indirect(""C""&amp;row()),indirect(""C""&amp;row()))=6,
COUNTIF($C$7:$C$102,indirec"&amp;"t(""C""&amp;row()))&lt;=6),""Final - A3"",
AND(OR(""3x3 FMC""=C21,""3x3 MBLD""=C21),COUNTIF($C$7:indirect(""C""&amp;row()),indirect(""C""&amp;row()))=5,
COUNTIF($C$7:$C$102,indirect(""C""&amp;row()))&gt;6),""R2 - A2"",
AND(OR(""3x3 FMC""=C21,""3x3 MBLD""=C21),COUNTIF($C$7:indi"&amp;"rect(""C""&amp;row()),indirect(""C""&amp;row()))=5,
COUNTIF($C$7:$C$102,indirect(""C""&amp;row()))&lt;=6),""Final - A2"",
AND(OR(""3x3 FMC""=C21,""3x3 MBLD""=C21),COUNTIF($C$7:indirect(""C""&amp;row()),indirect(""C""&amp;row()))=4,
COUNTIF($C$7:$C$102,indirect(""C""&amp;row()))&gt;6),"&amp;"""R2 - A1"",
AND(OR(""3x3 FMC""=C21,""3x3 MBLD""=C21),COUNTIF($C$7:indirect(""C""&amp;row()),indirect(""C""&amp;row()))=4,
COUNTIF($C$7:$C$102,indirect(""C""&amp;row()))&lt;=6),""Final - A1"",
AND(OR(""3x3 FMC""=C21,""3x3 MBLD""=C21),COUNTIF($C$7:indirect(""C""&amp;row()),i"&amp;"ndirect(""C""&amp;row()))=3),""R1 - A3"",
AND(OR(""3x3 FMC""=C21,""3x3 MBLD""=C21),COUNTIF($C$7:indirect(""C""&amp;row()),indirect(""C""&amp;row()))=2),""R1 - A2"",
AND(OR(""3x3 FMC""=C21,""3x3 MBLD""=C21),COUNTIF($C$7:indirect(""C""&amp;row()),indirect(""C""&amp;row()))=1),"&amp;"""R1 -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C21),ROUNDUP((FILTER(Info!$H$2:H81,Info!$A$2:A81=C21)/FILTER(Info!$H$2:H81,Info!$A$2:A81=$K$2))*$I$2)&gt;99),3,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C21),ROUNDUP((FILTER(Info!$H$2:H81,Info!$A$2:A81=C21)/FILTER(Info!$H$2:H81,Info!$A$2:A81=$K$2))*$I$2)&gt;15),2,
AND(COUNTIF($C$7:indirect(""C""&amp;row()),indirect(""C""&amp;row()))=2,COUNTIF($C$7:$C$102,indirect(""C""&amp;row()))=COUNTIF($"&amp;"C$7:indirect(""C""&amp;row()),indirect(""C""&amp;row()))),""Final"",
COUNTIF($C$7:indirect(""C""&amp;row()),indirect(""C""&amp;row()))=1,1,
COUNTIF($C$7:indirect(""C""&amp;row()),indirect(""C""&amp;row()))=0,"""")"),"")</f>
        <v/>
      </c>
      <c r="F21" s="39" t="str">
        <f>IFERROR(__xludf.DUMMYFUNCTION("IFS(C21="""","""",
AND(C21=""3x3 FMC"",MOD(COUNTIF($C$7:indirect(""C""&amp;row()),indirect(""C""&amp;row())),3)=0),""Mean of 3"",
AND(C21=""3x3 MBLD"",MOD(COUNTIF($C$7:indirect(""C""&amp;row()),indirect(""C""&amp;row())),3)=0),""Best of 3"",
AND(C21=""3x3 FMC"",MOD(COUNT"&amp;"IF($C$7:indirect(""C""&amp;row()),indirect(""C""&amp;row())),3)=2,
COUNTIF($C$7:$C$102,indirect(""C""&amp;row()))&lt;=COUNTIF($C$7:indirect(""C""&amp;row()),indirect(""C""&amp;row()))),""Best of 2"",
AND(C21=""3x3 FMC"",MOD(COUNTIF($C$7:indirect(""C""&amp;row()),indirect(""C""&amp;row("&amp;"))),3)=2,
COUNTIF($C$7:$C$102,indirect(""C""&amp;row()))&gt;COUNTIF($C$7:indirect(""C""&amp;row()),indirect(""C""&amp;row()))),""Mean of 3"",
AND(C21=""3x3 MBLD"",MOD(COUNTIF($C$7:indirect(""C""&amp;row()),indirect(""C""&amp;row())),3)=2,
COUNTIF($C$7:$C$102,indirect(""C""&amp;row("&amp;")))&lt;=COUNTIF($C$7:indirect(""C""&amp;row()),indirect(""C""&amp;row()))),""Best of 2"",
AND(C21=""3x3 MBLD"",MOD(COUNTIF($C$7:indirect(""C""&amp;row()),indirect(""C""&amp;row())),3)=2,
COUNTIF($C$7:$C$102,indirect(""C""&amp;row()))&gt;COUNTIF($C$7:indirect(""C""&amp;row()),indirect("&amp;"""C""&amp;row()))),""Best of 3"",
AND(C21=""3x3 FMC"",MOD(COUNTIF($C$7:indirect(""C""&amp;row()),indirect(""C""&amp;row())),3)=1,
COUNTIF($C$7:$C$102,indirect(""C""&amp;row()))&lt;=COUNTIF($C$7:indirect(""C""&amp;row()),indirect(""C""&amp;row()))),""Best of 1"",
AND(C21=""3x3 FMC"""&amp;",MOD(COUNTIF($C$7:indirect(""C""&amp;row()),indirect(""C""&amp;row())),3)=1,
COUNTIF($C$7:$C$102,indirect(""C""&amp;row()))=COUNTIF($C$7:indirect(""C""&amp;row()),indirect(""C""&amp;row()))+1),""Best of 2"",
AND(C21=""3x3 FMC"",MOD(COUNTIF($C$7:indirect(""C""&amp;row()),indirect"&amp;"(""C""&amp;row())),3)=1,
COUNTIF($C$7:$C$102,indirect(""C""&amp;row()))&gt;COUNTIF($C$7:indirect(""C""&amp;row()),indirect(""C""&amp;row()))),""Mean of 3"",
AND(C21=""3x3 MBLD"",MOD(COUNTIF($C$7:indirect(""C""&amp;row()),indirect(""C""&amp;row())),3)=1,
COUNTIF($C$7:$C$102,indirect"&amp;"(""C""&amp;row()))&lt;=COUNTIF($C$7:indirect(""C""&amp;row()),indirect(""C""&amp;row()))),""Best of 1"",
AND(C21=""3x3 MBLD"",MOD(COUNTIF($C$7:indirect(""C""&amp;row()),indirect(""C""&amp;row())),3)=1,
COUNTIF($C$7:$C$102,indirect(""C""&amp;row()))=COUNTIF($C$7:indirect(""C""&amp;row()"&amp;"),indirect(""C""&amp;row()))+1),""Best of 2"",
AND(C21=""3x3 MBLD"",MOD(COUNTIF($C$7:indirect(""C""&amp;row()),indirect(""C""&amp;row())),3)=1,
COUNTIF($C$7:$C$102,indirect(""C""&amp;row()))&gt;COUNTIF($C$7:indirect(""C""&amp;row()),indirect(""C""&amp;row()))),""Best of 3"",
TRUE,("&amp;"IFERROR(FILTER(Info!$D$2:D81, Info!$A$2:A81 = C21), """")))"),"")</f>
        <v/>
      </c>
      <c r="G21" s="40" t="str">
        <f>IFERROR(__xludf.DUMMYFUNCTION("IFS(OR(COUNTIF(Info!$A$22:A81,C21)&gt;0,C21=""""),"""",
OR(""3x3 MBLD""=C21,""3x3 FMC""=C21),60,
AND(E21=1,FILTER(Info!$F$2:F81, Info!$A$2:A81 = C21) = ""No""),FILTER(Info!$P$2:P81, Info!$A$2:A81 = C21),
AND(E21=2,FILTER(Info!$F$2:F81, Info!$A$2:A81 = C21) ="&amp;" ""No""),FILTER(Info!$Q$2:Q81, Info!$A$2:A81 = C21),
AND(E21=3,FILTER(Info!$F$2:F81, Info!$A$2:A81 = C21) = ""No""),FILTER(Info!$R$2:R81, Info!$A$2:A81 = C21),
AND(E21=""Final"",FILTER(Info!$F$2:F81, Info!$A$2:A81 = C21) = ""No""),FILTER(Info!$S$2:S81, In"&amp;"fo!$A$2:A81 = C21),
FILTER(Info!$F$2:F81, Info!$A$2:A81 = C21) = ""Yes"","""")"),"")</f>
        <v/>
      </c>
      <c r="H21" s="40" t="str">
        <f>IFERROR(__xludf.DUMMYFUNCTION("IFS(OR(COUNTIF(Info!$A$22:A81,C21)&gt;0,C21=""""),"""",
OR(""3x3 MBLD""=C21,""3x3 FMC""=C21)=TRUE,"""",
FILTER(Info!$F$2:F81, Info!$A$2:A81 = C21) = ""Yes"",FILTER(Info!$O$2:O81, Info!$A$2:A81 = C21),
FILTER(Info!$F$2:F81, Info!$A$2:A81 = C21) = ""No"",IF(G2"&amp;"1="""",FILTER(Info!$O$2:O81, Info!$A$2:A81 = C21),""""))"),"")</f>
        <v/>
      </c>
      <c r="I21" s="40" t="str">
        <f>IFERROR(__xludf.DUMMYFUNCTION("IFS(OR(COUNTIF(Info!$A$22:A81,C21)&gt;0,C21="""",H21&lt;&gt;""""),"""",
AND(E21&lt;&gt;1,E21&lt;&gt;""R1 - A1"",E21&lt;&gt;""R1 - A2"",E21&lt;&gt;""R1 - A3""),"""",
FILTER(Info!$E$2:E81, Info!$A$2:A81 = C21) = ""Yes"",IF(H21="""",FILTER(Info!$L$2:L81, Info!$A$2:A81 = C21),""""),
FILTER(I"&amp;"nfo!$E$2:E81, Info!$A$2:A81 = C21) = ""No"","""")"),"")</f>
        <v/>
      </c>
      <c r="J21" s="40" t="str">
        <f>IFERROR(__xludf.DUMMYFUNCTION("IFS(OR(COUNTIF(Info!$A$22:A81,C21)&gt;0,C21="""",""3x3 MBLD""=C21,""3x3 FMC""=C21),"""",
AND(E21=1,FILTER(Info!$H$2:H81,Info!$A$2:A81 = C21)&lt;=FILTER(Info!$H$2:H81,Info!$A$2:A81=$K$2)),
ROUNDUP((FILTER(Info!$H$2:H81,Info!$A$2:A81 = C21)/FILTER(Info!$H$2:H81,I"&amp;"nfo!$A$2:A81=$K$2))*$I$2),
AND(E21=1,FILTER(Info!$H$2:H81,Info!$A$2:A81 = C21)&gt;FILTER(Info!$H$2:H81,Info!$A$2:A81=$K$2)),""K2 - Error"",
AND(E21=2,FILTER($J$7:indirect(""J""&amp;row()-1),$C$7:indirect(""C""&amp;row()-1)=C21)&lt;=7),""J - Error"",
E21=2,FLOOR(FILTER("&amp;"$J$7:indirect(""J""&amp;row()-1),$C$7:indirect(""C""&amp;row()-1)=C21)*Info!$T$32),
AND(E21=3,FILTER($J$7:indirect(""J""&amp;row()-1),$C$7:indirect(""C""&amp;row()-1)=C21)&lt;=15),""J - Error"",
E21=3,FLOOR(Info!$T$32*FLOOR(FILTER($J$7:indirect(""J""&amp;row()-1),$C$7:indirect("&amp;"""C""&amp;row()-1)=C21)*Info!$T$32)),
AND(E21=""Final"",COUNTIF($C$7:$C$102,C21)=2,FILTER($J$7:indirect(""J""&amp;row()-1),$C$7:indirect(""C""&amp;row()-1)=C21)&lt;=7),""J - Error"",
AND(E21=""Final"",COUNTIF($C$7:$C$102,C21)=2),
MIN(P21,FLOOR(FILTER($J$7:indirect(""J"""&amp;"&amp;row()-1),$C$7:indirect(""C""&amp;row()-1)=C21)*Info!$T$32)),
AND(E21=""Final"",COUNTIF($C$7:$C$102,C21)=3,FILTER($J$7:indirect(""J""&amp;row()-1),$C$7:indirect(""C""&amp;row()-1)=C21)&lt;=15),""J - Error"",
AND(E21=""Final"",COUNTIF($C$7:$C$102,C21)=3),
MIN(P21,FLOOR(I"&amp;"nfo!$T$32*FLOOR(FILTER($J$7:indirect(""J""&amp;row()-1),$C$7:indirect(""C""&amp;row()-1)=C21)*Info!$T$32))),
AND(E21=""Final"",COUNTIF($C$7:$C$102,C21)&gt;=4,FILTER($J$7:indirect(""J""&amp;row()-1),$C$7:indirect(""C""&amp;row()-1)=C21)&lt;=99),""J - Error"",
AND(E21=""Final"","&amp;"COUNTIF($C$7:$C$102,C21)&gt;=4),
MIN(P21,FLOOR(Info!$T$32*FLOOR(Info!$T$32*FLOOR(FILTER($J$7:indirect(""J""&amp;row()-1),$C$7:indirect(""C""&amp;row()-1)=C21)*Info!$T$32)))))"),"")</f>
        <v/>
      </c>
      <c r="K21" s="41" t="str">
        <f>IFERROR(__xludf.DUMMYFUNCTION("IFS(AND(indirect(""D""&amp;row()+2)&lt;&gt;$E$2,indirect(""D""&amp;row()+1)=""""),CONCATENATE(""Tom rad! Kopiera hela rad ""&amp;row()&amp;"" dit""),
AND(indirect(""D""&amp;row()-1)&lt;&gt;""Rum"",indirect(""D""&amp;row()-1)=""""),CONCATENATE(""Tom rad! Kopiera hela rad ""&amp;row()&amp;"" dit""),
"&amp;"C21="""","""",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OR(AND(D21&lt;&gt;$E$2,D21&lt;&gt;$E$4,D21&lt;&gt;$K$4,D21&lt;&gt;$Q$4),D21="&amp;"""""),CONCATENATE(""Rum: ""&amp;D21&amp;"" finns ej, byt i D""&amp;row()),
AND(indirect(""D""&amp;row()-1)=""Rum"",C21=""""),CONCATENATE(""För att börja: skriv i cell C""&amp;row()),
AND(C21=""Paus"",M21&lt;=0),CONCATENATE(""Skriv pausens längd i M""&amp;row()),
OR(COUNTIF(Info!$A$"&amp;"22:A81,C21)&gt;0,C21=""""),"""",
AND(D21&lt;&gt;$E$2,$O$2=""Yes"",A21=""=time(hh;mm;ss)""),CONCATENATE(""Skriv starttid för ""&amp;C21&amp;"" i A""&amp;row()),
E21=""E - Error"",CONCATENATE(""För många ""&amp;C21&amp;"" rundor!""),
AND(C21&lt;&gt;""3x3 FMC"",C21&lt;&gt;""3x3 MBLD"",E21&lt;&gt;1,E21&lt;&gt;"&amp;"""Final"",IFERROR(FILTER($E$7:indirect(""E""&amp;row()-1),
$E$7:indirect(""E""&amp;row()-1)=E21-1,$C$7:indirect(""C""&amp;row()-1)=C21))=FALSE),CONCATENATE(""Kan ej vara R""&amp;E21&amp;"", saknar R""&amp;(E21-1)),
AND(indirect(""E""&amp;row()-1)&lt;&gt;""Omgång"",IFERROR(FILTER($E$7:indi"&amp;"rect(""E""&amp;row()-1),
$E$7:indirect(""E""&amp;row()-1)=E21,$C$7:indirect(""C""&amp;row()-1)=C21)=E21)=TRUE),CONCATENATE(""Runda ""&amp;E21&amp;"" i ""&amp;C21&amp;"" finns redan""),
AND(C21&lt;&gt;""3x3 BLD"",C21&lt;&gt;""4x4 BLD"",C21&lt;&gt;""5x5 BLD"",C21&lt;&gt;""4x4 / 5x5 BLD"",OR(E21=2,E21=3,E21="&amp;"""Final""),H21&lt;&gt;""""),CONCATENATE(E21&amp;""-rundor brukar ej ha c.t.l.""),
AND(OR(E21=2,E21=3,E21=""Final""),I21&lt;&gt;""""),CONCATENATE(E21&amp;""-rundor brukar ej ha cutoff""),
AND(OR(C21=""3x3 FMC"",C21=""3x3 MBLD""),OR(E21=1,E21=2,E21=3,E21=""Final"")),CONCATENAT"&amp;"E(C21&amp;""s omgång är Rx - Ax""),
AND(C21&lt;&gt;""3x3 MBLD"",C21&lt;&gt;""3x3 FMC"",FILTER(Info!$D$2:D81, Info!$A$2:A81 = C21)&lt;&gt;F21),CONCATENATE(C21&amp;"" måste ha formatet ""&amp;FILTER(Info!$D$2:D81, Info!$A$2:A81 = C21)),
AND(C21=""3x3 MBLD"",OR(F21=""Avg of 5"",F21=""Mea"&amp;"n of 3"")),CONCATENATE(""Ogiltigt format för ""&amp;C21),
AND(C21=""3x3 FMC"",OR(F21=""Avg of 5"",F21=""Best of 3"")),CONCATENATE(""Ogiltigt format för ""&amp;C21),
AND(OR(F21=""Best of 1"",F21=""Best of 2"",F21=""Best of 3""),I21&lt;&gt;""""),CONCATENATE(F21&amp;""-rundor"&amp;" får ej ha cutoff""),
AND(OR(C21=""3x3 FMC"",C21=""3x3 MBLD""),G21&lt;&gt;60),CONCATENATE(C21&amp;"" måste ha time limit: 60""),
AND(OR(C21=""3x3 FMC"",C21=""3x3 MBLD""),H21&lt;&gt;""""),CONCATENATE(C21&amp;"" kan inte ha c.t.l.""),
AND(G21&lt;&gt;"""",H21&lt;&gt;""""),""Välj time limit"&amp;" ELLER c.t.l"",
AND(C21=""6x6 / 7x7"",G21="""",H21=""""),""Sätt time limit (x / y) eller c.t.l (z)"",
AND(G21="""",H21=""""),""Sätt en time limit eller c.t.l"",
AND(OR(C21=""6x6 / 7x7"",C21=""4x4 / 5x5 BLD""),G21&lt;&gt;"""",REGEXMATCH(TO_TEXT(G21),"" / "")=FAL"&amp;"SE),CONCATENATE(""Time limit måste vara x / y""),
AND(H21&lt;&gt;"""",I21&lt;&gt;""""),CONCATENATE(C21&amp;"" brukar ej ha cutoff OCH c.t.l""),
AND(E21=1,H21="""",I21="""",OR(FILTER(Info!$E$2:E81, Info!$A$2:A81 = C21) = ""Yes"",FILTER(Info!$F$2:F81, Info!$A$2:A81 = C21) "&amp;"= ""Yes""),OR(F21=""Avg of 5"",F21=""Mean of 3"")),CONCATENATE(C21&amp;"" bör ha cutoff eller c.t.l""),
AND(C21=""6x6 / 7x7"",I21&lt;&gt;"""",REGEXMATCH(TO_TEXT(I21),"" / "")=FALSE),CONCATENATE(""Cutoff måste vara x / y""),
AND(H21&lt;&gt;"""",ISNUMBER(H21)=FALSE),""C.t."&amp;"l. måste vara positivt tal (x)"",
AND(C21&lt;&gt;""6x6 / 7x7"",I21&lt;&gt;"""",ISNUMBER(I21)=FALSE),""Cutoff måste vara positivt tal (x)"",
AND(H21&lt;&gt;"""",FILTER(Info!$E$2:E81, Info!$A$2:A81 = C21) = ""No"",FILTER(Info!$F$2:F81, Info!$A$2:A81 = C21) = ""No""),CONCATEN"&amp;"ATE(C21&amp;"" brukar inte ha c.t.l.""),
AND(I21&lt;&gt;"""",FILTER(Info!$E$2:E81, Info!$A$2:A81 = C21) = ""No"",FILTER(Info!$F$2:F81, Info!$A$2:A81 = C21) = ""No""),CONCATENATE(C21&amp;"" brukar inte ha cutoff""),
AND(H21="""",FILTER(Info!$F$2:F81, Info!$A$2:A81 = C21"&amp;") = ""Yes""),CONCATENATE(C21&amp;"" brukar ha c.t.l.""),
AND(C21&lt;&gt;""6x6 / 7x7"",C21&lt;&gt;""4x4 / 5x5 BLD"",G21&lt;&gt;"""",ISNUMBER(G21)=FALSE),""Time limit måste vara positivt tal (x)"",
J21=""J - Error"",CONCATENATE(""För få deltagare i R1 för ""&amp;COUNTIF($C$7:$C$102,"&amp;"indirect(""C""&amp;row()))&amp;"" rundor""),
J21=""K2 - Error"",CONCATENATE(C21&amp;"" är mer populär - byt i K2!""),
AND(C21&lt;&gt;""6x6 / 7x7"",C21&lt;&gt;""4x4 / 5x5 BLD"",G21&lt;&gt;"""",I21&lt;&gt;"""",G21&lt;=I21),""Time limit måste vara &gt; cutoff"",
AND(C21&lt;&gt;""6x6 / 7x7"",C21&lt;&gt;""4x4 / 5"&amp;"x5 BLD"",H21&lt;&gt;"""",I21&lt;&gt;"""",H21&lt;=I21),""C.t.l. måste vara &gt; cutoff"",
AND(C21&lt;&gt;""3x3 FMC"",C21&lt;&gt;""3x3 MBLD"",J21=""""),CONCATENATE(""Fyll i antal deltagare i J""&amp;row()),
AND(C21="""",OR(E21&lt;&gt;"""",F21&lt;&gt;"""",G21&lt;&gt;"""",H21&lt;&gt;"""",I21&lt;&gt;"""",J21&lt;&gt;"""")),""Skri"&amp;"v ALLTID gren / aktivitet först"",
AND(I21="""",H21="""",J21&lt;&gt;""""),J21,
OR(""3x3 FMC""=C21,""3x3 MBLD""=C21),J21,
AND(I21&lt;&gt;"""",""6x6 / 7x7""=C21),
IFS(ArrayFormula(SUM(IFERROR(SPLIT(I21,"" / ""))))&lt;(Info!$J$6+Info!$J$7)*2/3,CONCATENATE(""Höj helst cutof"&amp;"fs i ""&amp;C21),
ArrayFormula(SUM(IFERROR(SPLIT(I21,"" / ""))))&lt;=(Info!$J$6+Info!$J$7),ROUNDUP(J21*Info!$J$22),
ArrayFormula(SUM(IFERROR(SPLIT(I21,"" / ""))))&lt;=Info!$J$6+Info!$J$7,ROUNDUP(J21*Info!$K$22),
ArrayFormula(SUM(IFERROR(SPLIT(I21,"" / ""))))&lt;=Info!"&amp;"$K$6+Info!$K$7,ROUNDUP(J21*Info!L$22),
ArrayFormula(SUM(IFERROR(SPLIT(I21,"" / ""))))&lt;=Info!$L$6+Info!$L$7,ROUNDUP(J21*Info!$M$22),
ArrayFormula(SUM(IFERROR(SPLIT(I21,"" / ""))))&lt;=Info!$M$6+Info!$M$7,ROUNDUP(J21*Info!$N$22),
ArrayFormula(SUM(IFERROR(SPLIT"&amp;"(I21,"" / ""))))&lt;=(Info!$N$6+Info!$N$7)*3/2,ROUNDUP(J21*Info!$J$26),
ArrayFormula(SUM(IFERROR(SPLIT(I21,"" / ""))))&gt;(Info!$N$6+Info!$N$7)*3/2,CONCATENATE(""Sänk helst cutoffs i ""&amp;C21)),
AND(I21&lt;&gt;"""",FILTER(Info!$E$2:E81, Info!$A$2:A81 = C21) = ""Yes""),"&amp;"
IFS(I21&lt;FILTER(Info!$J$2:J81, Info!$A$2:A81 = C21)*2/3,CONCATENATE(""Höj helst cutoff i ""&amp;C21),
I21&lt;=FILTER(Info!$J$2:J81, Info!$A$2:A81 = C21),ROUNDUP(J21*Info!$J$22),
I21&lt;=FILTER(Info!$K$2:K81, Info!$A$2:A81 = C21),ROUNDUP(J21*Info!$K$22),
I21&lt;=FILTER"&amp;"(Info!$L$2:L81, Info!$A$2:A81 = C21),ROUNDUP(J21*Info!L$22),
I21&lt;=FILTER(Info!$M$2:M81, Info!$A$2:A81 = C21),ROUNDUP(J21*Info!$M$22),
I21&lt;=FILTER(Info!$N$2:N81, Info!$A$2:A81 = C21),ROUNDUP(J21*Info!$N$22),
I21&lt;=FILTER(Info!$N$2:N81, Info!$A$2:A81 = C21)*"&amp;"3/2,ROUNDUP(J21*Info!$J$26),
I21&gt;FILTER(Info!$N$2:N81, Info!$A$2:A81 = C21)*3/2,CONCATENATE(""Sänk helst cutoff i ""&amp;C21)),
AND(H21&lt;&gt;"""",""6x6 / 7x7""=C21),
IFS(H21/3&lt;=(Info!$J$6+Info!$J$7)*2/3,""Höj helst cumulative time limit"",
H21/3&lt;=Info!$J$6+Info!$"&amp;"J$7,ROUNDUP(J21*Info!$J$24),
H21/3&lt;=Info!$K$6+Info!$K$7,ROUNDUP(J21*Info!$K$24),
H21/3&lt;=Info!$L$6+Info!$L$7,ROUNDUP(J21*Info!L$24),
H21/3&lt;=Info!$M$6+Info!$M$7,ROUNDUP(J21*Info!$M$24),
H21/3&lt;=Info!$N$6+Info!$N$7,ROUNDUP(J21*Info!$N$24),
H21/3&lt;=(Info!$N$6+I"&amp;"nfo!$N$7)*3/2,ROUNDUP(J21*Info!$L$26),
H21/3&gt;(Info!$J$6+Info!$J$7)*3/2,""Sänk helst cumulative time limit""),
AND(H21&lt;&gt;"""",FILTER(Info!$F$2:F81, Info!$A$2:A81 = C21) = ""Yes""),
IFS(H21&lt;=FILTER(Info!$J$2:J81, Info!$A$2:A81 = C21)*2/3,CONCATENATE(""Höj he"&amp;"lst c.t.l. i ""&amp;C21),
H21&lt;=FILTER(Info!$J$2:J81, Info!$A$2:A81 = C21),ROUNDUP(J21*Info!$J$24),
H21&lt;=FILTER(Info!$K$2:K81, Info!$A$2:A81 = C21),ROUNDUP(J21*Info!$K$24),
H21&lt;=FILTER(Info!$L$2:L81, Info!$A$2:A81 = C21),ROUNDUP(J21*Info!L$24),
H21&lt;=FILTER(Inf"&amp;"o!$M$2:M81, Info!$A$2:A81 = C21),ROUNDUP(J21*Info!$M$24),
H21&lt;=FILTER(Info!$N$2:N81, Info!$A$2:A81 = C21),ROUNDUP(J21*Info!$N$24),
H21&lt;=FILTER(Info!$N$2:N81, Info!$A$2:A81 = C21)*3/2,ROUNDUP(J21*Info!$L$26),
H21&gt;FILTER(Info!$N$2:N81, Info!$A$2:A81 = C21)*"&amp;"3/2,CONCATENATE(""Sänk helst c.t.l. i ""&amp;C21)),
AND(H21&lt;&gt;"""",FILTER(Info!$F$2:F81, Info!$A$2:A81 = C21) = ""No""),
IFS(H21/AA21&lt;=FILTER(Info!$J$2:J81, Info!$A$2:A81 = C21)*2/3,CONCATENATE(""Höj helst c.t.l. i ""&amp;C21),
H21/AA21&lt;=FILTER(Info!$J$2:J81, Info"&amp;"!$A$2:A81 = C21),ROUNDUP(J21*Info!$J$24),
H21/AA21&lt;=FILTER(Info!$K$2:K81, Info!$A$2:A81 = C21),ROUNDUP(J21*Info!$K$24),
H21/AA21&lt;=FILTER(Info!$L$2:L81, Info!$A$2:A81 = C21),ROUNDUP(J21*Info!L$24),
H21/AA21&lt;=FILTER(Info!$M$2:M81, Info!$A$2:A81 = C21),ROUND"&amp;"UP(J21*Info!$M$24),
H21/AA21&lt;=FILTER(Info!$N$2:N81, Info!$A$2:A81 = C21),ROUNDUP(J21*Info!$N$24),
H21/AA21&lt;=FILTER(Info!$N$2:N81, Info!$A$2:A81 = C21)*3/2,ROUNDUP(J21*Info!$L$26),
H21/AA21&gt;FILTER(Info!$N$2:N81, Info!$A$2:A81 = C21)*3/2,CONCATENATE(""Sänk "&amp;"helst c.t.l. i ""&amp;C21)),
AND(I21="""",H21&lt;&gt;"""",J21&lt;&gt;""""),ROUNDUP(J21*Info!$T$29),
AND(I21&lt;&gt;"""",H21="""",J21&lt;&gt;""""),ROUNDUP(J21*Info!$T$26))"),"")</f>
        <v/>
      </c>
      <c r="L21" s="42">
        <f>IFERROR(__xludf.DUMMYFUNCTION("IFS(C21="""",0,
C21=""3x3 FMC"",Info!$B$9*N21+M21, C21=""3x3 MBLD"",Info!$B$18*N21+M21,
COUNTIF(Info!$A$22:A81,C21)&gt;0,FILTER(Info!$B$22:B81,Info!$A$22:A81=C21)+M21,
AND(C21&lt;&gt;"""",E21=""""),CONCATENATE(""Fyll i E""&amp;row()),
AND(C21&lt;&gt;"""",E21&lt;&gt;"""",E21&lt;&gt;1,E2"&amp;"1&lt;&gt;2,E21&lt;&gt;3,E21&lt;&gt;""Final""),CONCATENATE(""Fel format på E""&amp;row()),
K21=CONCATENATE(""Runda ""&amp;E21&amp;"" i ""&amp;C21&amp;"" finns redan""),CONCATENATE(""Fel i E""&amp;row()),
AND(C21&lt;&gt;"""",F21=""""),CONCATENATE(""Fyll i F""&amp;row()),
K21=CONCATENATE(C21&amp;"" måste ha forma"&amp;"tet ""&amp;FILTER(Info!$D$2:D81, Info!$A$2:A81 = C21)),CONCATENATE(""Fel format på F""&amp;row()),
AND(C21&lt;&gt;"""",D21=1,H21="""",FILTER(Info!$F$2:F81, Info!$A$2:A81 = C21) = ""Yes""),CONCATENATE(""Fyll i H""&amp;row()),
AND(C21&lt;&gt;"""",D21=1,I21="""",FILTER(Info!$E$2:E8"&amp;"1, Info!$A$2:A81 = C21) = ""Yes""),CONCATENATE(""Fyll i I""&amp;row()),
AND(C21&lt;&gt;"""",J21=""""),CONCATENATE(""Fyll i J""&amp;row()),
AND(C21&lt;&gt;"""",K21="""",OR(H21&lt;&gt;"""",I21&lt;&gt;"""")),CONCATENATE(""Fyll i K""&amp;row()),
AND(C21&lt;&gt;"""",K21=""""),CONCATENATE(""Skriv samma"&amp;" i K""&amp;row()&amp;"" som i J""&amp;row()),
AND(OR(C21=""4x4 BLD"",C21=""5x5 BLD"",C21=""4x4 / 5x5 BLD"")=TRUE,V21&lt;=P21),
MROUND(H21*(Info!$T$20-((Info!$T$20-1)/2)*(1-V21/P21))*(1+((J21/K21)-1)*(1-Info!$J$24))*N21+(Info!$T$11/2)+(N21*Info!$T$11)+(N21*Info!$T$14*(O2"&amp;"1-1)),0.01)+M21,
AND(OR(C21=""4x4 BLD"",C21=""5x5 BLD"",C21=""4x4 / 5x5 BLD"")=TRUE,V21&gt;P21),
MROUND((((J21*Z21+K21*(AA21-Z21))*(H21*Info!$T$20/AA21))/X21)*(1+((J21/K21)-1)*(1-Info!$J$24))*(1+(X21-Info!$T$8)/100)+(Info!$T$11/2)+(N21*Info!$T$11)+(N21*Info!"&amp;"$T$14*(O21-1)),0.01)+M21,
AND(C21=""3x3 BLD"",V21&lt;=P21),
MROUND(H21*(Info!$T$23-((Info!$T$23-1)/2)*(1-V21/P21))*(1+((J21/K21)-1)*(1-Info!$J$24))*N21+(Info!$T$11/2)+(N21*Info!$T$11)+(N21*Info!$T$14*(O21-1)),0.01)+M21,
AND(C21=""3x3 BLD"",V21&gt;P21),
MROUND(("&amp;"((J21*Z21+K21*(AA21-Z21))*(H21*Info!$T$23/AA21))/X21)*(1+((J21/K21)-1)*(1-Info!$J$24))*(1+(X21-Info!$T$8)/100)+(Info!$T$11/2)+(N21*Info!$T$11)+(N21*Info!$T$14*(O21-1)),0.01)+M21,
E21=1,MROUND((((J21*Z21+K21*(AA21-Z21))*Y21)/X21)*(1+(X21-Info!$T$8)/100)+(N"&amp;"21*Info!$T$11)+(N21*Info!$T$14*(O21-1)),0.01)+M21,
AND(E21=""Final"",N21=1,FILTER(Info!$G$2:$G$20,Info!$A$2:$A$20=C21)=""Mycket svår""),
MROUND((((J21*Z21+K21*(AA21-Z21))*(Y21*Info!$T$38))/X21)*(1+(X21-Info!$T$8)/100)+(N21*Info!$T$11)+(N21*Info!$T$14*(O21"&amp;"-1)),0.01)+M21,
AND(E21=""Final"",N21=1,FILTER(Info!$G$2:$G$20,Info!$A$2:$A$20=C21)=""Svår""),
MROUND((((J21*Z21+K21*(AA21-Z21))*(Y21*Info!$T$35))/X21)*(1+(X21-Info!$T$8)/100)+(N21*Info!$T$11)+(N21*Info!$T$14*(O21-1)),0.01)+M21,
E21=""Final"",MROUND((((J2"&amp;"1*Z21+K21*(AA21-Z21))*(Y21*Info!$T$5))/X21)*(1+(X21-Info!$T$8)/100)+(N21*Info!$T$11)+(N21*Info!$T$14*(O21-1)),0.01)+M21,
OR(E21=2,E21=3),MROUND((((J21*Z21+K21*(AA21-Z21))*(Y21*Info!$T$2))/X21)*(1+(X21-Info!$T$8)/100)+(N21*Info!$T$11)+(N21*Info!$T$14*(O21-"&amp;"1)),0.01)+M21)"),0.0)</f>
        <v>0</v>
      </c>
      <c r="M21" s="43">
        <f t="shared" si="1"/>
        <v>0</v>
      </c>
      <c r="N21" s="43" t="str">
        <f>IFS(OR(COUNTIF(Info!$A$22:A81,C21)&gt;0,C21=""),"",
OR(C21="4x4 BLD",C21="5x5 BLD",C21="3x3 MBLD",C21="3x3 FMC",C21="4x4 / 5x5 BLD"),1,
AND(E21="Final",Q21="Yes",MAX(1,ROUNDUP(J21/P21))&gt;1),MAX(2,ROUNDUP(J21/P21)),
AND(E21="Final",Q21="No",MAX(1,ROUNDUP(J21/((P21*2)+2.625-Y21*1.5)))&gt;1),MAX(2,ROUNDUP(J21/((P21*2)+2.625-Y21*1.5))),
E21="Final",1,
Q21="Yes",MAX(2,ROUNDUP(J21/P21)),
TRUE,MAX(2,ROUNDUP(J21/((P21*2)+2.625-Y21*1.5))))</f>
        <v/>
      </c>
      <c r="O21" s="43" t="str">
        <f>IFS(OR(COUNTIF(Info!$A$22:A81,C21)&gt;0,C21=""),"",
OR("3x3 MBLD"=C21,"3x3 FMC"=C21)=TRUE,"",
D21=$E$4,$G$6,D21=$K$4,$M$6,D21=$Q$4,$S$6,D21=$W$4,$Y$6,
TRUE,$S$2)</f>
        <v/>
      </c>
      <c r="P21" s="43" t="str">
        <f>IFS(OR(COUNTIF(Info!$A$22:A81,C21)&gt;0,C21=""),"",
OR("3x3 MBLD"=C21,"3x3 FMC"=C21)=TRUE,"",
D21=$E$4,$E$6,D21=$K$4,$K$6,D21=$Q$4,$Q$6,D21=$W$4,$W$6,
TRUE,$Q$2)</f>
        <v/>
      </c>
      <c r="Q21" s="44" t="str">
        <f>IFS(OR(COUNTIF(Info!$A$22:A81,C21)&gt;0,C21=""),"",
OR("3x3 MBLD"=C21,"3x3 FMC"=C21)=TRUE,"",
D21=$E$4,$I$6,D21=$K$4,$O$6,D21=$Q$4,$U$6,D21=$W$4,$AA$6,
TRUE,$U$2)</f>
        <v/>
      </c>
      <c r="R21" s="45" t="str">
        <f>IFERROR(__xludf.DUMMYFUNCTION("IF(C21="""","""",IFERROR(FILTER(Info!$B$22:B81,Info!$A$22:A81=C21)+M21,""?""))"),"")</f>
        <v/>
      </c>
      <c r="S21" s="46" t="str">
        <f>IFS(OR(COUNTIF(Info!$A$22:A81,C21)&gt;0,C21=""),"",
AND(H21="",I21=""),J21,
TRUE,"?")</f>
        <v/>
      </c>
      <c r="T21" s="45" t="str">
        <f>IFS(OR(COUNTIF(Info!$A$22:A81,C21)&gt;0,C21=""),"",
AND(L21&lt;&gt;0,OR(R21="?",R21="")),"Fyll i R-kolumnen",
OR(C21="3x3 FMC",C21="3x3 MBLD"),R21,
AND(L21&lt;&gt;0,OR(S21="?",S21="")),"Fyll i S-kolumnen",
OR(COUNTIF(Info!$A$22:A81,C21)&gt;0,C21=""),"",
TRUE,Y21*R21/L21)</f>
        <v/>
      </c>
      <c r="U21" s="45"/>
      <c r="V21" s="47" t="str">
        <f>IFS(OR(COUNTIF(Info!$A$22:A81,C21)&gt;0,C21=""),"",
OR("3x3 MBLD"=C21,"3x3 FMC"=C21)=TRUE,"",
TRUE,MROUND((J21/N21),0.01))</f>
        <v/>
      </c>
      <c r="W21" s="48" t="str">
        <f>IFS(OR(COUNTIF(Info!$A$22:A81,C21)&gt;0,C21=""),"",
TRUE,L21/N21)</f>
        <v/>
      </c>
      <c r="X21" s="49" t="str">
        <f>IFS(OR(COUNTIF(Info!$A$22:A81,C21)&gt;0,C21=""),"",
OR("3x3 MBLD"=C21,"3x3 FMC"=C21)=TRUE,"",
OR(C21="4x4 BLD",C21="5x5 BLD",C21="4x4 / 5x5 BLD",AND(C21="3x3 BLD",H21&lt;&gt;""))=TRUE,MIN(V21,P21),
TRUE,MIN(P21,V21,MROUND(((V21*2/3)+((Y21-1.625)/2)),0.01)))</f>
        <v/>
      </c>
      <c r="Y21" s="48" t="str">
        <f>IFERROR(__xludf.DUMMYFUNCTION("IFS(OR(COUNTIF(Info!$A$22:A81,C21)&gt;0,C21=""""),"""",
FILTER(Info!$F$2:F81, Info!$A$2:A81 = C21) = ""Yes"",H21/AA21,
""3x3 FMC""=C21,Info!$B$9,""3x3 MBLD""=C21,Info!$B$18,
AND(E21=1,I21="""",H21="""",Q21=""No"",G21&gt;SUMIF(Info!$A$2:A81,C21,Info!$B$2:B81)*1."&amp;"5),
MIN(SUMIF(Info!$A$2:A81,C21,Info!$B$2:B81)*1.1,SUMIF(Info!$A$2:A81,C21,Info!$B$2:B81)*(1.15-(0.15*(SUMIF(Info!$A$2:A81,C21,Info!$B$2:B81)*1.5)/G21))),
AND(E21=1,I21="""",H21="""",Q21=""Yes"",G21&gt;SUMIF(Info!$A$2:A81,C21,Info!$C$2:C81)*1.5),
MIN(SUMIF(I"&amp;"nfo!$A$2:A81,C21,Info!$C$2:C81)*1.1,SUMIF(Info!$A$2:A81,C21,Info!$C$2:C81)*(1.15-(0.15*(SUMIF(Info!$A$2:A81,C21,Info!$C$2:C81)*1.5)/G21))),
Q21=""No"",SUMIF(Info!$A$2:A81,C21,Info!$B$2:B81),
Q21=""Yes"",SUMIF(Info!$A$2:A81,C21,Info!$C$2:C81))"),"")</f>
        <v/>
      </c>
      <c r="Z21" s="47" t="str">
        <f>IFS(OR(COUNTIF(Info!$A$22:A81,C21)&gt;0,C21=""),"",
AND(OR("3x3 FMC"=C21,"3x3 MBLD"=C21),I21&lt;&gt;""),1,
AND(OR(H21&lt;&gt;"",I21&lt;&gt;""),F21="Avg of 5"),2,
F21="Avg of 5",AA21,
AND(OR(H21&lt;&gt;"",I21&lt;&gt;""),F21="Mean of 3",C21="6x6 / 7x7"),2,
AND(OR(H21&lt;&gt;"",I21&lt;&gt;""),F21="Mean of 3"),1,
F21="Mean of 3",AA21,
AND(OR(H21&lt;&gt;"",I21&lt;&gt;""),F21="Best of 3",C21="4x4 / 5x5 BLD"),2,
AND(OR(H21&lt;&gt;"",I21&lt;&gt;""),F21="Best of 3"),1,
F21="Best of 2",AA21,
F21="Best of 1",AA21)</f>
        <v/>
      </c>
      <c r="AA21" s="47" t="str">
        <f>IFS(OR(COUNTIF(Info!$A$22:A81,C21)&gt;0,C21=""),"",
AND(OR("3x3 MBLD"=C21,"3x3 FMC"=C21),F21="Best of 1"=TRUE),1,
AND(OR("3x3 MBLD"=C21,"3x3 FMC"=C21),F21="Best of 2"=TRUE),2,
AND(OR("3x3 MBLD"=C21,"3x3 FMC"=C21),OR(F21="Best of 3",F21="Mean of 3")=TRUE),3,
AND(F21="Mean of 3",C21="6x6 / 7x7"),6,
AND(F21="Best of 3",C21="4x4 / 5x5 BLD"),6,
F21="Avg of 5",5,F21="Mean of 3",3,F21="Best of 3",3,F21="Best of 2",2,F21="Best of 1",1)</f>
        <v/>
      </c>
      <c r="AB21" s="50"/>
    </row>
    <row r="22" ht="15.75" customHeight="1">
      <c r="A22" s="35">
        <f>IFERROR(__xludf.DUMMYFUNCTION("IFS(indirect(""A""&amp;row()-1)=""Start"",TIME(indirect(""A""&amp;row()-2),indirect(""B""&amp;row()-2),0),
$O$2=""No"",TIME(0,($A$6*60+$B$6)+CEILING(SUM($L$7:indirect(""L""&amp;row()-1)),5),0),
D22=$E$2,TIME(0,($A$6*60+$B$6)+CEILING(SUM(IFERROR(FILTER($L$7:indirect(""L"""&amp;"&amp;row()-1),REGEXMATCH($D$7:indirect(""D""&amp;row()-1),$E$2)),0)),5),0),
TRUE,""=time(hh;mm;ss)"")"),0.4166666666666667)</f>
        <v>0.4166666667</v>
      </c>
      <c r="B22" s="36">
        <f>IFERROR(__xludf.DUMMYFUNCTION("IFS($O$2=""No"",TIME(0,($A$6*60+$B$6)+CEILING(SUM($L$7:indirect(""L""&amp;row())),5),0),
D22=$E$2,TIME(0,($A$6*60+$B$6)+CEILING(SUM(FILTER($L$7:indirect(""L""&amp;row()),REGEXMATCH($D$7:indirect(""D""&amp;row()),$E$2))),5),0),
A22=""=time(hh;mm;ss)"",CONCATENATE(""Sk"&amp;"riv tid i A""&amp;row()),
AND(A22&lt;&gt;"""",A22&lt;&gt;""=time(hh;mm;ss)""),A22+TIME(0,CEILING(indirect(""L""&amp;row()),5),0))"),0.4166666666666667)</f>
        <v>0.4166666667</v>
      </c>
      <c r="C22" s="37"/>
      <c r="D22" s="38" t="str">
        <f t="shared" si="2"/>
        <v>Stora salen</v>
      </c>
      <c r="E22" s="38" t="str">
        <f>IFERROR(__xludf.DUMMYFUNCTION("IFS(COUNTIF(Info!$A$22:A81,C22)&gt;0,"""",
AND(OR(""3x3 FMC""=C22,""3x3 MBLD""=C22),COUNTIF($C$7:indirect(""C""&amp;row()),indirect(""C""&amp;row()))&gt;=13),""E - Error"",
AND(OR(""3x3 FMC""=C22,""3x3 MBLD""=C22),COUNTIF($C$7:indirect(""C""&amp;row()),indirect(""C""&amp;row()"&amp;"))=12),""Final - A3"",
AND(OR(""3x3 FMC""=C22,""3x3 MBLD""=C22),COUNTIF($C$7:indirect(""C""&amp;row()),indirect(""C""&amp;row()))=11),""Final - A2"",
AND(OR(""3x3 FMC""=C22,""3x3 MBLD""=C22),COUNTIF($C$7:indirect(""C""&amp;row()),indirect(""C""&amp;row()))=10),""Final - "&amp;"A1"",
AND(OR(""3x3 FMC""=C22,""3x3 MBLD""=C22),COUNTIF($C$7:indirect(""C""&amp;row()),indirect(""C""&amp;row()))=9,
COUNTIF($C$7:$C$102,indirect(""C""&amp;row()))&gt;9),""R3 - A3"",
AND(OR(""3x3 FMC""=C22,""3x3 MBLD""=C22),COUNTIF($C$7:indirect(""C""&amp;row()),indirect(""C"&amp;"""&amp;row()))=9,
COUNTIF($C$7:$C$102,indirect(""C""&amp;row()))&lt;=9),""Final - A3"",
AND(OR(""3x3 FMC""=C22,""3x3 MBLD""=C22),COUNTIF($C$7:indirect(""C""&amp;row()),indirect(""C""&amp;row()))=8,
COUNTIF($C$7:$C$102,indirect(""C""&amp;row()))&gt;9),""R3 - A2"",
AND(OR(""3x3 FMC"&amp;"""=C22,""3x3 MBLD""=C22),COUNTIF($C$7:indirect(""C""&amp;row()),indirect(""C""&amp;row()))=8,
COUNTIF($C$7:$C$102,indirect(""C""&amp;row()))&lt;=9),""Final - A2"",
AND(OR(""3x3 FMC""=C22,""3x3 MBLD""=C22),COUNTIF($C$7:indirect(""C""&amp;row()),indirect(""C""&amp;row()))=7,
COUN"&amp;"TIF($C$7:$C$102,indirect(""C""&amp;row()))&gt;9),""R3 - A1"",
AND(OR(""3x3 FMC""=C22,""3x3 MBLD""=C22),COUNTIF($C$7:indirect(""C""&amp;row()),indirect(""C""&amp;row()))=7,
COUNTIF($C$7:$C$102,indirect(""C""&amp;row()))&lt;=9),""Final - A1"",
AND(OR(""3x3 FMC""=C22,""3x3 MBLD"""&amp;"=C22),COUNTIF($C$7:indirect(""C""&amp;row()),indirect(""C""&amp;row()))=6,
COUNTIF($C$7:$C$102,indirect(""C""&amp;row()))&gt;6),""R2 - A3"",
AND(OR(""3x3 FMC""=C22,""3x3 MBLD""=C22),COUNTIF($C$7:indirect(""C""&amp;row()),indirect(""C""&amp;row()))=6,
COUNTIF($C$7:$C$102,indirec"&amp;"t(""C""&amp;row()))&lt;=6),""Final - A3"",
AND(OR(""3x3 FMC""=C22,""3x3 MBLD""=C22),COUNTIF($C$7:indirect(""C""&amp;row()),indirect(""C""&amp;row()))=5,
COUNTIF($C$7:$C$102,indirect(""C""&amp;row()))&gt;6),""R2 - A2"",
AND(OR(""3x3 FMC""=C22,""3x3 MBLD""=C22),COUNTIF($C$7:indi"&amp;"rect(""C""&amp;row()),indirect(""C""&amp;row()))=5,
COUNTIF($C$7:$C$102,indirect(""C""&amp;row()))&lt;=6),""Final - A2"",
AND(OR(""3x3 FMC""=C22,""3x3 MBLD""=C22),COUNTIF($C$7:indirect(""C""&amp;row()),indirect(""C""&amp;row()))=4,
COUNTIF($C$7:$C$102,indirect(""C""&amp;row()))&gt;6),"&amp;"""R2 - A1"",
AND(OR(""3x3 FMC""=C22,""3x3 MBLD""=C22),COUNTIF($C$7:indirect(""C""&amp;row()),indirect(""C""&amp;row()))=4,
COUNTIF($C$7:$C$102,indirect(""C""&amp;row()))&lt;=6),""Final - A1"",
AND(OR(""3x3 FMC""=C22,""3x3 MBLD""=C22),COUNTIF($C$7:indirect(""C""&amp;row()),i"&amp;"ndirect(""C""&amp;row()))=3),""R1 - A3"",
AND(OR(""3x3 FMC""=C22,""3x3 MBLD""=C22),COUNTIF($C$7:indirect(""C""&amp;row()),indirect(""C""&amp;row()))=2),""R1 - A2"",
AND(OR(""3x3 FMC""=C22,""3x3 MBLD""=C22),COUNTIF($C$7:indirect(""C""&amp;row()),indirect(""C""&amp;row()))=1),"&amp;"""R1 -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C22),ROUNDUP((FILTER(Info!$H$2:H81,Info!$A$2:A81=C22)/FILTER(Info!$H$2:H81,Info!$A$2:A81=$K$2))*$I$2)&gt;99),3,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C22),ROUNDUP((FILTER(Info!$H$2:H81,Info!$A$2:A81=C22)/FILTER(Info!$H$2:H81,Info!$A$2:A81=$K$2))*$I$2)&gt;15),2,
AND(COUNTIF($C$7:indirect(""C""&amp;row()),indirect(""C""&amp;row()))=2,COUNTIF($C$7:$C$102,indirect(""C""&amp;row()))=COUNTIF($"&amp;"C$7:indirect(""C""&amp;row()),indirect(""C""&amp;row()))),""Final"",
COUNTIF($C$7:indirect(""C""&amp;row()),indirect(""C""&amp;row()))=1,1,
COUNTIF($C$7:indirect(""C""&amp;row()),indirect(""C""&amp;row()))=0,"""")"),"")</f>
        <v/>
      </c>
      <c r="F22" s="39" t="str">
        <f>IFERROR(__xludf.DUMMYFUNCTION("IFS(C22="""","""",
AND(C22=""3x3 FMC"",MOD(COUNTIF($C$7:indirect(""C""&amp;row()),indirect(""C""&amp;row())),3)=0),""Mean of 3"",
AND(C22=""3x3 MBLD"",MOD(COUNTIF($C$7:indirect(""C""&amp;row()),indirect(""C""&amp;row())),3)=0),""Best of 3"",
AND(C22=""3x3 FMC"",MOD(COUNT"&amp;"IF($C$7:indirect(""C""&amp;row()),indirect(""C""&amp;row())),3)=2,
COUNTIF($C$7:$C$102,indirect(""C""&amp;row()))&lt;=COUNTIF($C$7:indirect(""C""&amp;row()),indirect(""C""&amp;row()))),""Best of 2"",
AND(C22=""3x3 FMC"",MOD(COUNTIF($C$7:indirect(""C""&amp;row()),indirect(""C""&amp;row("&amp;"))),3)=2,
COUNTIF($C$7:$C$102,indirect(""C""&amp;row()))&gt;COUNTIF($C$7:indirect(""C""&amp;row()),indirect(""C""&amp;row()))),""Mean of 3"",
AND(C22=""3x3 MBLD"",MOD(COUNTIF($C$7:indirect(""C""&amp;row()),indirect(""C""&amp;row())),3)=2,
COUNTIF($C$7:$C$102,indirect(""C""&amp;row("&amp;")))&lt;=COUNTIF($C$7:indirect(""C""&amp;row()),indirect(""C""&amp;row()))),""Best of 2"",
AND(C22=""3x3 MBLD"",MOD(COUNTIF($C$7:indirect(""C""&amp;row()),indirect(""C""&amp;row())),3)=2,
COUNTIF($C$7:$C$102,indirect(""C""&amp;row()))&gt;COUNTIF($C$7:indirect(""C""&amp;row()),indirect("&amp;"""C""&amp;row()))),""Best of 3"",
AND(C22=""3x3 FMC"",MOD(COUNTIF($C$7:indirect(""C""&amp;row()),indirect(""C""&amp;row())),3)=1,
COUNTIF($C$7:$C$102,indirect(""C""&amp;row()))&lt;=COUNTIF($C$7:indirect(""C""&amp;row()),indirect(""C""&amp;row()))),""Best of 1"",
AND(C22=""3x3 FMC"""&amp;",MOD(COUNTIF($C$7:indirect(""C""&amp;row()),indirect(""C""&amp;row())),3)=1,
COUNTIF($C$7:$C$102,indirect(""C""&amp;row()))=COUNTIF($C$7:indirect(""C""&amp;row()),indirect(""C""&amp;row()))+1),""Best of 2"",
AND(C22=""3x3 FMC"",MOD(COUNTIF($C$7:indirect(""C""&amp;row()),indirect"&amp;"(""C""&amp;row())),3)=1,
COUNTIF($C$7:$C$102,indirect(""C""&amp;row()))&gt;COUNTIF($C$7:indirect(""C""&amp;row()),indirect(""C""&amp;row()))),""Mean of 3"",
AND(C22=""3x3 MBLD"",MOD(COUNTIF($C$7:indirect(""C""&amp;row()),indirect(""C""&amp;row())),3)=1,
COUNTIF($C$7:$C$102,indirect"&amp;"(""C""&amp;row()))&lt;=COUNTIF($C$7:indirect(""C""&amp;row()),indirect(""C""&amp;row()))),""Best of 1"",
AND(C22=""3x3 MBLD"",MOD(COUNTIF($C$7:indirect(""C""&amp;row()),indirect(""C""&amp;row())),3)=1,
COUNTIF($C$7:$C$102,indirect(""C""&amp;row()))=COUNTIF($C$7:indirect(""C""&amp;row()"&amp;"),indirect(""C""&amp;row()))+1),""Best of 2"",
AND(C22=""3x3 MBLD"",MOD(COUNTIF($C$7:indirect(""C""&amp;row()),indirect(""C""&amp;row())),3)=1,
COUNTIF($C$7:$C$102,indirect(""C""&amp;row()))&gt;COUNTIF($C$7:indirect(""C""&amp;row()),indirect(""C""&amp;row()))),""Best of 3"",
TRUE,("&amp;"IFERROR(FILTER(Info!$D$2:D81, Info!$A$2:A81 = C22), """")))"),"")</f>
        <v/>
      </c>
      <c r="G22" s="40" t="str">
        <f>IFERROR(__xludf.DUMMYFUNCTION("IFS(OR(COUNTIF(Info!$A$22:A81,C22)&gt;0,C22=""""),"""",
OR(""3x3 MBLD""=C22,""3x3 FMC""=C22),60,
AND(E22=1,FILTER(Info!$F$2:F81, Info!$A$2:A81 = C22) = ""No""),FILTER(Info!$P$2:P81, Info!$A$2:A81 = C22),
AND(E22=2,FILTER(Info!$F$2:F81, Info!$A$2:A81 = C22) ="&amp;" ""No""),FILTER(Info!$Q$2:Q81, Info!$A$2:A81 = C22),
AND(E22=3,FILTER(Info!$F$2:F81, Info!$A$2:A81 = C22) = ""No""),FILTER(Info!$R$2:R81, Info!$A$2:A81 = C22),
AND(E22=""Final"",FILTER(Info!$F$2:F81, Info!$A$2:A81 = C22) = ""No""),FILTER(Info!$S$2:S81, In"&amp;"fo!$A$2:A81 = C22),
FILTER(Info!$F$2:F81, Info!$A$2:A81 = C22) = ""Yes"","""")"),"")</f>
        <v/>
      </c>
      <c r="H22" s="40" t="str">
        <f>IFERROR(__xludf.DUMMYFUNCTION("IFS(OR(COUNTIF(Info!$A$22:A81,C22)&gt;0,C22=""""),"""",
OR(""3x3 MBLD""=C22,""3x3 FMC""=C22)=TRUE,"""",
FILTER(Info!$F$2:F81, Info!$A$2:A81 = C22) = ""Yes"",FILTER(Info!$O$2:O81, Info!$A$2:A81 = C22),
FILTER(Info!$F$2:F81, Info!$A$2:A81 = C22) = ""No"",IF(G2"&amp;"2="""",FILTER(Info!$O$2:O81, Info!$A$2:A81 = C22),""""))"),"")</f>
        <v/>
      </c>
      <c r="I22" s="40" t="str">
        <f>IFERROR(__xludf.DUMMYFUNCTION("IFS(OR(COUNTIF(Info!$A$22:A81,C22)&gt;0,C22="""",H22&lt;&gt;""""),"""",
AND(E22&lt;&gt;1,E22&lt;&gt;""R1 - A1"",E22&lt;&gt;""R1 - A2"",E22&lt;&gt;""R1 - A3""),"""",
FILTER(Info!$E$2:E81, Info!$A$2:A81 = C22) = ""Yes"",IF(H22="""",FILTER(Info!$L$2:L81, Info!$A$2:A81 = C22),""""),
FILTER(I"&amp;"nfo!$E$2:E81, Info!$A$2:A81 = C22) = ""No"","""")"),"")</f>
        <v/>
      </c>
      <c r="J22" s="40" t="str">
        <f>IFERROR(__xludf.DUMMYFUNCTION("IFS(OR(COUNTIF(Info!$A$22:A81,C22)&gt;0,C22="""",""3x3 MBLD""=C22,""3x3 FMC""=C22),"""",
AND(E22=1,FILTER(Info!$H$2:H81,Info!$A$2:A81 = C22)&lt;=FILTER(Info!$H$2:H81,Info!$A$2:A81=$K$2)),
ROUNDUP((FILTER(Info!$H$2:H81,Info!$A$2:A81 = C22)/FILTER(Info!$H$2:H81,I"&amp;"nfo!$A$2:A81=$K$2))*$I$2),
AND(E22=1,FILTER(Info!$H$2:H81,Info!$A$2:A81 = C22)&gt;FILTER(Info!$H$2:H81,Info!$A$2:A81=$K$2)),""K2 - Error"",
AND(E22=2,FILTER($J$7:indirect(""J""&amp;row()-1),$C$7:indirect(""C""&amp;row()-1)=C22)&lt;=7),""J - Error"",
E22=2,FLOOR(FILTER("&amp;"$J$7:indirect(""J""&amp;row()-1),$C$7:indirect(""C""&amp;row()-1)=C22)*Info!$T$32),
AND(E22=3,FILTER($J$7:indirect(""J""&amp;row()-1),$C$7:indirect(""C""&amp;row()-1)=C22)&lt;=15),""J - Error"",
E22=3,FLOOR(Info!$T$32*FLOOR(FILTER($J$7:indirect(""J""&amp;row()-1),$C$7:indirect("&amp;"""C""&amp;row()-1)=C22)*Info!$T$32)),
AND(E22=""Final"",COUNTIF($C$7:$C$102,C22)=2,FILTER($J$7:indirect(""J""&amp;row()-1),$C$7:indirect(""C""&amp;row()-1)=C22)&lt;=7),""J - Error"",
AND(E22=""Final"",COUNTIF($C$7:$C$102,C22)=2),
MIN(P22,FLOOR(FILTER($J$7:indirect(""J"""&amp;"&amp;row()-1),$C$7:indirect(""C""&amp;row()-1)=C22)*Info!$T$32)),
AND(E22=""Final"",COUNTIF($C$7:$C$102,C22)=3,FILTER($J$7:indirect(""J""&amp;row()-1),$C$7:indirect(""C""&amp;row()-1)=C22)&lt;=15),""J - Error"",
AND(E22=""Final"",COUNTIF($C$7:$C$102,C22)=3),
MIN(P22,FLOOR(I"&amp;"nfo!$T$32*FLOOR(FILTER($J$7:indirect(""J""&amp;row()-1),$C$7:indirect(""C""&amp;row()-1)=C22)*Info!$T$32))),
AND(E22=""Final"",COUNTIF($C$7:$C$102,C22)&gt;=4,FILTER($J$7:indirect(""J""&amp;row()-1),$C$7:indirect(""C""&amp;row()-1)=C22)&lt;=99),""J - Error"",
AND(E22=""Final"","&amp;"COUNTIF($C$7:$C$102,C22)&gt;=4),
MIN(P22,FLOOR(Info!$T$32*FLOOR(Info!$T$32*FLOOR(FILTER($J$7:indirect(""J""&amp;row()-1),$C$7:indirect(""C""&amp;row()-1)=C22)*Info!$T$32)))))"),"")</f>
        <v/>
      </c>
      <c r="K22" s="41" t="str">
        <f>IFERROR(__xludf.DUMMYFUNCTION("IFS(AND(indirect(""D""&amp;row()+2)&lt;&gt;$E$2,indirect(""D""&amp;row()+1)=""""),CONCATENATE(""Tom rad! Kopiera hela rad ""&amp;row()&amp;"" dit""),
AND(indirect(""D""&amp;row()-1)&lt;&gt;""Rum"",indirect(""D""&amp;row()-1)=""""),CONCATENATE(""Tom rad! Kopiera hela rad ""&amp;row()&amp;"" dit""),
"&amp;"C22="""","""",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OR(AND(D22&lt;&gt;$E$2,D22&lt;&gt;$E$4,D22&lt;&gt;$K$4,D22&lt;&gt;$Q$4),D22="&amp;"""""),CONCATENATE(""Rum: ""&amp;D22&amp;"" finns ej, byt i D""&amp;row()),
AND(indirect(""D""&amp;row()-1)=""Rum"",C22=""""),CONCATENATE(""För att börja: skriv i cell C""&amp;row()),
AND(C22=""Paus"",M22&lt;=0),CONCATENATE(""Skriv pausens längd i M""&amp;row()),
OR(COUNTIF(Info!$A$"&amp;"22:A81,C22)&gt;0,C22=""""),"""",
AND(D22&lt;&gt;$E$2,$O$2=""Yes"",A22=""=time(hh;mm;ss)""),CONCATENATE(""Skriv starttid för ""&amp;C22&amp;"" i A""&amp;row()),
E22=""E - Error"",CONCATENATE(""För många ""&amp;C22&amp;"" rundor!""),
AND(C22&lt;&gt;""3x3 FMC"",C22&lt;&gt;""3x3 MBLD"",E22&lt;&gt;1,E22&lt;&gt;"&amp;"""Final"",IFERROR(FILTER($E$7:indirect(""E""&amp;row()-1),
$E$7:indirect(""E""&amp;row()-1)=E22-1,$C$7:indirect(""C""&amp;row()-1)=C22))=FALSE),CONCATENATE(""Kan ej vara R""&amp;E22&amp;"", saknar R""&amp;(E22-1)),
AND(indirect(""E""&amp;row()-1)&lt;&gt;""Omgång"",IFERROR(FILTER($E$7:indi"&amp;"rect(""E""&amp;row()-1),
$E$7:indirect(""E""&amp;row()-1)=E22,$C$7:indirect(""C""&amp;row()-1)=C22)=E22)=TRUE),CONCATENATE(""Runda ""&amp;E22&amp;"" i ""&amp;C22&amp;"" finns redan""),
AND(C22&lt;&gt;""3x3 BLD"",C22&lt;&gt;""4x4 BLD"",C22&lt;&gt;""5x5 BLD"",C22&lt;&gt;""4x4 / 5x5 BLD"",OR(E22=2,E22=3,E22="&amp;"""Final""),H22&lt;&gt;""""),CONCATENATE(E22&amp;""-rundor brukar ej ha c.t.l.""),
AND(OR(E22=2,E22=3,E22=""Final""),I22&lt;&gt;""""),CONCATENATE(E22&amp;""-rundor brukar ej ha cutoff""),
AND(OR(C22=""3x3 FMC"",C22=""3x3 MBLD""),OR(E22=1,E22=2,E22=3,E22=""Final"")),CONCATENAT"&amp;"E(C22&amp;""s omgång är Rx - Ax""),
AND(C22&lt;&gt;""3x3 MBLD"",C22&lt;&gt;""3x3 FMC"",FILTER(Info!$D$2:D81, Info!$A$2:A81 = C22)&lt;&gt;F22),CONCATENATE(C22&amp;"" måste ha formatet ""&amp;FILTER(Info!$D$2:D81, Info!$A$2:A81 = C22)),
AND(C22=""3x3 MBLD"",OR(F22=""Avg of 5"",F22=""Mea"&amp;"n of 3"")),CONCATENATE(""Ogiltigt format för ""&amp;C22),
AND(C22=""3x3 FMC"",OR(F22=""Avg of 5"",F22=""Best of 3"")),CONCATENATE(""Ogiltigt format för ""&amp;C22),
AND(OR(F22=""Best of 1"",F22=""Best of 2"",F22=""Best of 3""),I22&lt;&gt;""""),CONCATENATE(F22&amp;""-rundor"&amp;" får ej ha cutoff""),
AND(OR(C22=""3x3 FMC"",C22=""3x3 MBLD""),G22&lt;&gt;60),CONCATENATE(C22&amp;"" måste ha time limit: 60""),
AND(OR(C22=""3x3 FMC"",C22=""3x3 MBLD""),H22&lt;&gt;""""),CONCATENATE(C22&amp;"" kan inte ha c.t.l.""),
AND(G22&lt;&gt;"""",H22&lt;&gt;""""),""Välj time limit"&amp;" ELLER c.t.l"",
AND(C22=""6x6 / 7x7"",G22="""",H22=""""),""Sätt time limit (x / y) eller c.t.l (z)"",
AND(G22="""",H22=""""),""Sätt en time limit eller c.t.l"",
AND(OR(C22=""6x6 / 7x7"",C22=""4x4 / 5x5 BLD""),G22&lt;&gt;"""",REGEXMATCH(TO_TEXT(G22),"" / "")=FAL"&amp;"SE),CONCATENATE(""Time limit måste vara x / y""),
AND(H22&lt;&gt;"""",I22&lt;&gt;""""),CONCATENATE(C22&amp;"" brukar ej ha cutoff OCH c.t.l""),
AND(E22=1,H22="""",I22="""",OR(FILTER(Info!$E$2:E81, Info!$A$2:A81 = C22) = ""Yes"",FILTER(Info!$F$2:F81, Info!$A$2:A81 = C22) "&amp;"= ""Yes""),OR(F22=""Avg of 5"",F22=""Mean of 3"")),CONCATENATE(C22&amp;"" bör ha cutoff eller c.t.l""),
AND(C22=""6x6 / 7x7"",I22&lt;&gt;"""",REGEXMATCH(TO_TEXT(I22),"" / "")=FALSE),CONCATENATE(""Cutoff måste vara x / y""),
AND(H22&lt;&gt;"""",ISNUMBER(H22)=FALSE),""C.t."&amp;"l. måste vara positivt tal (x)"",
AND(C22&lt;&gt;""6x6 / 7x7"",I22&lt;&gt;"""",ISNUMBER(I22)=FALSE),""Cutoff måste vara positivt tal (x)"",
AND(H22&lt;&gt;"""",FILTER(Info!$E$2:E81, Info!$A$2:A81 = C22) = ""No"",FILTER(Info!$F$2:F81, Info!$A$2:A81 = C22) = ""No""),CONCATEN"&amp;"ATE(C22&amp;"" brukar inte ha c.t.l.""),
AND(I22&lt;&gt;"""",FILTER(Info!$E$2:E81, Info!$A$2:A81 = C22) = ""No"",FILTER(Info!$F$2:F81, Info!$A$2:A81 = C22) = ""No""),CONCATENATE(C22&amp;"" brukar inte ha cutoff""),
AND(H22="""",FILTER(Info!$F$2:F81, Info!$A$2:A81 = C22"&amp;") = ""Yes""),CONCATENATE(C22&amp;"" brukar ha c.t.l.""),
AND(C22&lt;&gt;""6x6 / 7x7"",C22&lt;&gt;""4x4 / 5x5 BLD"",G22&lt;&gt;"""",ISNUMBER(G22)=FALSE),""Time limit måste vara positivt tal (x)"",
J22=""J - Error"",CONCATENATE(""För få deltagare i R1 för ""&amp;COUNTIF($C$7:$C$102,"&amp;"indirect(""C""&amp;row()))&amp;"" rundor""),
J22=""K2 - Error"",CONCATENATE(C22&amp;"" är mer populär - byt i K2!""),
AND(C22&lt;&gt;""6x6 / 7x7"",C22&lt;&gt;""4x4 / 5x5 BLD"",G22&lt;&gt;"""",I22&lt;&gt;"""",G22&lt;=I22),""Time limit måste vara &gt; cutoff"",
AND(C22&lt;&gt;""6x6 / 7x7"",C22&lt;&gt;""4x4 / 5"&amp;"x5 BLD"",H22&lt;&gt;"""",I22&lt;&gt;"""",H22&lt;=I22),""C.t.l. måste vara &gt; cutoff"",
AND(C22&lt;&gt;""3x3 FMC"",C22&lt;&gt;""3x3 MBLD"",J22=""""),CONCATENATE(""Fyll i antal deltagare i J""&amp;row()),
AND(C22="""",OR(E22&lt;&gt;"""",F22&lt;&gt;"""",G22&lt;&gt;"""",H22&lt;&gt;"""",I22&lt;&gt;"""",J22&lt;&gt;"""")),""Skri"&amp;"v ALLTID gren / aktivitet först"",
AND(I22="""",H22="""",J22&lt;&gt;""""),J22,
OR(""3x3 FMC""=C22,""3x3 MBLD""=C22),J22,
AND(I22&lt;&gt;"""",""6x6 / 7x7""=C22),
IFS(ArrayFormula(SUM(IFERROR(SPLIT(I22,"" / ""))))&lt;(Info!$J$6+Info!$J$7)*2/3,CONCATENATE(""Höj helst cutof"&amp;"fs i ""&amp;C22),
ArrayFormula(SUM(IFERROR(SPLIT(I22,"" / ""))))&lt;=(Info!$J$6+Info!$J$7),ROUNDUP(J22*Info!$J$22),
ArrayFormula(SUM(IFERROR(SPLIT(I22,"" / ""))))&lt;=Info!$J$6+Info!$J$7,ROUNDUP(J22*Info!$K$22),
ArrayFormula(SUM(IFERROR(SPLIT(I22,"" / ""))))&lt;=Info!"&amp;"$K$6+Info!$K$7,ROUNDUP(J22*Info!L$22),
ArrayFormula(SUM(IFERROR(SPLIT(I22,"" / ""))))&lt;=Info!$L$6+Info!$L$7,ROUNDUP(J22*Info!$M$22),
ArrayFormula(SUM(IFERROR(SPLIT(I22,"" / ""))))&lt;=Info!$M$6+Info!$M$7,ROUNDUP(J22*Info!$N$22),
ArrayFormula(SUM(IFERROR(SPLIT"&amp;"(I22,"" / ""))))&lt;=(Info!$N$6+Info!$N$7)*3/2,ROUNDUP(J22*Info!$J$26),
ArrayFormula(SUM(IFERROR(SPLIT(I22,"" / ""))))&gt;(Info!$N$6+Info!$N$7)*3/2,CONCATENATE(""Sänk helst cutoffs i ""&amp;C22)),
AND(I22&lt;&gt;"""",FILTER(Info!$E$2:E81, Info!$A$2:A81 = C22) = ""Yes""),"&amp;"
IFS(I22&lt;FILTER(Info!$J$2:J81, Info!$A$2:A81 = C22)*2/3,CONCATENATE(""Höj helst cutoff i ""&amp;C22),
I22&lt;=FILTER(Info!$J$2:J81, Info!$A$2:A81 = C22),ROUNDUP(J22*Info!$J$22),
I22&lt;=FILTER(Info!$K$2:K81, Info!$A$2:A81 = C22),ROUNDUP(J22*Info!$K$22),
I22&lt;=FILTER"&amp;"(Info!$L$2:L81, Info!$A$2:A81 = C22),ROUNDUP(J22*Info!L$22),
I22&lt;=FILTER(Info!$M$2:M81, Info!$A$2:A81 = C22),ROUNDUP(J22*Info!$M$22),
I22&lt;=FILTER(Info!$N$2:N81, Info!$A$2:A81 = C22),ROUNDUP(J22*Info!$N$22),
I22&lt;=FILTER(Info!$N$2:N81, Info!$A$2:A81 = C22)*"&amp;"3/2,ROUNDUP(J22*Info!$J$26),
I22&gt;FILTER(Info!$N$2:N81, Info!$A$2:A81 = C22)*3/2,CONCATENATE(""Sänk helst cutoff i ""&amp;C22)),
AND(H22&lt;&gt;"""",""6x6 / 7x7""=C22),
IFS(H22/3&lt;=(Info!$J$6+Info!$J$7)*2/3,""Höj helst cumulative time limit"",
H22/3&lt;=Info!$J$6+Info!$"&amp;"J$7,ROUNDUP(J22*Info!$J$24),
H22/3&lt;=Info!$K$6+Info!$K$7,ROUNDUP(J22*Info!$K$24),
H22/3&lt;=Info!$L$6+Info!$L$7,ROUNDUP(J22*Info!L$24),
H22/3&lt;=Info!$M$6+Info!$M$7,ROUNDUP(J22*Info!$M$24),
H22/3&lt;=Info!$N$6+Info!$N$7,ROUNDUP(J22*Info!$N$24),
H22/3&lt;=(Info!$N$6+I"&amp;"nfo!$N$7)*3/2,ROUNDUP(J22*Info!$L$26),
H22/3&gt;(Info!$J$6+Info!$J$7)*3/2,""Sänk helst cumulative time limit""),
AND(H22&lt;&gt;"""",FILTER(Info!$F$2:F81, Info!$A$2:A81 = C22) = ""Yes""),
IFS(H22&lt;=FILTER(Info!$J$2:J81, Info!$A$2:A81 = C22)*2/3,CONCATENATE(""Höj he"&amp;"lst c.t.l. i ""&amp;C22),
H22&lt;=FILTER(Info!$J$2:J81, Info!$A$2:A81 = C22),ROUNDUP(J22*Info!$J$24),
H22&lt;=FILTER(Info!$K$2:K81, Info!$A$2:A81 = C22),ROUNDUP(J22*Info!$K$24),
H22&lt;=FILTER(Info!$L$2:L81, Info!$A$2:A81 = C22),ROUNDUP(J22*Info!L$24),
H22&lt;=FILTER(Inf"&amp;"o!$M$2:M81, Info!$A$2:A81 = C22),ROUNDUP(J22*Info!$M$24),
H22&lt;=FILTER(Info!$N$2:N81, Info!$A$2:A81 = C22),ROUNDUP(J22*Info!$N$24),
H22&lt;=FILTER(Info!$N$2:N81, Info!$A$2:A81 = C22)*3/2,ROUNDUP(J22*Info!$L$26),
H22&gt;FILTER(Info!$N$2:N81, Info!$A$2:A81 = C22)*"&amp;"3/2,CONCATENATE(""Sänk helst c.t.l. i ""&amp;C22)),
AND(H22&lt;&gt;"""",FILTER(Info!$F$2:F81, Info!$A$2:A81 = C22) = ""No""),
IFS(H22/AA22&lt;=FILTER(Info!$J$2:J81, Info!$A$2:A81 = C22)*2/3,CONCATENATE(""Höj helst c.t.l. i ""&amp;C22),
H22/AA22&lt;=FILTER(Info!$J$2:J81, Info"&amp;"!$A$2:A81 = C22),ROUNDUP(J22*Info!$J$24),
H22/AA22&lt;=FILTER(Info!$K$2:K81, Info!$A$2:A81 = C22),ROUNDUP(J22*Info!$K$24),
H22/AA22&lt;=FILTER(Info!$L$2:L81, Info!$A$2:A81 = C22),ROUNDUP(J22*Info!L$24),
H22/AA22&lt;=FILTER(Info!$M$2:M81, Info!$A$2:A81 = C22),ROUND"&amp;"UP(J22*Info!$M$24),
H22/AA22&lt;=FILTER(Info!$N$2:N81, Info!$A$2:A81 = C22),ROUNDUP(J22*Info!$N$24),
H22/AA22&lt;=FILTER(Info!$N$2:N81, Info!$A$2:A81 = C22)*3/2,ROUNDUP(J22*Info!$L$26),
H22/AA22&gt;FILTER(Info!$N$2:N81, Info!$A$2:A81 = C22)*3/2,CONCATENATE(""Sänk "&amp;"helst c.t.l. i ""&amp;C22)),
AND(I22="""",H22&lt;&gt;"""",J22&lt;&gt;""""),ROUNDUP(J22*Info!$T$29),
AND(I22&lt;&gt;"""",H22="""",J22&lt;&gt;""""),ROUNDUP(J22*Info!$T$26))"),"")</f>
        <v/>
      </c>
      <c r="L22" s="42">
        <f>IFERROR(__xludf.DUMMYFUNCTION("IFS(C22="""",0,
C22=""3x3 FMC"",Info!$B$9*N22+M22, C22=""3x3 MBLD"",Info!$B$18*N22+M22,
COUNTIF(Info!$A$22:A81,C22)&gt;0,FILTER(Info!$B$22:B81,Info!$A$22:A81=C22)+M22,
AND(C22&lt;&gt;"""",E22=""""),CONCATENATE(""Fyll i E""&amp;row()),
AND(C22&lt;&gt;"""",E22&lt;&gt;"""",E22&lt;&gt;1,E2"&amp;"2&lt;&gt;2,E22&lt;&gt;3,E22&lt;&gt;""Final""),CONCATENATE(""Fel format på E""&amp;row()),
K22=CONCATENATE(""Runda ""&amp;E22&amp;"" i ""&amp;C22&amp;"" finns redan""),CONCATENATE(""Fel i E""&amp;row()),
AND(C22&lt;&gt;"""",F22=""""),CONCATENATE(""Fyll i F""&amp;row()),
K22=CONCATENATE(C22&amp;"" måste ha forma"&amp;"tet ""&amp;FILTER(Info!$D$2:D81, Info!$A$2:A81 = C22)),CONCATENATE(""Fel format på F""&amp;row()),
AND(C22&lt;&gt;"""",D22=1,H22="""",FILTER(Info!$F$2:F81, Info!$A$2:A81 = C22) = ""Yes""),CONCATENATE(""Fyll i H""&amp;row()),
AND(C22&lt;&gt;"""",D22=1,I22="""",FILTER(Info!$E$2:E8"&amp;"1, Info!$A$2:A81 = C22) = ""Yes""),CONCATENATE(""Fyll i I""&amp;row()),
AND(C22&lt;&gt;"""",J22=""""),CONCATENATE(""Fyll i J""&amp;row()),
AND(C22&lt;&gt;"""",K22="""",OR(H22&lt;&gt;"""",I22&lt;&gt;"""")),CONCATENATE(""Fyll i K""&amp;row()),
AND(C22&lt;&gt;"""",K22=""""),CONCATENATE(""Skriv samma"&amp;" i K""&amp;row()&amp;"" som i J""&amp;row()),
AND(OR(C22=""4x4 BLD"",C22=""5x5 BLD"",C22=""4x4 / 5x5 BLD"")=TRUE,V22&lt;=P22),
MROUND(H22*(Info!$T$20-((Info!$T$20-1)/2)*(1-V22/P22))*(1+((J22/K22)-1)*(1-Info!$J$24))*N22+(Info!$T$11/2)+(N22*Info!$T$11)+(N22*Info!$T$14*(O2"&amp;"2-1)),0.01)+M22,
AND(OR(C22=""4x4 BLD"",C22=""5x5 BLD"",C22=""4x4 / 5x5 BLD"")=TRUE,V22&gt;P22),
MROUND((((J22*Z22+K22*(AA22-Z22))*(H22*Info!$T$20/AA22))/X22)*(1+((J22/K22)-1)*(1-Info!$J$24))*(1+(X22-Info!$T$8)/100)+(Info!$T$11/2)+(N22*Info!$T$11)+(N22*Info!"&amp;"$T$14*(O22-1)),0.01)+M22,
AND(C22=""3x3 BLD"",V22&lt;=P22),
MROUND(H22*(Info!$T$23-((Info!$T$23-1)/2)*(1-V22/P22))*(1+((J22/K22)-1)*(1-Info!$J$24))*N22+(Info!$T$11/2)+(N22*Info!$T$11)+(N22*Info!$T$14*(O22-1)),0.01)+M22,
AND(C22=""3x3 BLD"",V22&gt;P22),
MROUND(("&amp;"((J22*Z22+K22*(AA22-Z22))*(H22*Info!$T$23/AA22))/X22)*(1+((J22/K22)-1)*(1-Info!$J$24))*(1+(X22-Info!$T$8)/100)+(Info!$T$11/2)+(N22*Info!$T$11)+(N22*Info!$T$14*(O22-1)),0.01)+M22,
E22=1,MROUND((((J22*Z22+K22*(AA22-Z22))*Y22)/X22)*(1+(X22-Info!$T$8)/100)+(N"&amp;"22*Info!$T$11)+(N22*Info!$T$14*(O22-1)),0.01)+M22,
AND(E22=""Final"",N22=1,FILTER(Info!$G$2:$G$20,Info!$A$2:$A$20=C22)=""Mycket svår""),
MROUND((((J22*Z22+K22*(AA22-Z22))*(Y22*Info!$T$38))/X22)*(1+(X22-Info!$T$8)/100)+(N22*Info!$T$11)+(N22*Info!$T$14*(O22"&amp;"-1)),0.01)+M22,
AND(E22=""Final"",N22=1,FILTER(Info!$G$2:$G$20,Info!$A$2:$A$20=C22)=""Svår""),
MROUND((((J22*Z22+K22*(AA22-Z22))*(Y22*Info!$T$35))/X22)*(1+(X22-Info!$T$8)/100)+(N22*Info!$T$11)+(N22*Info!$T$14*(O22-1)),0.01)+M22,
E22=""Final"",MROUND((((J2"&amp;"2*Z22+K22*(AA22-Z22))*(Y22*Info!$T$5))/X22)*(1+(X22-Info!$T$8)/100)+(N22*Info!$T$11)+(N22*Info!$T$14*(O22-1)),0.01)+M22,
OR(E22=2,E22=3),MROUND((((J22*Z22+K22*(AA22-Z22))*(Y22*Info!$T$2))/X22)*(1+(X22-Info!$T$8)/100)+(N22*Info!$T$11)+(N22*Info!$T$14*(O22-"&amp;"1)),0.01)+M22)"),0.0)</f>
        <v>0</v>
      </c>
      <c r="M22" s="43">
        <f t="shared" si="1"/>
        <v>0</v>
      </c>
      <c r="N22" s="43" t="str">
        <f>IFS(OR(COUNTIF(Info!$A$22:A81,C22)&gt;0,C22=""),"",
OR(C22="4x4 BLD",C22="5x5 BLD",C22="3x3 MBLD",C22="3x3 FMC",C22="4x4 / 5x5 BLD"),1,
AND(E22="Final",Q22="Yes",MAX(1,ROUNDUP(J22/P22))&gt;1),MAX(2,ROUNDUP(J22/P22)),
AND(E22="Final",Q22="No",MAX(1,ROUNDUP(J22/((P22*2)+2.625-Y22*1.5)))&gt;1),MAX(2,ROUNDUP(J22/((P22*2)+2.625-Y22*1.5))),
E22="Final",1,
Q22="Yes",MAX(2,ROUNDUP(J22/P22)),
TRUE,MAX(2,ROUNDUP(J22/((P22*2)+2.625-Y22*1.5))))</f>
        <v/>
      </c>
      <c r="O22" s="43" t="str">
        <f>IFS(OR(COUNTIF(Info!$A$22:A81,C22)&gt;0,C22=""),"",
OR("3x3 MBLD"=C22,"3x3 FMC"=C22)=TRUE,"",
D22=$E$4,$G$6,D22=$K$4,$M$6,D22=$Q$4,$S$6,D22=$W$4,$Y$6,
TRUE,$S$2)</f>
        <v/>
      </c>
      <c r="P22" s="43" t="str">
        <f>IFS(OR(COUNTIF(Info!$A$22:A81,C22)&gt;0,C22=""),"",
OR("3x3 MBLD"=C22,"3x3 FMC"=C22)=TRUE,"",
D22=$E$4,$E$6,D22=$K$4,$K$6,D22=$Q$4,$Q$6,D22=$W$4,$W$6,
TRUE,$Q$2)</f>
        <v/>
      </c>
      <c r="Q22" s="44" t="str">
        <f>IFS(OR(COUNTIF(Info!$A$22:A81,C22)&gt;0,C22=""),"",
OR("3x3 MBLD"=C22,"3x3 FMC"=C22)=TRUE,"",
D22=$E$4,$I$6,D22=$K$4,$O$6,D22=$Q$4,$U$6,D22=$W$4,$AA$6,
TRUE,$U$2)</f>
        <v/>
      </c>
      <c r="R22" s="45" t="str">
        <f>IFERROR(__xludf.DUMMYFUNCTION("IF(C22="""","""",IFERROR(FILTER(Info!$B$22:B81,Info!$A$22:A81=C22)+M22,""?""))"),"")</f>
        <v/>
      </c>
      <c r="S22" s="46" t="str">
        <f>IFS(OR(COUNTIF(Info!$A$22:A81,C22)&gt;0,C22=""),"",
AND(H22="",I22=""),J22,
TRUE,"?")</f>
        <v/>
      </c>
      <c r="T22" s="45" t="str">
        <f>IFS(OR(COUNTIF(Info!$A$22:A81,C22)&gt;0,C22=""),"",
AND(L22&lt;&gt;0,OR(R22="?",R22="")),"Fyll i R-kolumnen",
OR(C22="3x3 FMC",C22="3x3 MBLD"),R22,
AND(L22&lt;&gt;0,OR(S22="?",S22="")),"Fyll i S-kolumnen",
OR(COUNTIF(Info!$A$22:A81,C22)&gt;0,C22=""),"",
TRUE,Y22*R22/L22)</f>
        <v/>
      </c>
      <c r="U22" s="45"/>
      <c r="V22" s="47" t="str">
        <f>IFS(OR(COUNTIF(Info!$A$22:A81,C22)&gt;0,C22=""),"",
OR("3x3 MBLD"=C22,"3x3 FMC"=C22)=TRUE,"",
TRUE,MROUND((J22/N22),0.01))</f>
        <v/>
      </c>
      <c r="W22" s="48" t="str">
        <f>IFS(OR(COUNTIF(Info!$A$22:A81,C22)&gt;0,C22=""),"",
TRUE,L22/N22)</f>
        <v/>
      </c>
      <c r="X22" s="49" t="str">
        <f>IFS(OR(COUNTIF(Info!$A$22:A81,C22)&gt;0,C22=""),"",
OR("3x3 MBLD"=C22,"3x3 FMC"=C22)=TRUE,"",
OR(C22="4x4 BLD",C22="5x5 BLD",C22="4x4 / 5x5 BLD",AND(C22="3x3 BLD",H22&lt;&gt;""))=TRUE,MIN(V22,P22),
TRUE,MIN(P22,V22,MROUND(((V22*2/3)+((Y22-1.625)/2)),0.01)))</f>
        <v/>
      </c>
      <c r="Y22" s="48" t="str">
        <f>IFERROR(__xludf.DUMMYFUNCTION("IFS(OR(COUNTIF(Info!$A$22:A81,C22)&gt;0,C22=""""),"""",
FILTER(Info!$F$2:F81, Info!$A$2:A81 = C22) = ""Yes"",H22/AA22,
""3x3 FMC""=C22,Info!$B$9,""3x3 MBLD""=C22,Info!$B$18,
AND(E22=1,I22="""",H22="""",Q22=""No"",G22&gt;SUMIF(Info!$A$2:A81,C22,Info!$B$2:B81)*1."&amp;"5),
MIN(SUMIF(Info!$A$2:A81,C22,Info!$B$2:B81)*1.1,SUMIF(Info!$A$2:A81,C22,Info!$B$2:B81)*(1.15-(0.15*(SUMIF(Info!$A$2:A81,C22,Info!$B$2:B81)*1.5)/G22))),
AND(E22=1,I22="""",H22="""",Q22=""Yes"",G22&gt;SUMIF(Info!$A$2:A81,C22,Info!$C$2:C81)*1.5),
MIN(SUMIF(I"&amp;"nfo!$A$2:A81,C22,Info!$C$2:C81)*1.1,SUMIF(Info!$A$2:A81,C22,Info!$C$2:C81)*(1.15-(0.15*(SUMIF(Info!$A$2:A81,C22,Info!$C$2:C81)*1.5)/G22))),
Q22=""No"",SUMIF(Info!$A$2:A81,C22,Info!$B$2:B81),
Q22=""Yes"",SUMIF(Info!$A$2:A81,C22,Info!$C$2:C81))"),"")</f>
        <v/>
      </c>
      <c r="Z22" s="47" t="str">
        <f>IFS(OR(COUNTIF(Info!$A$22:A81,C22)&gt;0,C22=""),"",
AND(OR("3x3 FMC"=C22,"3x3 MBLD"=C22),I22&lt;&gt;""),1,
AND(OR(H22&lt;&gt;"",I22&lt;&gt;""),F22="Avg of 5"),2,
F22="Avg of 5",AA22,
AND(OR(H22&lt;&gt;"",I22&lt;&gt;""),F22="Mean of 3",C22="6x6 / 7x7"),2,
AND(OR(H22&lt;&gt;"",I22&lt;&gt;""),F22="Mean of 3"),1,
F22="Mean of 3",AA22,
AND(OR(H22&lt;&gt;"",I22&lt;&gt;""),F22="Best of 3",C22="4x4 / 5x5 BLD"),2,
AND(OR(H22&lt;&gt;"",I22&lt;&gt;""),F22="Best of 3"),1,
F22="Best of 2",AA22,
F22="Best of 1",AA22)</f>
        <v/>
      </c>
      <c r="AA22" s="47" t="str">
        <f>IFS(OR(COUNTIF(Info!$A$22:A81,C22)&gt;0,C22=""),"",
AND(OR("3x3 MBLD"=C22,"3x3 FMC"=C22),F22="Best of 1"=TRUE),1,
AND(OR("3x3 MBLD"=C22,"3x3 FMC"=C22),F22="Best of 2"=TRUE),2,
AND(OR("3x3 MBLD"=C22,"3x3 FMC"=C22),OR(F22="Best of 3",F22="Mean of 3")=TRUE),3,
AND(F22="Mean of 3",C22="6x6 / 7x7"),6,
AND(F22="Best of 3",C22="4x4 / 5x5 BLD"),6,
F22="Avg of 5",5,F22="Mean of 3",3,F22="Best of 3",3,F22="Best of 2",2,F22="Best of 1",1)</f>
        <v/>
      </c>
      <c r="AB22" s="50"/>
    </row>
    <row r="23" ht="15.75" customHeight="1">
      <c r="A23" s="35">
        <f>IFERROR(__xludf.DUMMYFUNCTION("IFS(indirect(""A""&amp;row()-1)=""Start"",TIME(indirect(""A""&amp;row()-2),indirect(""B""&amp;row()-2),0),
$O$2=""No"",TIME(0,($A$6*60+$B$6)+CEILING(SUM($L$7:indirect(""L""&amp;row()-1)),5),0),
D23=$E$2,TIME(0,($A$6*60+$B$6)+CEILING(SUM(IFERROR(FILTER($L$7:indirect(""L"""&amp;"&amp;row()-1),REGEXMATCH($D$7:indirect(""D""&amp;row()-1),$E$2)),0)),5),0),
TRUE,""=time(hh;mm;ss)"")"),0.4166666666666667)</f>
        <v>0.4166666667</v>
      </c>
      <c r="B23" s="36">
        <f>IFERROR(__xludf.DUMMYFUNCTION("IFS($O$2=""No"",TIME(0,($A$6*60+$B$6)+CEILING(SUM($L$7:indirect(""L""&amp;row())),5),0),
D23=$E$2,TIME(0,($A$6*60+$B$6)+CEILING(SUM(FILTER($L$7:indirect(""L""&amp;row()),REGEXMATCH($D$7:indirect(""D""&amp;row()),$E$2))),5),0),
A23=""=time(hh;mm;ss)"",CONCATENATE(""Sk"&amp;"riv tid i A""&amp;row()),
AND(A23&lt;&gt;"""",A23&lt;&gt;""=time(hh;mm;ss)""),A23+TIME(0,CEILING(indirect(""L""&amp;row()),5),0))"),0.4166666666666667)</f>
        <v>0.4166666667</v>
      </c>
      <c r="C23" s="37"/>
      <c r="D23" s="38" t="str">
        <f t="shared" si="2"/>
        <v>Stora salen</v>
      </c>
      <c r="E23" s="38" t="str">
        <f>IFERROR(__xludf.DUMMYFUNCTION("IFS(COUNTIF(Info!$A$22:A81,C23)&gt;0,"""",
AND(OR(""3x3 FMC""=C23,""3x3 MBLD""=C23),COUNTIF($C$7:indirect(""C""&amp;row()),indirect(""C""&amp;row()))&gt;=13),""E - Error"",
AND(OR(""3x3 FMC""=C23,""3x3 MBLD""=C23),COUNTIF($C$7:indirect(""C""&amp;row()),indirect(""C""&amp;row()"&amp;"))=12),""Final - A3"",
AND(OR(""3x3 FMC""=C23,""3x3 MBLD""=C23),COUNTIF($C$7:indirect(""C""&amp;row()),indirect(""C""&amp;row()))=11),""Final - A2"",
AND(OR(""3x3 FMC""=C23,""3x3 MBLD""=C23),COUNTIF($C$7:indirect(""C""&amp;row()),indirect(""C""&amp;row()))=10),""Final - "&amp;"A1"",
AND(OR(""3x3 FMC""=C23,""3x3 MBLD""=C23),COUNTIF($C$7:indirect(""C""&amp;row()),indirect(""C""&amp;row()))=9,
COUNTIF($C$7:$C$102,indirect(""C""&amp;row()))&gt;9),""R3 - A3"",
AND(OR(""3x3 FMC""=C23,""3x3 MBLD""=C23),COUNTIF($C$7:indirect(""C""&amp;row()),indirect(""C"&amp;"""&amp;row()))=9,
COUNTIF($C$7:$C$102,indirect(""C""&amp;row()))&lt;=9),""Final - A3"",
AND(OR(""3x3 FMC""=C23,""3x3 MBLD""=C23),COUNTIF($C$7:indirect(""C""&amp;row()),indirect(""C""&amp;row()))=8,
COUNTIF($C$7:$C$102,indirect(""C""&amp;row()))&gt;9),""R3 - A2"",
AND(OR(""3x3 FMC"&amp;"""=C23,""3x3 MBLD""=C23),COUNTIF($C$7:indirect(""C""&amp;row()),indirect(""C""&amp;row()))=8,
COUNTIF($C$7:$C$102,indirect(""C""&amp;row()))&lt;=9),""Final - A2"",
AND(OR(""3x3 FMC""=C23,""3x3 MBLD""=C23),COUNTIF($C$7:indirect(""C""&amp;row()),indirect(""C""&amp;row()))=7,
COUN"&amp;"TIF($C$7:$C$102,indirect(""C""&amp;row()))&gt;9),""R3 - A1"",
AND(OR(""3x3 FMC""=C23,""3x3 MBLD""=C23),COUNTIF($C$7:indirect(""C""&amp;row()),indirect(""C""&amp;row()))=7,
COUNTIF($C$7:$C$102,indirect(""C""&amp;row()))&lt;=9),""Final - A1"",
AND(OR(""3x3 FMC""=C23,""3x3 MBLD"""&amp;"=C23),COUNTIF($C$7:indirect(""C""&amp;row()),indirect(""C""&amp;row()))=6,
COUNTIF($C$7:$C$102,indirect(""C""&amp;row()))&gt;6),""R2 - A3"",
AND(OR(""3x3 FMC""=C23,""3x3 MBLD""=C23),COUNTIF($C$7:indirect(""C""&amp;row()),indirect(""C""&amp;row()))=6,
COUNTIF($C$7:$C$102,indirec"&amp;"t(""C""&amp;row()))&lt;=6),""Final - A3"",
AND(OR(""3x3 FMC""=C23,""3x3 MBLD""=C23),COUNTIF($C$7:indirect(""C""&amp;row()),indirect(""C""&amp;row()))=5,
COUNTIF($C$7:$C$102,indirect(""C""&amp;row()))&gt;6),""R2 - A2"",
AND(OR(""3x3 FMC""=C23,""3x3 MBLD""=C23),COUNTIF($C$7:indi"&amp;"rect(""C""&amp;row()),indirect(""C""&amp;row()))=5,
COUNTIF($C$7:$C$102,indirect(""C""&amp;row()))&lt;=6),""Final - A2"",
AND(OR(""3x3 FMC""=C23,""3x3 MBLD""=C23),COUNTIF($C$7:indirect(""C""&amp;row()),indirect(""C""&amp;row()))=4,
COUNTIF($C$7:$C$102,indirect(""C""&amp;row()))&gt;6),"&amp;"""R2 - A1"",
AND(OR(""3x3 FMC""=C23,""3x3 MBLD""=C23),COUNTIF($C$7:indirect(""C""&amp;row()),indirect(""C""&amp;row()))=4,
COUNTIF($C$7:$C$102,indirect(""C""&amp;row()))&lt;=6),""Final - A1"",
AND(OR(""3x3 FMC""=C23,""3x3 MBLD""=C23),COUNTIF($C$7:indirect(""C""&amp;row()),i"&amp;"ndirect(""C""&amp;row()))=3),""R1 - A3"",
AND(OR(""3x3 FMC""=C23,""3x3 MBLD""=C23),COUNTIF($C$7:indirect(""C""&amp;row()),indirect(""C""&amp;row()))=2),""R1 - A2"",
AND(OR(""3x3 FMC""=C23,""3x3 MBLD""=C23),COUNTIF($C$7:indirect(""C""&amp;row()),indirect(""C""&amp;row()))=1),"&amp;"""R1 -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C23),ROUNDUP((FILTER(Info!$H$2:H81,Info!$A$2:A81=C23)/FILTER(Info!$H$2:H81,Info!$A$2:A81=$K$2))*$I$2)&gt;99),3,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C23),ROUNDUP((FILTER(Info!$H$2:H81,Info!$A$2:A81=C23)/FILTER(Info!$H$2:H81,Info!$A$2:A81=$K$2))*$I$2)&gt;15),2,
AND(COUNTIF($C$7:indirect(""C""&amp;row()),indirect(""C""&amp;row()))=2,COUNTIF($C$7:$C$102,indirect(""C""&amp;row()))=COUNTIF($"&amp;"C$7:indirect(""C""&amp;row()),indirect(""C""&amp;row()))),""Final"",
COUNTIF($C$7:indirect(""C""&amp;row()),indirect(""C""&amp;row()))=1,1,
COUNTIF($C$7:indirect(""C""&amp;row()),indirect(""C""&amp;row()))=0,"""")"),"")</f>
        <v/>
      </c>
      <c r="F23" s="39" t="str">
        <f>IFERROR(__xludf.DUMMYFUNCTION("IFS(C23="""","""",
AND(C23=""3x3 FMC"",MOD(COUNTIF($C$7:indirect(""C""&amp;row()),indirect(""C""&amp;row())),3)=0),""Mean of 3"",
AND(C23=""3x3 MBLD"",MOD(COUNTIF($C$7:indirect(""C""&amp;row()),indirect(""C""&amp;row())),3)=0),""Best of 3"",
AND(C23=""3x3 FMC"",MOD(COUNT"&amp;"IF($C$7:indirect(""C""&amp;row()),indirect(""C""&amp;row())),3)=2,
COUNTIF($C$7:$C$102,indirect(""C""&amp;row()))&lt;=COUNTIF($C$7:indirect(""C""&amp;row()),indirect(""C""&amp;row()))),""Best of 2"",
AND(C23=""3x3 FMC"",MOD(COUNTIF($C$7:indirect(""C""&amp;row()),indirect(""C""&amp;row("&amp;"))),3)=2,
COUNTIF($C$7:$C$102,indirect(""C""&amp;row()))&gt;COUNTIF($C$7:indirect(""C""&amp;row()),indirect(""C""&amp;row()))),""Mean of 3"",
AND(C23=""3x3 MBLD"",MOD(COUNTIF($C$7:indirect(""C""&amp;row()),indirect(""C""&amp;row())),3)=2,
COUNTIF($C$7:$C$102,indirect(""C""&amp;row("&amp;")))&lt;=COUNTIF($C$7:indirect(""C""&amp;row()),indirect(""C""&amp;row()))),""Best of 2"",
AND(C23=""3x3 MBLD"",MOD(COUNTIF($C$7:indirect(""C""&amp;row()),indirect(""C""&amp;row())),3)=2,
COUNTIF($C$7:$C$102,indirect(""C""&amp;row()))&gt;COUNTIF($C$7:indirect(""C""&amp;row()),indirect("&amp;"""C""&amp;row()))),""Best of 3"",
AND(C23=""3x3 FMC"",MOD(COUNTIF($C$7:indirect(""C""&amp;row()),indirect(""C""&amp;row())),3)=1,
COUNTIF($C$7:$C$102,indirect(""C""&amp;row()))&lt;=COUNTIF($C$7:indirect(""C""&amp;row()),indirect(""C""&amp;row()))),""Best of 1"",
AND(C23=""3x3 FMC"""&amp;",MOD(COUNTIF($C$7:indirect(""C""&amp;row()),indirect(""C""&amp;row())),3)=1,
COUNTIF($C$7:$C$102,indirect(""C""&amp;row()))=COUNTIF($C$7:indirect(""C""&amp;row()),indirect(""C""&amp;row()))+1),""Best of 2"",
AND(C23=""3x3 FMC"",MOD(COUNTIF($C$7:indirect(""C""&amp;row()),indirect"&amp;"(""C""&amp;row())),3)=1,
COUNTIF($C$7:$C$102,indirect(""C""&amp;row()))&gt;COUNTIF($C$7:indirect(""C""&amp;row()),indirect(""C""&amp;row()))),""Mean of 3"",
AND(C23=""3x3 MBLD"",MOD(COUNTIF($C$7:indirect(""C""&amp;row()),indirect(""C""&amp;row())),3)=1,
COUNTIF($C$7:$C$102,indirect"&amp;"(""C""&amp;row()))&lt;=COUNTIF($C$7:indirect(""C""&amp;row()),indirect(""C""&amp;row()))),""Best of 1"",
AND(C23=""3x3 MBLD"",MOD(COUNTIF($C$7:indirect(""C""&amp;row()),indirect(""C""&amp;row())),3)=1,
COUNTIF($C$7:$C$102,indirect(""C""&amp;row()))=COUNTIF($C$7:indirect(""C""&amp;row()"&amp;"),indirect(""C""&amp;row()))+1),""Best of 2"",
AND(C23=""3x3 MBLD"",MOD(COUNTIF($C$7:indirect(""C""&amp;row()),indirect(""C""&amp;row())),3)=1,
COUNTIF($C$7:$C$102,indirect(""C""&amp;row()))&gt;COUNTIF($C$7:indirect(""C""&amp;row()),indirect(""C""&amp;row()))),""Best of 3"",
TRUE,("&amp;"IFERROR(FILTER(Info!$D$2:D81, Info!$A$2:A81 = C23), """")))"),"")</f>
        <v/>
      </c>
      <c r="G23" s="40" t="str">
        <f>IFERROR(__xludf.DUMMYFUNCTION("IFS(OR(COUNTIF(Info!$A$22:A81,C23)&gt;0,C23=""""),"""",
OR(""3x3 MBLD""=C23,""3x3 FMC""=C23),60,
AND(E23=1,FILTER(Info!$F$2:F81, Info!$A$2:A81 = C23) = ""No""),FILTER(Info!$P$2:P81, Info!$A$2:A81 = C23),
AND(E23=2,FILTER(Info!$F$2:F81, Info!$A$2:A81 = C23) ="&amp;" ""No""),FILTER(Info!$Q$2:Q81, Info!$A$2:A81 = C23),
AND(E23=3,FILTER(Info!$F$2:F81, Info!$A$2:A81 = C23) = ""No""),FILTER(Info!$R$2:R81, Info!$A$2:A81 = C23),
AND(E23=""Final"",FILTER(Info!$F$2:F81, Info!$A$2:A81 = C23) = ""No""),FILTER(Info!$S$2:S81, In"&amp;"fo!$A$2:A81 = C23),
FILTER(Info!$F$2:F81, Info!$A$2:A81 = C23) = ""Yes"","""")"),"")</f>
        <v/>
      </c>
      <c r="H23" s="40" t="str">
        <f>IFERROR(__xludf.DUMMYFUNCTION("IFS(OR(COUNTIF(Info!$A$22:A81,C23)&gt;0,C23=""""),"""",
OR(""3x3 MBLD""=C23,""3x3 FMC""=C23)=TRUE,"""",
FILTER(Info!$F$2:F81, Info!$A$2:A81 = C23) = ""Yes"",FILTER(Info!$O$2:O81, Info!$A$2:A81 = C23),
FILTER(Info!$F$2:F81, Info!$A$2:A81 = C23) = ""No"",IF(G2"&amp;"3="""",FILTER(Info!$O$2:O81, Info!$A$2:A81 = C23),""""))"),"")</f>
        <v/>
      </c>
      <c r="I23" s="40" t="str">
        <f>IFERROR(__xludf.DUMMYFUNCTION("IFS(OR(COUNTIF(Info!$A$22:A81,C23)&gt;0,C23="""",H23&lt;&gt;""""),"""",
AND(E23&lt;&gt;1,E23&lt;&gt;""R1 - A1"",E23&lt;&gt;""R1 - A2"",E23&lt;&gt;""R1 - A3""),"""",
FILTER(Info!$E$2:E81, Info!$A$2:A81 = C23) = ""Yes"",IF(H23="""",FILTER(Info!$L$2:L81, Info!$A$2:A81 = C23),""""),
FILTER(I"&amp;"nfo!$E$2:E81, Info!$A$2:A81 = C23) = ""No"","""")"),"")</f>
        <v/>
      </c>
      <c r="J23" s="40" t="str">
        <f>IFERROR(__xludf.DUMMYFUNCTION("IFS(OR(COUNTIF(Info!$A$22:A81,C23)&gt;0,C23="""",""3x3 MBLD""=C23,""3x3 FMC""=C23),"""",
AND(E23=1,FILTER(Info!$H$2:H81,Info!$A$2:A81 = C23)&lt;=FILTER(Info!$H$2:H81,Info!$A$2:A81=$K$2)),
ROUNDUP((FILTER(Info!$H$2:H81,Info!$A$2:A81 = C23)/FILTER(Info!$H$2:H81,I"&amp;"nfo!$A$2:A81=$K$2))*$I$2),
AND(E23=1,FILTER(Info!$H$2:H81,Info!$A$2:A81 = C23)&gt;FILTER(Info!$H$2:H81,Info!$A$2:A81=$K$2)),""K2 - Error"",
AND(E23=2,FILTER($J$7:indirect(""J""&amp;row()-1),$C$7:indirect(""C""&amp;row()-1)=C23)&lt;=7),""J - Error"",
E23=2,FLOOR(FILTER("&amp;"$J$7:indirect(""J""&amp;row()-1),$C$7:indirect(""C""&amp;row()-1)=C23)*Info!$T$32),
AND(E23=3,FILTER($J$7:indirect(""J""&amp;row()-1),$C$7:indirect(""C""&amp;row()-1)=C23)&lt;=15),""J - Error"",
E23=3,FLOOR(Info!$T$32*FLOOR(FILTER($J$7:indirect(""J""&amp;row()-1),$C$7:indirect("&amp;"""C""&amp;row()-1)=C23)*Info!$T$32)),
AND(E23=""Final"",COUNTIF($C$7:$C$102,C23)=2,FILTER($J$7:indirect(""J""&amp;row()-1),$C$7:indirect(""C""&amp;row()-1)=C23)&lt;=7),""J - Error"",
AND(E23=""Final"",COUNTIF($C$7:$C$102,C23)=2),
MIN(P23,FLOOR(FILTER($J$7:indirect(""J"""&amp;"&amp;row()-1),$C$7:indirect(""C""&amp;row()-1)=C23)*Info!$T$32)),
AND(E23=""Final"",COUNTIF($C$7:$C$102,C23)=3,FILTER($J$7:indirect(""J""&amp;row()-1),$C$7:indirect(""C""&amp;row()-1)=C23)&lt;=15),""J - Error"",
AND(E23=""Final"",COUNTIF($C$7:$C$102,C23)=3),
MIN(P23,FLOOR(I"&amp;"nfo!$T$32*FLOOR(FILTER($J$7:indirect(""J""&amp;row()-1),$C$7:indirect(""C""&amp;row()-1)=C23)*Info!$T$32))),
AND(E23=""Final"",COUNTIF($C$7:$C$102,C23)&gt;=4,FILTER($J$7:indirect(""J""&amp;row()-1),$C$7:indirect(""C""&amp;row()-1)=C23)&lt;=99),""J - Error"",
AND(E23=""Final"","&amp;"COUNTIF($C$7:$C$102,C23)&gt;=4),
MIN(P23,FLOOR(Info!$T$32*FLOOR(Info!$T$32*FLOOR(FILTER($J$7:indirect(""J""&amp;row()-1),$C$7:indirect(""C""&amp;row()-1)=C23)*Info!$T$32)))))"),"")</f>
        <v/>
      </c>
      <c r="K23" s="41" t="str">
        <f>IFERROR(__xludf.DUMMYFUNCTION("IFS(AND(indirect(""D""&amp;row()+2)&lt;&gt;$E$2,indirect(""D""&amp;row()+1)=""""),CONCATENATE(""Tom rad! Kopiera hela rad ""&amp;row()&amp;"" dit""),
AND(indirect(""D""&amp;row()-1)&lt;&gt;""Rum"",indirect(""D""&amp;row()-1)=""""),CONCATENATE(""Tom rad! Kopiera hela rad ""&amp;row()&amp;"" dit""),
"&amp;"C23="""","""",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OR(AND(D23&lt;&gt;$E$2,D23&lt;&gt;$E$4,D23&lt;&gt;$K$4,D23&lt;&gt;$Q$4),D23="&amp;"""""),CONCATENATE(""Rum: ""&amp;D23&amp;"" finns ej, byt i D""&amp;row()),
AND(indirect(""D""&amp;row()-1)=""Rum"",C23=""""),CONCATENATE(""För att börja: skriv i cell C""&amp;row()),
AND(C23=""Paus"",M23&lt;=0),CONCATENATE(""Skriv pausens längd i M""&amp;row()),
OR(COUNTIF(Info!$A$"&amp;"22:A81,C23)&gt;0,C23=""""),"""",
AND(D23&lt;&gt;$E$2,$O$2=""Yes"",A23=""=time(hh;mm;ss)""),CONCATENATE(""Skriv starttid för ""&amp;C23&amp;"" i A""&amp;row()),
E23=""E - Error"",CONCATENATE(""För många ""&amp;C23&amp;"" rundor!""),
AND(C23&lt;&gt;""3x3 FMC"",C23&lt;&gt;""3x3 MBLD"",E23&lt;&gt;1,E23&lt;&gt;"&amp;"""Final"",IFERROR(FILTER($E$7:indirect(""E""&amp;row()-1),
$E$7:indirect(""E""&amp;row()-1)=E23-1,$C$7:indirect(""C""&amp;row()-1)=C23))=FALSE),CONCATENATE(""Kan ej vara R""&amp;E23&amp;"", saknar R""&amp;(E23-1)),
AND(indirect(""E""&amp;row()-1)&lt;&gt;""Omgång"",IFERROR(FILTER($E$7:indi"&amp;"rect(""E""&amp;row()-1),
$E$7:indirect(""E""&amp;row()-1)=E23,$C$7:indirect(""C""&amp;row()-1)=C23)=E23)=TRUE),CONCATENATE(""Runda ""&amp;E23&amp;"" i ""&amp;C23&amp;"" finns redan""),
AND(C23&lt;&gt;""3x3 BLD"",C23&lt;&gt;""4x4 BLD"",C23&lt;&gt;""5x5 BLD"",C23&lt;&gt;""4x4 / 5x5 BLD"",OR(E23=2,E23=3,E23="&amp;"""Final""),H23&lt;&gt;""""),CONCATENATE(E23&amp;""-rundor brukar ej ha c.t.l.""),
AND(OR(E23=2,E23=3,E23=""Final""),I23&lt;&gt;""""),CONCATENATE(E23&amp;""-rundor brukar ej ha cutoff""),
AND(OR(C23=""3x3 FMC"",C23=""3x3 MBLD""),OR(E23=1,E23=2,E23=3,E23=""Final"")),CONCATENAT"&amp;"E(C23&amp;""s omgång är Rx - Ax""),
AND(C23&lt;&gt;""3x3 MBLD"",C23&lt;&gt;""3x3 FMC"",FILTER(Info!$D$2:D81, Info!$A$2:A81 = C23)&lt;&gt;F23),CONCATENATE(C23&amp;"" måste ha formatet ""&amp;FILTER(Info!$D$2:D81, Info!$A$2:A81 = C23)),
AND(C23=""3x3 MBLD"",OR(F23=""Avg of 5"",F23=""Mea"&amp;"n of 3"")),CONCATENATE(""Ogiltigt format för ""&amp;C23),
AND(C23=""3x3 FMC"",OR(F23=""Avg of 5"",F23=""Best of 3"")),CONCATENATE(""Ogiltigt format för ""&amp;C23),
AND(OR(F23=""Best of 1"",F23=""Best of 2"",F23=""Best of 3""),I23&lt;&gt;""""),CONCATENATE(F23&amp;""-rundor"&amp;" får ej ha cutoff""),
AND(OR(C23=""3x3 FMC"",C23=""3x3 MBLD""),G23&lt;&gt;60),CONCATENATE(C23&amp;"" måste ha time limit: 60""),
AND(OR(C23=""3x3 FMC"",C23=""3x3 MBLD""),H23&lt;&gt;""""),CONCATENATE(C23&amp;"" kan inte ha c.t.l.""),
AND(G23&lt;&gt;"""",H23&lt;&gt;""""),""Välj time limit"&amp;" ELLER c.t.l"",
AND(C23=""6x6 / 7x7"",G23="""",H23=""""),""Sätt time limit (x / y) eller c.t.l (z)"",
AND(G23="""",H23=""""),""Sätt en time limit eller c.t.l"",
AND(OR(C23=""6x6 / 7x7"",C23=""4x4 / 5x5 BLD""),G23&lt;&gt;"""",REGEXMATCH(TO_TEXT(G23),"" / "")=FAL"&amp;"SE),CONCATENATE(""Time limit måste vara x / y""),
AND(H23&lt;&gt;"""",I23&lt;&gt;""""),CONCATENATE(C23&amp;"" brukar ej ha cutoff OCH c.t.l""),
AND(E23=1,H23="""",I23="""",OR(FILTER(Info!$E$2:E81, Info!$A$2:A81 = C23) = ""Yes"",FILTER(Info!$F$2:F81, Info!$A$2:A81 = C23) "&amp;"= ""Yes""),OR(F23=""Avg of 5"",F23=""Mean of 3"")),CONCATENATE(C23&amp;"" bör ha cutoff eller c.t.l""),
AND(C23=""6x6 / 7x7"",I23&lt;&gt;"""",REGEXMATCH(TO_TEXT(I23),"" / "")=FALSE),CONCATENATE(""Cutoff måste vara x / y""),
AND(H23&lt;&gt;"""",ISNUMBER(H23)=FALSE),""C.t."&amp;"l. måste vara positivt tal (x)"",
AND(C23&lt;&gt;""6x6 / 7x7"",I23&lt;&gt;"""",ISNUMBER(I23)=FALSE),""Cutoff måste vara positivt tal (x)"",
AND(H23&lt;&gt;"""",FILTER(Info!$E$2:E81, Info!$A$2:A81 = C23) = ""No"",FILTER(Info!$F$2:F81, Info!$A$2:A81 = C23) = ""No""),CONCATEN"&amp;"ATE(C23&amp;"" brukar inte ha c.t.l.""),
AND(I23&lt;&gt;"""",FILTER(Info!$E$2:E81, Info!$A$2:A81 = C23) = ""No"",FILTER(Info!$F$2:F81, Info!$A$2:A81 = C23) = ""No""),CONCATENATE(C23&amp;"" brukar inte ha cutoff""),
AND(H23="""",FILTER(Info!$F$2:F81, Info!$A$2:A81 = C23"&amp;") = ""Yes""),CONCATENATE(C23&amp;"" brukar ha c.t.l.""),
AND(C23&lt;&gt;""6x6 / 7x7"",C23&lt;&gt;""4x4 / 5x5 BLD"",G23&lt;&gt;"""",ISNUMBER(G23)=FALSE),""Time limit måste vara positivt tal (x)"",
J23=""J - Error"",CONCATENATE(""För få deltagare i R1 för ""&amp;COUNTIF($C$7:$C$102,"&amp;"indirect(""C""&amp;row()))&amp;"" rundor""),
J23=""K2 - Error"",CONCATENATE(C23&amp;"" är mer populär - byt i K2!""),
AND(C23&lt;&gt;""6x6 / 7x7"",C23&lt;&gt;""4x4 / 5x5 BLD"",G23&lt;&gt;"""",I23&lt;&gt;"""",G23&lt;=I23),""Time limit måste vara &gt; cutoff"",
AND(C23&lt;&gt;""6x6 / 7x7"",C23&lt;&gt;""4x4 / 5"&amp;"x5 BLD"",H23&lt;&gt;"""",I23&lt;&gt;"""",H23&lt;=I23),""C.t.l. måste vara &gt; cutoff"",
AND(C23&lt;&gt;""3x3 FMC"",C23&lt;&gt;""3x3 MBLD"",J23=""""),CONCATENATE(""Fyll i antal deltagare i J""&amp;row()),
AND(C23="""",OR(E23&lt;&gt;"""",F23&lt;&gt;"""",G23&lt;&gt;"""",H23&lt;&gt;"""",I23&lt;&gt;"""",J23&lt;&gt;"""")),""Skri"&amp;"v ALLTID gren / aktivitet först"",
AND(I23="""",H23="""",J23&lt;&gt;""""),J23,
OR(""3x3 FMC""=C23,""3x3 MBLD""=C23),J23,
AND(I23&lt;&gt;"""",""6x6 / 7x7""=C23),
IFS(ArrayFormula(SUM(IFERROR(SPLIT(I23,"" / ""))))&lt;(Info!$J$6+Info!$J$7)*2/3,CONCATENATE(""Höj helst cutof"&amp;"fs i ""&amp;C23),
ArrayFormula(SUM(IFERROR(SPLIT(I23,"" / ""))))&lt;=(Info!$J$6+Info!$J$7),ROUNDUP(J23*Info!$J$22),
ArrayFormula(SUM(IFERROR(SPLIT(I23,"" / ""))))&lt;=Info!$J$6+Info!$J$7,ROUNDUP(J23*Info!$K$22),
ArrayFormula(SUM(IFERROR(SPLIT(I23,"" / ""))))&lt;=Info!"&amp;"$K$6+Info!$K$7,ROUNDUP(J23*Info!L$22),
ArrayFormula(SUM(IFERROR(SPLIT(I23,"" / ""))))&lt;=Info!$L$6+Info!$L$7,ROUNDUP(J23*Info!$M$22),
ArrayFormula(SUM(IFERROR(SPLIT(I23,"" / ""))))&lt;=Info!$M$6+Info!$M$7,ROUNDUP(J23*Info!$N$22),
ArrayFormula(SUM(IFERROR(SPLIT"&amp;"(I23,"" / ""))))&lt;=(Info!$N$6+Info!$N$7)*3/2,ROUNDUP(J23*Info!$J$26),
ArrayFormula(SUM(IFERROR(SPLIT(I23,"" / ""))))&gt;(Info!$N$6+Info!$N$7)*3/2,CONCATENATE(""Sänk helst cutoffs i ""&amp;C23)),
AND(I23&lt;&gt;"""",FILTER(Info!$E$2:E81, Info!$A$2:A81 = C23) = ""Yes""),"&amp;"
IFS(I23&lt;FILTER(Info!$J$2:J81, Info!$A$2:A81 = C23)*2/3,CONCATENATE(""Höj helst cutoff i ""&amp;C23),
I23&lt;=FILTER(Info!$J$2:J81, Info!$A$2:A81 = C23),ROUNDUP(J23*Info!$J$22),
I23&lt;=FILTER(Info!$K$2:K81, Info!$A$2:A81 = C23),ROUNDUP(J23*Info!$K$22),
I23&lt;=FILTER"&amp;"(Info!$L$2:L81, Info!$A$2:A81 = C23),ROUNDUP(J23*Info!L$22),
I23&lt;=FILTER(Info!$M$2:M81, Info!$A$2:A81 = C23),ROUNDUP(J23*Info!$M$22),
I23&lt;=FILTER(Info!$N$2:N81, Info!$A$2:A81 = C23),ROUNDUP(J23*Info!$N$22),
I23&lt;=FILTER(Info!$N$2:N81, Info!$A$2:A81 = C23)*"&amp;"3/2,ROUNDUP(J23*Info!$J$26),
I23&gt;FILTER(Info!$N$2:N81, Info!$A$2:A81 = C23)*3/2,CONCATENATE(""Sänk helst cutoff i ""&amp;C23)),
AND(H23&lt;&gt;"""",""6x6 / 7x7""=C23),
IFS(H23/3&lt;=(Info!$J$6+Info!$J$7)*2/3,""Höj helst cumulative time limit"",
H23/3&lt;=Info!$J$6+Info!$"&amp;"J$7,ROUNDUP(J23*Info!$J$24),
H23/3&lt;=Info!$K$6+Info!$K$7,ROUNDUP(J23*Info!$K$24),
H23/3&lt;=Info!$L$6+Info!$L$7,ROUNDUP(J23*Info!L$24),
H23/3&lt;=Info!$M$6+Info!$M$7,ROUNDUP(J23*Info!$M$24),
H23/3&lt;=Info!$N$6+Info!$N$7,ROUNDUP(J23*Info!$N$24),
H23/3&lt;=(Info!$N$6+I"&amp;"nfo!$N$7)*3/2,ROUNDUP(J23*Info!$L$26),
H23/3&gt;(Info!$J$6+Info!$J$7)*3/2,""Sänk helst cumulative time limit""),
AND(H23&lt;&gt;"""",FILTER(Info!$F$2:F81, Info!$A$2:A81 = C23) = ""Yes""),
IFS(H23&lt;=FILTER(Info!$J$2:J81, Info!$A$2:A81 = C23)*2/3,CONCATENATE(""Höj he"&amp;"lst c.t.l. i ""&amp;C23),
H23&lt;=FILTER(Info!$J$2:J81, Info!$A$2:A81 = C23),ROUNDUP(J23*Info!$J$24),
H23&lt;=FILTER(Info!$K$2:K81, Info!$A$2:A81 = C23),ROUNDUP(J23*Info!$K$24),
H23&lt;=FILTER(Info!$L$2:L81, Info!$A$2:A81 = C23),ROUNDUP(J23*Info!L$24),
H23&lt;=FILTER(Inf"&amp;"o!$M$2:M81, Info!$A$2:A81 = C23),ROUNDUP(J23*Info!$M$24),
H23&lt;=FILTER(Info!$N$2:N81, Info!$A$2:A81 = C23),ROUNDUP(J23*Info!$N$24),
H23&lt;=FILTER(Info!$N$2:N81, Info!$A$2:A81 = C23)*3/2,ROUNDUP(J23*Info!$L$26),
H23&gt;FILTER(Info!$N$2:N81, Info!$A$2:A81 = C23)*"&amp;"3/2,CONCATENATE(""Sänk helst c.t.l. i ""&amp;C23)),
AND(H23&lt;&gt;"""",FILTER(Info!$F$2:F81, Info!$A$2:A81 = C23) = ""No""),
IFS(H23/AA23&lt;=FILTER(Info!$J$2:J81, Info!$A$2:A81 = C23)*2/3,CONCATENATE(""Höj helst c.t.l. i ""&amp;C23),
H23/AA23&lt;=FILTER(Info!$J$2:J81, Info"&amp;"!$A$2:A81 = C23),ROUNDUP(J23*Info!$J$24),
H23/AA23&lt;=FILTER(Info!$K$2:K81, Info!$A$2:A81 = C23),ROUNDUP(J23*Info!$K$24),
H23/AA23&lt;=FILTER(Info!$L$2:L81, Info!$A$2:A81 = C23),ROUNDUP(J23*Info!L$24),
H23/AA23&lt;=FILTER(Info!$M$2:M81, Info!$A$2:A81 = C23),ROUND"&amp;"UP(J23*Info!$M$24),
H23/AA23&lt;=FILTER(Info!$N$2:N81, Info!$A$2:A81 = C23),ROUNDUP(J23*Info!$N$24),
H23/AA23&lt;=FILTER(Info!$N$2:N81, Info!$A$2:A81 = C23)*3/2,ROUNDUP(J23*Info!$L$26),
H23/AA23&gt;FILTER(Info!$N$2:N81, Info!$A$2:A81 = C23)*3/2,CONCATENATE(""Sänk "&amp;"helst c.t.l. i ""&amp;C23)),
AND(I23="""",H23&lt;&gt;"""",J23&lt;&gt;""""),ROUNDUP(J23*Info!$T$29),
AND(I23&lt;&gt;"""",H23="""",J23&lt;&gt;""""),ROUNDUP(J23*Info!$T$26))"),"")</f>
        <v/>
      </c>
      <c r="L23" s="42">
        <f>IFERROR(__xludf.DUMMYFUNCTION("IFS(C23="""",0,
C23=""3x3 FMC"",Info!$B$9*N23+M23, C23=""3x3 MBLD"",Info!$B$18*N23+M23,
COUNTIF(Info!$A$22:A81,C23)&gt;0,FILTER(Info!$B$22:B81,Info!$A$22:A81=C23)+M23,
AND(C23&lt;&gt;"""",E23=""""),CONCATENATE(""Fyll i E""&amp;row()),
AND(C23&lt;&gt;"""",E23&lt;&gt;"""",E23&lt;&gt;1,E2"&amp;"3&lt;&gt;2,E23&lt;&gt;3,E23&lt;&gt;""Final""),CONCATENATE(""Fel format på E""&amp;row()),
K23=CONCATENATE(""Runda ""&amp;E23&amp;"" i ""&amp;C23&amp;"" finns redan""),CONCATENATE(""Fel i E""&amp;row()),
AND(C23&lt;&gt;"""",F23=""""),CONCATENATE(""Fyll i F""&amp;row()),
K23=CONCATENATE(C23&amp;"" måste ha forma"&amp;"tet ""&amp;FILTER(Info!$D$2:D81, Info!$A$2:A81 = C23)),CONCATENATE(""Fel format på F""&amp;row()),
AND(C23&lt;&gt;"""",D23=1,H23="""",FILTER(Info!$F$2:F81, Info!$A$2:A81 = C23) = ""Yes""),CONCATENATE(""Fyll i H""&amp;row()),
AND(C23&lt;&gt;"""",D23=1,I23="""",FILTER(Info!$E$2:E8"&amp;"1, Info!$A$2:A81 = C23) = ""Yes""),CONCATENATE(""Fyll i I""&amp;row()),
AND(C23&lt;&gt;"""",J23=""""),CONCATENATE(""Fyll i J""&amp;row()),
AND(C23&lt;&gt;"""",K23="""",OR(H23&lt;&gt;"""",I23&lt;&gt;"""")),CONCATENATE(""Fyll i K""&amp;row()),
AND(C23&lt;&gt;"""",K23=""""),CONCATENATE(""Skriv samma"&amp;" i K""&amp;row()&amp;"" som i J""&amp;row()),
AND(OR(C23=""4x4 BLD"",C23=""5x5 BLD"",C23=""4x4 / 5x5 BLD"")=TRUE,V23&lt;=P23),
MROUND(H23*(Info!$T$20-((Info!$T$20-1)/2)*(1-V23/P23))*(1+((J23/K23)-1)*(1-Info!$J$24))*N23+(Info!$T$11/2)+(N23*Info!$T$11)+(N23*Info!$T$14*(O2"&amp;"3-1)),0.01)+M23,
AND(OR(C23=""4x4 BLD"",C23=""5x5 BLD"",C23=""4x4 / 5x5 BLD"")=TRUE,V23&gt;P23),
MROUND((((J23*Z23+K23*(AA23-Z23))*(H23*Info!$T$20/AA23))/X23)*(1+((J23/K23)-1)*(1-Info!$J$24))*(1+(X23-Info!$T$8)/100)+(Info!$T$11/2)+(N23*Info!$T$11)+(N23*Info!"&amp;"$T$14*(O23-1)),0.01)+M23,
AND(C23=""3x3 BLD"",V23&lt;=P23),
MROUND(H23*(Info!$T$23-((Info!$T$23-1)/2)*(1-V23/P23))*(1+((J23/K23)-1)*(1-Info!$J$24))*N23+(Info!$T$11/2)+(N23*Info!$T$11)+(N23*Info!$T$14*(O23-1)),0.01)+M23,
AND(C23=""3x3 BLD"",V23&gt;P23),
MROUND(("&amp;"((J23*Z23+K23*(AA23-Z23))*(H23*Info!$T$23/AA23))/X23)*(1+((J23/K23)-1)*(1-Info!$J$24))*(1+(X23-Info!$T$8)/100)+(Info!$T$11/2)+(N23*Info!$T$11)+(N23*Info!$T$14*(O23-1)),0.01)+M23,
E23=1,MROUND((((J23*Z23+K23*(AA23-Z23))*Y23)/X23)*(1+(X23-Info!$T$8)/100)+(N"&amp;"23*Info!$T$11)+(N23*Info!$T$14*(O23-1)),0.01)+M23,
AND(E23=""Final"",N23=1,FILTER(Info!$G$2:$G$20,Info!$A$2:$A$20=C23)=""Mycket svår""),
MROUND((((J23*Z23+K23*(AA23-Z23))*(Y23*Info!$T$38))/X23)*(1+(X23-Info!$T$8)/100)+(N23*Info!$T$11)+(N23*Info!$T$14*(O23"&amp;"-1)),0.01)+M23,
AND(E23=""Final"",N23=1,FILTER(Info!$G$2:$G$20,Info!$A$2:$A$20=C23)=""Svår""),
MROUND((((J23*Z23+K23*(AA23-Z23))*(Y23*Info!$T$35))/X23)*(1+(X23-Info!$T$8)/100)+(N23*Info!$T$11)+(N23*Info!$T$14*(O23-1)),0.01)+M23,
E23=""Final"",MROUND((((J2"&amp;"3*Z23+K23*(AA23-Z23))*(Y23*Info!$T$5))/X23)*(1+(X23-Info!$T$8)/100)+(N23*Info!$T$11)+(N23*Info!$T$14*(O23-1)),0.01)+M23,
OR(E23=2,E23=3),MROUND((((J23*Z23+K23*(AA23-Z23))*(Y23*Info!$T$2))/X23)*(1+(X23-Info!$T$8)/100)+(N23*Info!$T$11)+(N23*Info!$T$14*(O23-"&amp;"1)),0.01)+M23)"),0.0)</f>
        <v>0</v>
      </c>
      <c r="M23" s="43">
        <f t="shared" si="1"/>
        <v>0</v>
      </c>
      <c r="N23" s="43" t="str">
        <f>IFS(OR(COUNTIF(Info!$A$22:A81,C23)&gt;0,C23=""),"",
OR(C23="4x4 BLD",C23="5x5 BLD",C23="3x3 MBLD",C23="3x3 FMC",C23="4x4 / 5x5 BLD"),1,
AND(E23="Final",Q23="Yes",MAX(1,ROUNDUP(J23/P23))&gt;1),MAX(2,ROUNDUP(J23/P23)),
AND(E23="Final",Q23="No",MAX(1,ROUNDUP(J23/((P23*2)+2.625-Y23*1.5)))&gt;1),MAX(2,ROUNDUP(J23/((P23*2)+2.625-Y23*1.5))),
E23="Final",1,
Q23="Yes",MAX(2,ROUNDUP(J23/P23)),
TRUE,MAX(2,ROUNDUP(J23/((P23*2)+2.625-Y23*1.5))))</f>
        <v/>
      </c>
      <c r="O23" s="43" t="str">
        <f>IFS(OR(COUNTIF(Info!$A$22:A81,C23)&gt;0,C23=""),"",
OR("3x3 MBLD"=C23,"3x3 FMC"=C23)=TRUE,"",
D23=$E$4,$G$6,D23=$K$4,$M$6,D23=$Q$4,$S$6,D23=$W$4,$Y$6,
TRUE,$S$2)</f>
        <v/>
      </c>
      <c r="P23" s="43" t="str">
        <f>IFS(OR(COUNTIF(Info!$A$22:A81,C23)&gt;0,C23=""),"",
OR("3x3 MBLD"=C23,"3x3 FMC"=C23)=TRUE,"",
D23=$E$4,$E$6,D23=$K$4,$K$6,D23=$Q$4,$Q$6,D23=$W$4,$W$6,
TRUE,$Q$2)</f>
        <v/>
      </c>
      <c r="Q23" s="44" t="str">
        <f>IFS(OR(COUNTIF(Info!$A$22:A81,C23)&gt;0,C23=""),"",
OR("3x3 MBLD"=C23,"3x3 FMC"=C23)=TRUE,"",
D23=$E$4,$I$6,D23=$K$4,$O$6,D23=$Q$4,$U$6,D23=$W$4,$AA$6,
TRUE,$U$2)</f>
        <v/>
      </c>
      <c r="R23" s="45" t="str">
        <f>IFERROR(__xludf.DUMMYFUNCTION("IF(C23="""","""",IFERROR(FILTER(Info!$B$22:B81,Info!$A$22:A81=C23)+M23,""?""))"),"")</f>
        <v/>
      </c>
      <c r="S23" s="46" t="str">
        <f>IFS(OR(COUNTIF(Info!$A$22:A81,C23)&gt;0,C23=""),"",
AND(H23="",I23=""),J23,
TRUE,"?")</f>
        <v/>
      </c>
      <c r="T23" s="45" t="str">
        <f>IFS(OR(COUNTIF(Info!$A$22:A81,C23)&gt;0,C23=""),"",
AND(L23&lt;&gt;0,OR(R23="?",R23="")),"Fyll i R-kolumnen",
OR(C23="3x3 FMC",C23="3x3 MBLD"),R23,
AND(L23&lt;&gt;0,OR(S23="?",S23="")),"Fyll i S-kolumnen",
OR(COUNTIF(Info!$A$22:A81,C23)&gt;0,C23=""),"",
TRUE,Y23*R23/L23)</f>
        <v/>
      </c>
      <c r="U23" s="45"/>
      <c r="V23" s="47" t="str">
        <f>IFS(OR(COUNTIF(Info!$A$22:A81,C23)&gt;0,C23=""),"",
OR("3x3 MBLD"=C23,"3x3 FMC"=C23)=TRUE,"",
TRUE,MROUND((J23/N23),0.01))</f>
        <v/>
      </c>
      <c r="W23" s="48" t="str">
        <f>IFS(OR(COUNTIF(Info!$A$22:A81,C23)&gt;0,C23=""),"",
TRUE,L23/N23)</f>
        <v/>
      </c>
      <c r="X23" s="49" t="str">
        <f>IFS(OR(COUNTIF(Info!$A$22:A81,C23)&gt;0,C23=""),"",
OR("3x3 MBLD"=C23,"3x3 FMC"=C23)=TRUE,"",
OR(C23="4x4 BLD",C23="5x5 BLD",C23="4x4 / 5x5 BLD",AND(C23="3x3 BLD",H23&lt;&gt;""))=TRUE,MIN(V23,P23),
TRUE,MIN(P23,V23,MROUND(((V23*2/3)+((Y23-1.625)/2)),0.01)))</f>
        <v/>
      </c>
      <c r="Y23" s="48" t="str">
        <f>IFERROR(__xludf.DUMMYFUNCTION("IFS(OR(COUNTIF(Info!$A$22:A81,C23)&gt;0,C23=""""),"""",
FILTER(Info!$F$2:F81, Info!$A$2:A81 = C23) = ""Yes"",H23/AA23,
""3x3 FMC""=C23,Info!$B$9,""3x3 MBLD""=C23,Info!$B$18,
AND(E23=1,I23="""",H23="""",Q23=""No"",G23&gt;SUMIF(Info!$A$2:A81,C23,Info!$B$2:B81)*1."&amp;"5),
MIN(SUMIF(Info!$A$2:A81,C23,Info!$B$2:B81)*1.1,SUMIF(Info!$A$2:A81,C23,Info!$B$2:B81)*(1.15-(0.15*(SUMIF(Info!$A$2:A81,C23,Info!$B$2:B81)*1.5)/G23))),
AND(E23=1,I23="""",H23="""",Q23=""Yes"",G23&gt;SUMIF(Info!$A$2:A81,C23,Info!$C$2:C81)*1.5),
MIN(SUMIF(I"&amp;"nfo!$A$2:A81,C23,Info!$C$2:C81)*1.1,SUMIF(Info!$A$2:A81,C23,Info!$C$2:C81)*(1.15-(0.15*(SUMIF(Info!$A$2:A81,C23,Info!$C$2:C81)*1.5)/G23))),
Q23=""No"",SUMIF(Info!$A$2:A81,C23,Info!$B$2:B81),
Q23=""Yes"",SUMIF(Info!$A$2:A81,C23,Info!$C$2:C81))"),"")</f>
        <v/>
      </c>
      <c r="Z23" s="47" t="str">
        <f>IFS(OR(COUNTIF(Info!$A$22:A81,C23)&gt;0,C23=""),"",
AND(OR("3x3 FMC"=C23,"3x3 MBLD"=C23),I23&lt;&gt;""),1,
AND(OR(H23&lt;&gt;"",I23&lt;&gt;""),F23="Avg of 5"),2,
F23="Avg of 5",AA23,
AND(OR(H23&lt;&gt;"",I23&lt;&gt;""),F23="Mean of 3",C23="6x6 / 7x7"),2,
AND(OR(H23&lt;&gt;"",I23&lt;&gt;""),F23="Mean of 3"),1,
F23="Mean of 3",AA23,
AND(OR(H23&lt;&gt;"",I23&lt;&gt;""),F23="Best of 3",C23="4x4 / 5x5 BLD"),2,
AND(OR(H23&lt;&gt;"",I23&lt;&gt;""),F23="Best of 3"),1,
F23="Best of 2",AA23,
F23="Best of 1",AA23)</f>
        <v/>
      </c>
      <c r="AA23" s="47" t="str">
        <f>IFS(OR(COUNTIF(Info!$A$22:A81,C23)&gt;0,C23=""),"",
AND(OR("3x3 MBLD"=C23,"3x3 FMC"=C23),F23="Best of 1"=TRUE),1,
AND(OR("3x3 MBLD"=C23,"3x3 FMC"=C23),F23="Best of 2"=TRUE),2,
AND(OR("3x3 MBLD"=C23,"3x3 FMC"=C23),OR(F23="Best of 3",F23="Mean of 3")=TRUE),3,
AND(F23="Mean of 3",C23="6x6 / 7x7"),6,
AND(F23="Best of 3",C23="4x4 / 5x5 BLD"),6,
F23="Avg of 5",5,F23="Mean of 3",3,F23="Best of 3",3,F23="Best of 2",2,F23="Best of 1",1)</f>
        <v/>
      </c>
      <c r="AB23" s="50"/>
    </row>
    <row r="24" ht="15.75" customHeight="1">
      <c r="A24" s="35">
        <f>IFERROR(__xludf.DUMMYFUNCTION("IFS(indirect(""A""&amp;row()-1)=""Start"",TIME(indirect(""A""&amp;row()-2),indirect(""B""&amp;row()-2),0),
$O$2=""No"",TIME(0,($A$6*60+$B$6)+CEILING(SUM($L$7:indirect(""L""&amp;row()-1)),5),0),
D24=$E$2,TIME(0,($A$6*60+$B$6)+CEILING(SUM(IFERROR(FILTER($L$7:indirect(""L"""&amp;"&amp;row()-1),REGEXMATCH($D$7:indirect(""D""&amp;row()-1),$E$2)),0)),5),0),
TRUE,""=time(hh;mm;ss)"")"),0.4166666666666667)</f>
        <v>0.4166666667</v>
      </c>
      <c r="B24" s="36">
        <f>IFERROR(__xludf.DUMMYFUNCTION("IFS($O$2=""No"",TIME(0,($A$6*60+$B$6)+CEILING(SUM($L$7:indirect(""L""&amp;row())),5),0),
D24=$E$2,TIME(0,($A$6*60+$B$6)+CEILING(SUM(FILTER($L$7:indirect(""L""&amp;row()),REGEXMATCH($D$7:indirect(""D""&amp;row()),$E$2))),5),0),
A24=""=time(hh;mm;ss)"",CONCATENATE(""Sk"&amp;"riv tid i A""&amp;row()),
AND(A24&lt;&gt;"""",A24&lt;&gt;""=time(hh;mm;ss)""),A24+TIME(0,CEILING(indirect(""L""&amp;row()),5),0))"),0.4166666666666667)</f>
        <v>0.4166666667</v>
      </c>
      <c r="C24" s="37"/>
      <c r="D24" s="38" t="str">
        <f t="shared" si="2"/>
        <v>Stora salen</v>
      </c>
      <c r="E24" s="38" t="str">
        <f>IFERROR(__xludf.DUMMYFUNCTION("IFS(COUNTIF(Info!$A$22:A81,C24)&gt;0,"""",
AND(OR(""3x3 FMC""=C24,""3x3 MBLD""=C24),COUNTIF($C$7:indirect(""C""&amp;row()),indirect(""C""&amp;row()))&gt;=13),""E - Error"",
AND(OR(""3x3 FMC""=C24,""3x3 MBLD""=C24),COUNTIF($C$7:indirect(""C""&amp;row()),indirect(""C""&amp;row()"&amp;"))=12),""Final - A3"",
AND(OR(""3x3 FMC""=C24,""3x3 MBLD""=C24),COUNTIF($C$7:indirect(""C""&amp;row()),indirect(""C""&amp;row()))=11),""Final - A2"",
AND(OR(""3x3 FMC""=C24,""3x3 MBLD""=C24),COUNTIF($C$7:indirect(""C""&amp;row()),indirect(""C""&amp;row()))=10),""Final - "&amp;"A1"",
AND(OR(""3x3 FMC""=C24,""3x3 MBLD""=C24),COUNTIF($C$7:indirect(""C""&amp;row()),indirect(""C""&amp;row()))=9,
COUNTIF($C$7:$C$102,indirect(""C""&amp;row()))&gt;9),""R3 - A3"",
AND(OR(""3x3 FMC""=C24,""3x3 MBLD""=C24),COUNTIF($C$7:indirect(""C""&amp;row()),indirect(""C"&amp;"""&amp;row()))=9,
COUNTIF($C$7:$C$102,indirect(""C""&amp;row()))&lt;=9),""Final - A3"",
AND(OR(""3x3 FMC""=C24,""3x3 MBLD""=C24),COUNTIF($C$7:indirect(""C""&amp;row()),indirect(""C""&amp;row()))=8,
COUNTIF($C$7:$C$102,indirect(""C""&amp;row()))&gt;9),""R3 - A2"",
AND(OR(""3x3 FMC"&amp;"""=C24,""3x3 MBLD""=C24),COUNTIF($C$7:indirect(""C""&amp;row()),indirect(""C""&amp;row()))=8,
COUNTIF($C$7:$C$102,indirect(""C""&amp;row()))&lt;=9),""Final - A2"",
AND(OR(""3x3 FMC""=C24,""3x3 MBLD""=C24),COUNTIF($C$7:indirect(""C""&amp;row()),indirect(""C""&amp;row()))=7,
COUN"&amp;"TIF($C$7:$C$102,indirect(""C""&amp;row()))&gt;9),""R3 - A1"",
AND(OR(""3x3 FMC""=C24,""3x3 MBLD""=C24),COUNTIF($C$7:indirect(""C""&amp;row()),indirect(""C""&amp;row()))=7,
COUNTIF($C$7:$C$102,indirect(""C""&amp;row()))&lt;=9),""Final - A1"",
AND(OR(""3x3 FMC""=C24,""3x3 MBLD"""&amp;"=C24),COUNTIF($C$7:indirect(""C""&amp;row()),indirect(""C""&amp;row()))=6,
COUNTIF($C$7:$C$102,indirect(""C""&amp;row()))&gt;6),""R2 - A3"",
AND(OR(""3x3 FMC""=C24,""3x3 MBLD""=C24),COUNTIF($C$7:indirect(""C""&amp;row()),indirect(""C""&amp;row()))=6,
COUNTIF($C$7:$C$102,indirec"&amp;"t(""C""&amp;row()))&lt;=6),""Final - A3"",
AND(OR(""3x3 FMC""=C24,""3x3 MBLD""=C24),COUNTIF($C$7:indirect(""C""&amp;row()),indirect(""C""&amp;row()))=5,
COUNTIF($C$7:$C$102,indirect(""C""&amp;row()))&gt;6),""R2 - A2"",
AND(OR(""3x3 FMC""=C24,""3x3 MBLD""=C24),COUNTIF($C$7:indi"&amp;"rect(""C""&amp;row()),indirect(""C""&amp;row()))=5,
COUNTIF($C$7:$C$102,indirect(""C""&amp;row()))&lt;=6),""Final - A2"",
AND(OR(""3x3 FMC""=C24,""3x3 MBLD""=C24),COUNTIF($C$7:indirect(""C""&amp;row()),indirect(""C""&amp;row()))=4,
COUNTIF($C$7:$C$102,indirect(""C""&amp;row()))&gt;6),"&amp;"""R2 - A1"",
AND(OR(""3x3 FMC""=C24,""3x3 MBLD""=C24),COUNTIF($C$7:indirect(""C""&amp;row()),indirect(""C""&amp;row()))=4,
COUNTIF($C$7:$C$102,indirect(""C""&amp;row()))&lt;=6),""Final - A1"",
AND(OR(""3x3 FMC""=C24,""3x3 MBLD""=C24),COUNTIF($C$7:indirect(""C""&amp;row()),i"&amp;"ndirect(""C""&amp;row()))=3),""R1 - A3"",
AND(OR(""3x3 FMC""=C24,""3x3 MBLD""=C24),COUNTIF($C$7:indirect(""C""&amp;row()),indirect(""C""&amp;row()))=2),""R1 - A2"",
AND(OR(""3x3 FMC""=C24,""3x3 MBLD""=C24),COUNTIF($C$7:indirect(""C""&amp;row()),indirect(""C""&amp;row()))=1),"&amp;"""R1 -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C24),ROUNDUP((FILTER(Info!$H$2:H81,Info!$A$2:A81=C24)/FILTER(Info!$H$2:H81,Info!$A$2:A81=$K$2))*$I$2)&gt;99),3,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C24),ROUNDUP((FILTER(Info!$H$2:H81,Info!$A$2:A81=C24)/FILTER(Info!$H$2:H81,Info!$A$2:A81=$K$2))*$I$2)&gt;15),2,
AND(COUNTIF($C$7:indirect(""C""&amp;row()),indirect(""C""&amp;row()))=2,COUNTIF($C$7:$C$102,indirect(""C""&amp;row()))=COUNTIF($"&amp;"C$7:indirect(""C""&amp;row()),indirect(""C""&amp;row()))),""Final"",
COUNTIF($C$7:indirect(""C""&amp;row()),indirect(""C""&amp;row()))=1,1,
COUNTIF($C$7:indirect(""C""&amp;row()),indirect(""C""&amp;row()))=0,"""")"),"")</f>
        <v/>
      </c>
      <c r="F24" s="39" t="str">
        <f>IFERROR(__xludf.DUMMYFUNCTION("IFS(C24="""","""",
AND(C24=""3x3 FMC"",MOD(COUNTIF($C$7:indirect(""C""&amp;row()),indirect(""C""&amp;row())),3)=0),""Mean of 3"",
AND(C24=""3x3 MBLD"",MOD(COUNTIF($C$7:indirect(""C""&amp;row()),indirect(""C""&amp;row())),3)=0),""Best of 3"",
AND(C24=""3x3 FMC"",MOD(COUNT"&amp;"IF($C$7:indirect(""C""&amp;row()),indirect(""C""&amp;row())),3)=2,
COUNTIF($C$7:$C$102,indirect(""C""&amp;row()))&lt;=COUNTIF($C$7:indirect(""C""&amp;row()),indirect(""C""&amp;row()))),""Best of 2"",
AND(C24=""3x3 FMC"",MOD(COUNTIF($C$7:indirect(""C""&amp;row()),indirect(""C""&amp;row("&amp;"))),3)=2,
COUNTIF($C$7:$C$102,indirect(""C""&amp;row()))&gt;COUNTIF($C$7:indirect(""C""&amp;row()),indirect(""C""&amp;row()))),""Mean of 3"",
AND(C24=""3x3 MBLD"",MOD(COUNTIF($C$7:indirect(""C""&amp;row()),indirect(""C""&amp;row())),3)=2,
COUNTIF($C$7:$C$102,indirect(""C""&amp;row("&amp;")))&lt;=COUNTIF($C$7:indirect(""C""&amp;row()),indirect(""C""&amp;row()))),""Best of 2"",
AND(C24=""3x3 MBLD"",MOD(COUNTIF($C$7:indirect(""C""&amp;row()),indirect(""C""&amp;row())),3)=2,
COUNTIF($C$7:$C$102,indirect(""C""&amp;row()))&gt;COUNTIF($C$7:indirect(""C""&amp;row()),indirect("&amp;"""C""&amp;row()))),""Best of 3"",
AND(C24=""3x3 FMC"",MOD(COUNTIF($C$7:indirect(""C""&amp;row()),indirect(""C""&amp;row())),3)=1,
COUNTIF($C$7:$C$102,indirect(""C""&amp;row()))&lt;=COUNTIF($C$7:indirect(""C""&amp;row()),indirect(""C""&amp;row()))),""Best of 1"",
AND(C24=""3x3 FMC"""&amp;",MOD(COUNTIF($C$7:indirect(""C""&amp;row()),indirect(""C""&amp;row())),3)=1,
COUNTIF($C$7:$C$102,indirect(""C""&amp;row()))=COUNTIF($C$7:indirect(""C""&amp;row()),indirect(""C""&amp;row()))+1),""Best of 2"",
AND(C24=""3x3 FMC"",MOD(COUNTIF($C$7:indirect(""C""&amp;row()),indirect"&amp;"(""C""&amp;row())),3)=1,
COUNTIF($C$7:$C$102,indirect(""C""&amp;row()))&gt;COUNTIF($C$7:indirect(""C""&amp;row()),indirect(""C""&amp;row()))),""Mean of 3"",
AND(C24=""3x3 MBLD"",MOD(COUNTIF($C$7:indirect(""C""&amp;row()),indirect(""C""&amp;row())),3)=1,
COUNTIF($C$7:$C$102,indirect"&amp;"(""C""&amp;row()))&lt;=COUNTIF($C$7:indirect(""C""&amp;row()),indirect(""C""&amp;row()))),""Best of 1"",
AND(C24=""3x3 MBLD"",MOD(COUNTIF($C$7:indirect(""C""&amp;row()),indirect(""C""&amp;row())),3)=1,
COUNTIF($C$7:$C$102,indirect(""C""&amp;row()))=COUNTIF($C$7:indirect(""C""&amp;row()"&amp;"),indirect(""C""&amp;row()))+1),""Best of 2"",
AND(C24=""3x3 MBLD"",MOD(COUNTIF($C$7:indirect(""C""&amp;row()),indirect(""C""&amp;row())),3)=1,
COUNTIF($C$7:$C$102,indirect(""C""&amp;row()))&gt;COUNTIF($C$7:indirect(""C""&amp;row()),indirect(""C""&amp;row()))),""Best of 3"",
TRUE,("&amp;"IFERROR(FILTER(Info!$D$2:D81, Info!$A$2:A81 = C24), """")))"),"")</f>
        <v/>
      </c>
      <c r="G24" s="40" t="str">
        <f>IFERROR(__xludf.DUMMYFUNCTION("IFS(OR(COUNTIF(Info!$A$22:A81,C24)&gt;0,C24=""""),"""",
OR(""3x3 MBLD""=C24,""3x3 FMC""=C24),60,
AND(E24=1,FILTER(Info!$F$2:F81, Info!$A$2:A81 = C24) = ""No""),FILTER(Info!$P$2:P81, Info!$A$2:A81 = C24),
AND(E24=2,FILTER(Info!$F$2:F81, Info!$A$2:A81 = C24) ="&amp;" ""No""),FILTER(Info!$Q$2:Q81, Info!$A$2:A81 = C24),
AND(E24=3,FILTER(Info!$F$2:F81, Info!$A$2:A81 = C24) = ""No""),FILTER(Info!$R$2:R81, Info!$A$2:A81 = C24),
AND(E24=""Final"",FILTER(Info!$F$2:F81, Info!$A$2:A81 = C24) = ""No""),FILTER(Info!$S$2:S81, In"&amp;"fo!$A$2:A81 = C24),
FILTER(Info!$F$2:F81, Info!$A$2:A81 = C24) = ""Yes"","""")"),"")</f>
        <v/>
      </c>
      <c r="H24" s="40" t="str">
        <f>IFERROR(__xludf.DUMMYFUNCTION("IFS(OR(COUNTIF(Info!$A$22:A81,C24)&gt;0,C24=""""),"""",
OR(""3x3 MBLD""=C24,""3x3 FMC""=C24)=TRUE,"""",
FILTER(Info!$F$2:F81, Info!$A$2:A81 = C24) = ""Yes"",FILTER(Info!$O$2:O81, Info!$A$2:A81 = C24),
FILTER(Info!$F$2:F81, Info!$A$2:A81 = C24) = ""No"",IF(G2"&amp;"4="""",FILTER(Info!$O$2:O81, Info!$A$2:A81 = C24),""""))"),"")</f>
        <v/>
      </c>
      <c r="I24" s="40" t="str">
        <f>IFERROR(__xludf.DUMMYFUNCTION("IFS(OR(COUNTIF(Info!$A$22:A81,C24)&gt;0,C24="""",H24&lt;&gt;""""),"""",
AND(E24&lt;&gt;1,E24&lt;&gt;""R1 - A1"",E24&lt;&gt;""R1 - A2"",E24&lt;&gt;""R1 - A3""),"""",
FILTER(Info!$E$2:E81, Info!$A$2:A81 = C24) = ""Yes"",IF(H24="""",FILTER(Info!$L$2:L81, Info!$A$2:A81 = C24),""""),
FILTER(I"&amp;"nfo!$E$2:E81, Info!$A$2:A81 = C24) = ""No"","""")"),"")</f>
        <v/>
      </c>
      <c r="J24" s="40" t="str">
        <f>IFERROR(__xludf.DUMMYFUNCTION("IFS(OR(COUNTIF(Info!$A$22:A81,C24)&gt;0,C24="""",""3x3 MBLD""=C24,""3x3 FMC""=C24),"""",
AND(E24=1,FILTER(Info!$H$2:H81,Info!$A$2:A81 = C24)&lt;=FILTER(Info!$H$2:H81,Info!$A$2:A81=$K$2)),
ROUNDUP((FILTER(Info!$H$2:H81,Info!$A$2:A81 = C24)/FILTER(Info!$H$2:H81,I"&amp;"nfo!$A$2:A81=$K$2))*$I$2),
AND(E24=1,FILTER(Info!$H$2:H81,Info!$A$2:A81 = C24)&gt;FILTER(Info!$H$2:H81,Info!$A$2:A81=$K$2)),""K2 - Error"",
AND(E24=2,FILTER($J$7:indirect(""J""&amp;row()-1),$C$7:indirect(""C""&amp;row()-1)=C24)&lt;=7),""J - Error"",
E24=2,FLOOR(FILTER("&amp;"$J$7:indirect(""J""&amp;row()-1),$C$7:indirect(""C""&amp;row()-1)=C24)*Info!$T$32),
AND(E24=3,FILTER($J$7:indirect(""J""&amp;row()-1),$C$7:indirect(""C""&amp;row()-1)=C24)&lt;=15),""J - Error"",
E24=3,FLOOR(Info!$T$32*FLOOR(FILTER($J$7:indirect(""J""&amp;row()-1),$C$7:indirect("&amp;"""C""&amp;row()-1)=C24)*Info!$T$32)),
AND(E24=""Final"",COUNTIF($C$7:$C$102,C24)=2,FILTER($J$7:indirect(""J""&amp;row()-1),$C$7:indirect(""C""&amp;row()-1)=C24)&lt;=7),""J - Error"",
AND(E24=""Final"",COUNTIF($C$7:$C$102,C24)=2),
MIN(P24,FLOOR(FILTER($J$7:indirect(""J"""&amp;"&amp;row()-1),$C$7:indirect(""C""&amp;row()-1)=C24)*Info!$T$32)),
AND(E24=""Final"",COUNTIF($C$7:$C$102,C24)=3,FILTER($J$7:indirect(""J""&amp;row()-1),$C$7:indirect(""C""&amp;row()-1)=C24)&lt;=15),""J - Error"",
AND(E24=""Final"",COUNTIF($C$7:$C$102,C24)=3),
MIN(P24,FLOOR(I"&amp;"nfo!$T$32*FLOOR(FILTER($J$7:indirect(""J""&amp;row()-1),$C$7:indirect(""C""&amp;row()-1)=C24)*Info!$T$32))),
AND(E24=""Final"",COUNTIF($C$7:$C$102,C24)&gt;=4,FILTER($J$7:indirect(""J""&amp;row()-1),$C$7:indirect(""C""&amp;row()-1)=C24)&lt;=99),""J - Error"",
AND(E24=""Final"","&amp;"COUNTIF($C$7:$C$102,C24)&gt;=4),
MIN(P24,FLOOR(Info!$T$32*FLOOR(Info!$T$32*FLOOR(FILTER($J$7:indirect(""J""&amp;row()-1),$C$7:indirect(""C""&amp;row()-1)=C24)*Info!$T$32)))))"),"")</f>
        <v/>
      </c>
      <c r="K24" s="41" t="str">
        <f>IFERROR(__xludf.DUMMYFUNCTION("IFS(AND(indirect(""D""&amp;row()+2)&lt;&gt;$E$2,indirect(""D""&amp;row()+1)=""""),CONCATENATE(""Tom rad! Kopiera hela rad ""&amp;row()&amp;"" dit""),
AND(indirect(""D""&amp;row()-1)&lt;&gt;""Rum"",indirect(""D""&amp;row()-1)=""""),CONCATENATE(""Tom rad! Kopiera hela rad ""&amp;row()&amp;"" dit""),
"&amp;"C24="""","""",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OR(AND(D24&lt;&gt;$E$2,D24&lt;&gt;$E$4,D24&lt;&gt;$K$4,D24&lt;&gt;$Q$4),D24="&amp;"""""),CONCATENATE(""Rum: ""&amp;D24&amp;"" finns ej, byt i D""&amp;row()),
AND(indirect(""D""&amp;row()-1)=""Rum"",C24=""""),CONCATENATE(""För att börja: skriv i cell C""&amp;row()),
AND(C24=""Paus"",M24&lt;=0),CONCATENATE(""Skriv pausens längd i M""&amp;row()),
OR(COUNTIF(Info!$A$"&amp;"22:A81,C24)&gt;0,C24=""""),"""",
AND(D24&lt;&gt;$E$2,$O$2=""Yes"",A24=""=time(hh;mm;ss)""),CONCATENATE(""Skriv starttid för ""&amp;C24&amp;"" i A""&amp;row()),
E24=""E - Error"",CONCATENATE(""För många ""&amp;C24&amp;"" rundor!""),
AND(C24&lt;&gt;""3x3 FMC"",C24&lt;&gt;""3x3 MBLD"",E24&lt;&gt;1,E24&lt;&gt;"&amp;"""Final"",IFERROR(FILTER($E$7:indirect(""E""&amp;row()-1),
$E$7:indirect(""E""&amp;row()-1)=E24-1,$C$7:indirect(""C""&amp;row()-1)=C24))=FALSE),CONCATENATE(""Kan ej vara R""&amp;E24&amp;"", saknar R""&amp;(E24-1)),
AND(indirect(""E""&amp;row()-1)&lt;&gt;""Omgång"",IFERROR(FILTER($E$7:indi"&amp;"rect(""E""&amp;row()-1),
$E$7:indirect(""E""&amp;row()-1)=E24,$C$7:indirect(""C""&amp;row()-1)=C24)=E24)=TRUE),CONCATENATE(""Runda ""&amp;E24&amp;"" i ""&amp;C24&amp;"" finns redan""),
AND(C24&lt;&gt;""3x3 BLD"",C24&lt;&gt;""4x4 BLD"",C24&lt;&gt;""5x5 BLD"",C24&lt;&gt;""4x4 / 5x5 BLD"",OR(E24=2,E24=3,E24="&amp;"""Final""),H24&lt;&gt;""""),CONCATENATE(E24&amp;""-rundor brukar ej ha c.t.l.""),
AND(OR(E24=2,E24=3,E24=""Final""),I24&lt;&gt;""""),CONCATENATE(E24&amp;""-rundor brukar ej ha cutoff""),
AND(OR(C24=""3x3 FMC"",C24=""3x3 MBLD""),OR(E24=1,E24=2,E24=3,E24=""Final"")),CONCATENAT"&amp;"E(C24&amp;""s omgång är Rx - Ax""),
AND(C24&lt;&gt;""3x3 MBLD"",C24&lt;&gt;""3x3 FMC"",FILTER(Info!$D$2:D81, Info!$A$2:A81 = C24)&lt;&gt;F24),CONCATENATE(C24&amp;"" måste ha formatet ""&amp;FILTER(Info!$D$2:D81, Info!$A$2:A81 = C24)),
AND(C24=""3x3 MBLD"",OR(F24=""Avg of 5"",F24=""Mea"&amp;"n of 3"")),CONCATENATE(""Ogiltigt format för ""&amp;C24),
AND(C24=""3x3 FMC"",OR(F24=""Avg of 5"",F24=""Best of 3"")),CONCATENATE(""Ogiltigt format för ""&amp;C24),
AND(OR(F24=""Best of 1"",F24=""Best of 2"",F24=""Best of 3""),I24&lt;&gt;""""),CONCATENATE(F24&amp;""-rundor"&amp;" får ej ha cutoff""),
AND(OR(C24=""3x3 FMC"",C24=""3x3 MBLD""),G24&lt;&gt;60),CONCATENATE(C24&amp;"" måste ha time limit: 60""),
AND(OR(C24=""3x3 FMC"",C24=""3x3 MBLD""),H24&lt;&gt;""""),CONCATENATE(C24&amp;"" kan inte ha c.t.l.""),
AND(G24&lt;&gt;"""",H24&lt;&gt;""""),""Välj time limit"&amp;" ELLER c.t.l"",
AND(C24=""6x6 / 7x7"",G24="""",H24=""""),""Sätt time limit (x / y) eller c.t.l (z)"",
AND(G24="""",H24=""""),""Sätt en time limit eller c.t.l"",
AND(OR(C24=""6x6 / 7x7"",C24=""4x4 / 5x5 BLD""),G24&lt;&gt;"""",REGEXMATCH(TO_TEXT(G24),"" / "")=FAL"&amp;"SE),CONCATENATE(""Time limit måste vara x / y""),
AND(H24&lt;&gt;"""",I24&lt;&gt;""""),CONCATENATE(C24&amp;"" brukar ej ha cutoff OCH c.t.l""),
AND(E24=1,H24="""",I24="""",OR(FILTER(Info!$E$2:E81, Info!$A$2:A81 = C24) = ""Yes"",FILTER(Info!$F$2:F81, Info!$A$2:A81 = C24) "&amp;"= ""Yes""),OR(F24=""Avg of 5"",F24=""Mean of 3"")),CONCATENATE(C24&amp;"" bör ha cutoff eller c.t.l""),
AND(C24=""6x6 / 7x7"",I24&lt;&gt;"""",REGEXMATCH(TO_TEXT(I24),"" / "")=FALSE),CONCATENATE(""Cutoff måste vara x / y""),
AND(H24&lt;&gt;"""",ISNUMBER(H24)=FALSE),""C.t."&amp;"l. måste vara positivt tal (x)"",
AND(C24&lt;&gt;""6x6 / 7x7"",I24&lt;&gt;"""",ISNUMBER(I24)=FALSE),""Cutoff måste vara positivt tal (x)"",
AND(H24&lt;&gt;"""",FILTER(Info!$E$2:E81, Info!$A$2:A81 = C24) = ""No"",FILTER(Info!$F$2:F81, Info!$A$2:A81 = C24) = ""No""),CONCATEN"&amp;"ATE(C24&amp;"" brukar inte ha c.t.l.""),
AND(I24&lt;&gt;"""",FILTER(Info!$E$2:E81, Info!$A$2:A81 = C24) = ""No"",FILTER(Info!$F$2:F81, Info!$A$2:A81 = C24) = ""No""),CONCATENATE(C24&amp;"" brukar inte ha cutoff""),
AND(H24="""",FILTER(Info!$F$2:F81, Info!$A$2:A81 = C24"&amp;") = ""Yes""),CONCATENATE(C24&amp;"" brukar ha c.t.l.""),
AND(C24&lt;&gt;""6x6 / 7x7"",C24&lt;&gt;""4x4 / 5x5 BLD"",G24&lt;&gt;"""",ISNUMBER(G24)=FALSE),""Time limit måste vara positivt tal (x)"",
J24=""J - Error"",CONCATENATE(""För få deltagare i R1 för ""&amp;COUNTIF($C$7:$C$102,"&amp;"indirect(""C""&amp;row()))&amp;"" rundor""),
J24=""K2 - Error"",CONCATENATE(C24&amp;"" är mer populär - byt i K2!""),
AND(C24&lt;&gt;""6x6 / 7x7"",C24&lt;&gt;""4x4 / 5x5 BLD"",G24&lt;&gt;"""",I24&lt;&gt;"""",G24&lt;=I24),""Time limit måste vara &gt; cutoff"",
AND(C24&lt;&gt;""6x6 / 7x7"",C24&lt;&gt;""4x4 / 5"&amp;"x5 BLD"",H24&lt;&gt;"""",I24&lt;&gt;"""",H24&lt;=I24),""C.t.l. måste vara &gt; cutoff"",
AND(C24&lt;&gt;""3x3 FMC"",C24&lt;&gt;""3x3 MBLD"",J24=""""),CONCATENATE(""Fyll i antal deltagare i J""&amp;row()),
AND(C24="""",OR(E24&lt;&gt;"""",F24&lt;&gt;"""",G24&lt;&gt;"""",H24&lt;&gt;"""",I24&lt;&gt;"""",J24&lt;&gt;"""")),""Skri"&amp;"v ALLTID gren / aktivitet först"",
AND(I24="""",H24="""",J24&lt;&gt;""""),J24,
OR(""3x3 FMC""=C24,""3x3 MBLD""=C24),J24,
AND(I24&lt;&gt;"""",""6x6 / 7x7""=C24),
IFS(ArrayFormula(SUM(IFERROR(SPLIT(I24,"" / ""))))&lt;(Info!$J$6+Info!$J$7)*2/3,CONCATENATE(""Höj helst cutof"&amp;"fs i ""&amp;C24),
ArrayFormula(SUM(IFERROR(SPLIT(I24,"" / ""))))&lt;=(Info!$J$6+Info!$J$7),ROUNDUP(J24*Info!$J$22),
ArrayFormula(SUM(IFERROR(SPLIT(I24,"" / ""))))&lt;=Info!$J$6+Info!$J$7,ROUNDUP(J24*Info!$K$22),
ArrayFormula(SUM(IFERROR(SPLIT(I24,"" / ""))))&lt;=Info!"&amp;"$K$6+Info!$K$7,ROUNDUP(J24*Info!L$22),
ArrayFormula(SUM(IFERROR(SPLIT(I24,"" / ""))))&lt;=Info!$L$6+Info!$L$7,ROUNDUP(J24*Info!$M$22),
ArrayFormula(SUM(IFERROR(SPLIT(I24,"" / ""))))&lt;=Info!$M$6+Info!$M$7,ROUNDUP(J24*Info!$N$22),
ArrayFormula(SUM(IFERROR(SPLIT"&amp;"(I24,"" / ""))))&lt;=(Info!$N$6+Info!$N$7)*3/2,ROUNDUP(J24*Info!$J$26),
ArrayFormula(SUM(IFERROR(SPLIT(I24,"" / ""))))&gt;(Info!$N$6+Info!$N$7)*3/2,CONCATENATE(""Sänk helst cutoffs i ""&amp;C24)),
AND(I24&lt;&gt;"""",FILTER(Info!$E$2:E81, Info!$A$2:A81 = C24) = ""Yes""),"&amp;"
IFS(I24&lt;FILTER(Info!$J$2:J81, Info!$A$2:A81 = C24)*2/3,CONCATENATE(""Höj helst cutoff i ""&amp;C24),
I24&lt;=FILTER(Info!$J$2:J81, Info!$A$2:A81 = C24),ROUNDUP(J24*Info!$J$22),
I24&lt;=FILTER(Info!$K$2:K81, Info!$A$2:A81 = C24),ROUNDUP(J24*Info!$K$22),
I24&lt;=FILTER"&amp;"(Info!$L$2:L81, Info!$A$2:A81 = C24),ROUNDUP(J24*Info!L$22),
I24&lt;=FILTER(Info!$M$2:M81, Info!$A$2:A81 = C24),ROUNDUP(J24*Info!$M$22),
I24&lt;=FILTER(Info!$N$2:N81, Info!$A$2:A81 = C24),ROUNDUP(J24*Info!$N$22),
I24&lt;=FILTER(Info!$N$2:N81, Info!$A$2:A81 = C24)*"&amp;"3/2,ROUNDUP(J24*Info!$J$26),
I24&gt;FILTER(Info!$N$2:N81, Info!$A$2:A81 = C24)*3/2,CONCATENATE(""Sänk helst cutoff i ""&amp;C24)),
AND(H24&lt;&gt;"""",""6x6 / 7x7""=C24),
IFS(H24/3&lt;=(Info!$J$6+Info!$J$7)*2/3,""Höj helst cumulative time limit"",
H24/3&lt;=Info!$J$6+Info!$"&amp;"J$7,ROUNDUP(J24*Info!$J$24),
H24/3&lt;=Info!$K$6+Info!$K$7,ROUNDUP(J24*Info!$K$24),
H24/3&lt;=Info!$L$6+Info!$L$7,ROUNDUP(J24*Info!L$24),
H24/3&lt;=Info!$M$6+Info!$M$7,ROUNDUP(J24*Info!$M$24),
H24/3&lt;=Info!$N$6+Info!$N$7,ROUNDUP(J24*Info!$N$24),
H24/3&lt;=(Info!$N$6+I"&amp;"nfo!$N$7)*3/2,ROUNDUP(J24*Info!$L$26),
H24/3&gt;(Info!$J$6+Info!$J$7)*3/2,""Sänk helst cumulative time limit""),
AND(H24&lt;&gt;"""",FILTER(Info!$F$2:F81, Info!$A$2:A81 = C24) = ""Yes""),
IFS(H24&lt;=FILTER(Info!$J$2:J81, Info!$A$2:A81 = C24)*2/3,CONCATENATE(""Höj he"&amp;"lst c.t.l. i ""&amp;C24),
H24&lt;=FILTER(Info!$J$2:J81, Info!$A$2:A81 = C24),ROUNDUP(J24*Info!$J$24),
H24&lt;=FILTER(Info!$K$2:K81, Info!$A$2:A81 = C24),ROUNDUP(J24*Info!$K$24),
H24&lt;=FILTER(Info!$L$2:L81, Info!$A$2:A81 = C24),ROUNDUP(J24*Info!L$24),
H24&lt;=FILTER(Inf"&amp;"o!$M$2:M81, Info!$A$2:A81 = C24),ROUNDUP(J24*Info!$M$24),
H24&lt;=FILTER(Info!$N$2:N81, Info!$A$2:A81 = C24),ROUNDUP(J24*Info!$N$24),
H24&lt;=FILTER(Info!$N$2:N81, Info!$A$2:A81 = C24)*3/2,ROUNDUP(J24*Info!$L$26),
H24&gt;FILTER(Info!$N$2:N81, Info!$A$2:A81 = C24)*"&amp;"3/2,CONCATENATE(""Sänk helst c.t.l. i ""&amp;C24)),
AND(H24&lt;&gt;"""",FILTER(Info!$F$2:F81, Info!$A$2:A81 = C24) = ""No""),
IFS(H24/AA24&lt;=FILTER(Info!$J$2:J81, Info!$A$2:A81 = C24)*2/3,CONCATENATE(""Höj helst c.t.l. i ""&amp;C24),
H24/AA24&lt;=FILTER(Info!$J$2:J81, Info"&amp;"!$A$2:A81 = C24),ROUNDUP(J24*Info!$J$24),
H24/AA24&lt;=FILTER(Info!$K$2:K81, Info!$A$2:A81 = C24),ROUNDUP(J24*Info!$K$24),
H24/AA24&lt;=FILTER(Info!$L$2:L81, Info!$A$2:A81 = C24),ROUNDUP(J24*Info!L$24),
H24/AA24&lt;=FILTER(Info!$M$2:M81, Info!$A$2:A81 = C24),ROUND"&amp;"UP(J24*Info!$M$24),
H24/AA24&lt;=FILTER(Info!$N$2:N81, Info!$A$2:A81 = C24),ROUNDUP(J24*Info!$N$24),
H24/AA24&lt;=FILTER(Info!$N$2:N81, Info!$A$2:A81 = C24)*3/2,ROUNDUP(J24*Info!$L$26),
H24/AA24&gt;FILTER(Info!$N$2:N81, Info!$A$2:A81 = C24)*3/2,CONCATENATE(""Sänk "&amp;"helst c.t.l. i ""&amp;C24)),
AND(I24="""",H24&lt;&gt;"""",J24&lt;&gt;""""),ROUNDUP(J24*Info!$T$29),
AND(I24&lt;&gt;"""",H24="""",J24&lt;&gt;""""),ROUNDUP(J24*Info!$T$26))"),"")</f>
        <v/>
      </c>
      <c r="L24" s="42">
        <f>IFERROR(__xludf.DUMMYFUNCTION("IFS(C24="""",0,
C24=""3x3 FMC"",Info!$B$9*N24+M24, C24=""3x3 MBLD"",Info!$B$18*N24+M24,
COUNTIF(Info!$A$22:A81,C24)&gt;0,FILTER(Info!$B$22:B81,Info!$A$22:A81=C24)+M24,
AND(C24&lt;&gt;"""",E24=""""),CONCATENATE(""Fyll i E""&amp;row()),
AND(C24&lt;&gt;"""",E24&lt;&gt;"""",E24&lt;&gt;1,E2"&amp;"4&lt;&gt;2,E24&lt;&gt;3,E24&lt;&gt;""Final""),CONCATENATE(""Fel format på E""&amp;row()),
K24=CONCATENATE(""Runda ""&amp;E24&amp;"" i ""&amp;C24&amp;"" finns redan""),CONCATENATE(""Fel i E""&amp;row()),
AND(C24&lt;&gt;"""",F24=""""),CONCATENATE(""Fyll i F""&amp;row()),
K24=CONCATENATE(C24&amp;"" måste ha forma"&amp;"tet ""&amp;FILTER(Info!$D$2:D81, Info!$A$2:A81 = C24)),CONCATENATE(""Fel format på F""&amp;row()),
AND(C24&lt;&gt;"""",D24=1,H24="""",FILTER(Info!$F$2:F81, Info!$A$2:A81 = C24) = ""Yes""),CONCATENATE(""Fyll i H""&amp;row()),
AND(C24&lt;&gt;"""",D24=1,I24="""",FILTER(Info!$E$2:E8"&amp;"1, Info!$A$2:A81 = C24) = ""Yes""),CONCATENATE(""Fyll i I""&amp;row()),
AND(C24&lt;&gt;"""",J24=""""),CONCATENATE(""Fyll i J""&amp;row()),
AND(C24&lt;&gt;"""",K24="""",OR(H24&lt;&gt;"""",I24&lt;&gt;"""")),CONCATENATE(""Fyll i K""&amp;row()),
AND(C24&lt;&gt;"""",K24=""""),CONCATENATE(""Skriv samma"&amp;" i K""&amp;row()&amp;"" som i J""&amp;row()),
AND(OR(C24=""4x4 BLD"",C24=""5x5 BLD"",C24=""4x4 / 5x5 BLD"")=TRUE,V24&lt;=P24),
MROUND(H24*(Info!$T$20-((Info!$T$20-1)/2)*(1-V24/P24))*(1+((J24/K24)-1)*(1-Info!$J$24))*N24+(Info!$T$11/2)+(N24*Info!$T$11)+(N24*Info!$T$14*(O2"&amp;"4-1)),0.01)+M24,
AND(OR(C24=""4x4 BLD"",C24=""5x5 BLD"",C24=""4x4 / 5x5 BLD"")=TRUE,V24&gt;P24),
MROUND((((J24*Z24+K24*(AA24-Z24))*(H24*Info!$T$20/AA24))/X24)*(1+((J24/K24)-1)*(1-Info!$J$24))*(1+(X24-Info!$T$8)/100)+(Info!$T$11/2)+(N24*Info!$T$11)+(N24*Info!"&amp;"$T$14*(O24-1)),0.01)+M24,
AND(C24=""3x3 BLD"",V24&lt;=P24),
MROUND(H24*(Info!$T$23-((Info!$T$23-1)/2)*(1-V24/P24))*(1+((J24/K24)-1)*(1-Info!$J$24))*N24+(Info!$T$11/2)+(N24*Info!$T$11)+(N24*Info!$T$14*(O24-1)),0.01)+M24,
AND(C24=""3x3 BLD"",V24&gt;P24),
MROUND(("&amp;"((J24*Z24+K24*(AA24-Z24))*(H24*Info!$T$23/AA24))/X24)*(1+((J24/K24)-1)*(1-Info!$J$24))*(1+(X24-Info!$T$8)/100)+(Info!$T$11/2)+(N24*Info!$T$11)+(N24*Info!$T$14*(O24-1)),0.01)+M24,
E24=1,MROUND((((J24*Z24+K24*(AA24-Z24))*Y24)/X24)*(1+(X24-Info!$T$8)/100)+(N"&amp;"24*Info!$T$11)+(N24*Info!$T$14*(O24-1)),0.01)+M24,
AND(E24=""Final"",N24=1,FILTER(Info!$G$2:$G$20,Info!$A$2:$A$20=C24)=""Mycket svår""),
MROUND((((J24*Z24+K24*(AA24-Z24))*(Y24*Info!$T$38))/X24)*(1+(X24-Info!$T$8)/100)+(N24*Info!$T$11)+(N24*Info!$T$14*(O24"&amp;"-1)),0.01)+M24,
AND(E24=""Final"",N24=1,FILTER(Info!$G$2:$G$20,Info!$A$2:$A$20=C24)=""Svår""),
MROUND((((J24*Z24+K24*(AA24-Z24))*(Y24*Info!$T$35))/X24)*(1+(X24-Info!$T$8)/100)+(N24*Info!$T$11)+(N24*Info!$T$14*(O24-1)),0.01)+M24,
E24=""Final"",MROUND((((J2"&amp;"4*Z24+K24*(AA24-Z24))*(Y24*Info!$T$5))/X24)*(1+(X24-Info!$T$8)/100)+(N24*Info!$T$11)+(N24*Info!$T$14*(O24-1)),0.01)+M24,
OR(E24=2,E24=3),MROUND((((J24*Z24+K24*(AA24-Z24))*(Y24*Info!$T$2))/X24)*(1+(X24-Info!$T$8)/100)+(N24*Info!$T$11)+(N24*Info!$T$14*(O24-"&amp;"1)),0.01)+M24)"),0.0)</f>
        <v>0</v>
      </c>
      <c r="M24" s="43">
        <f t="shared" si="1"/>
        <v>0</v>
      </c>
      <c r="N24" s="43" t="str">
        <f>IFS(OR(COUNTIF(Info!$A$22:A81,C24)&gt;0,C24=""),"",
OR(C24="4x4 BLD",C24="5x5 BLD",C24="3x3 MBLD",C24="3x3 FMC",C24="4x4 / 5x5 BLD"),1,
AND(E24="Final",Q24="Yes",MAX(1,ROUNDUP(J24/P24))&gt;1),MAX(2,ROUNDUP(J24/P24)),
AND(E24="Final",Q24="No",MAX(1,ROUNDUP(J24/((P24*2)+2.625-Y24*1.5)))&gt;1),MAX(2,ROUNDUP(J24/((P24*2)+2.625-Y24*1.5))),
E24="Final",1,
Q24="Yes",MAX(2,ROUNDUP(J24/P24)),
TRUE,MAX(2,ROUNDUP(J24/((P24*2)+2.625-Y24*1.5))))</f>
        <v/>
      </c>
      <c r="O24" s="43" t="str">
        <f>IFS(OR(COUNTIF(Info!$A$22:A81,C24)&gt;0,C24=""),"",
OR("3x3 MBLD"=C24,"3x3 FMC"=C24)=TRUE,"",
D24=$E$4,$G$6,D24=$K$4,$M$6,D24=$Q$4,$S$6,D24=$W$4,$Y$6,
TRUE,$S$2)</f>
        <v/>
      </c>
      <c r="P24" s="43" t="str">
        <f>IFS(OR(COUNTIF(Info!$A$22:A81,C24)&gt;0,C24=""),"",
OR("3x3 MBLD"=C24,"3x3 FMC"=C24)=TRUE,"",
D24=$E$4,$E$6,D24=$K$4,$K$6,D24=$Q$4,$Q$6,D24=$W$4,$W$6,
TRUE,$Q$2)</f>
        <v/>
      </c>
      <c r="Q24" s="44" t="str">
        <f>IFS(OR(COUNTIF(Info!$A$22:A81,C24)&gt;0,C24=""),"",
OR("3x3 MBLD"=C24,"3x3 FMC"=C24)=TRUE,"",
D24=$E$4,$I$6,D24=$K$4,$O$6,D24=$Q$4,$U$6,D24=$W$4,$AA$6,
TRUE,$U$2)</f>
        <v/>
      </c>
      <c r="R24" s="45" t="str">
        <f>IFERROR(__xludf.DUMMYFUNCTION("IF(C24="""","""",IFERROR(FILTER(Info!$B$22:B81,Info!$A$22:A81=C24)+M24,""?""))"),"")</f>
        <v/>
      </c>
      <c r="S24" s="46" t="str">
        <f>IFS(OR(COUNTIF(Info!$A$22:A81,C24)&gt;0,C24=""),"",
AND(H24="",I24=""),J24,
TRUE,"?")</f>
        <v/>
      </c>
      <c r="T24" s="45" t="str">
        <f>IFS(OR(COUNTIF(Info!$A$22:A81,C24)&gt;0,C24=""),"",
AND(L24&lt;&gt;0,OR(R24="?",R24="")),"Fyll i R-kolumnen",
OR(C24="3x3 FMC",C24="3x3 MBLD"),R24,
AND(L24&lt;&gt;0,OR(S24="?",S24="")),"Fyll i S-kolumnen",
OR(COUNTIF(Info!$A$22:A81,C24)&gt;0,C24=""),"",
TRUE,Y24*R24/L24)</f>
        <v/>
      </c>
      <c r="U24" s="45"/>
      <c r="V24" s="47" t="str">
        <f>IFS(OR(COUNTIF(Info!$A$22:A81,C24)&gt;0,C24=""),"",
OR("3x3 MBLD"=C24,"3x3 FMC"=C24)=TRUE,"",
TRUE,MROUND((J24/N24),0.01))</f>
        <v/>
      </c>
      <c r="W24" s="48" t="str">
        <f>IFS(OR(COUNTIF(Info!$A$22:A81,C24)&gt;0,C24=""),"",
TRUE,L24/N24)</f>
        <v/>
      </c>
      <c r="X24" s="49" t="str">
        <f>IFS(OR(COUNTIF(Info!$A$22:A81,C24)&gt;0,C24=""),"",
OR("3x3 MBLD"=C24,"3x3 FMC"=C24)=TRUE,"",
OR(C24="4x4 BLD",C24="5x5 BLD",C24="4x4 / 5x5 BLD",AND(C24="3x3 BLD",H24&lt;&gt;""))=TRUE,MIN(V24,P24),
TRUE,MIN(P24,V24,MROUND(((V24*2/3)+((Y24-1.625)/2)),0.01)))</f>
        <v/>
      </c>
      <c r="Y24" s="48" t="str">
        <f>IFERROR(__xludf.DUMMYFUNCTION("IFS(OR(COUNTIF(Info!$A$22:A81,C24)&gt;0,C24=""""),"""",
FILTER(Info!$F$2:F81, Info!$A$2:A81 = C24) = ""Yes"",H24/AA24,
""3x3 FMC""=C24,Info!$B$9,""3x3 MBLD""=C24,Info!$B$18,
AND(E24=1,I24="""",H24="""",Q24=""No"",G24&gt;SUMIF(Info!$A$2:A81,C24,Info!$B$2:B81)*1."&amp;"5),
MIN(SUMIF(Info!$A$2:A81,C24,Info!$B$2:B81)*1.1,SUMIF(Info!$A$2:A81,C24,Info!$B$2:B81)*(1.15-(0.15*(SUMIF(Info!$A$2:A81,C24,Info!$B$2:B81)*1.5)/G24))),
AND(E24=1,I24="""",H24="""",Q24=""Yes"",G24&gt;SUMIF(Info!$A$2:A81,C24,Info!$C$2:C81)*1.5),
MIN(SUMIF(I"&amp;"nfo!$A$2:A81,C24,Info!$C$2:C81)*1.1,SUMIF(Info!$A$2:A81,C24,Info!$C$2:C81)*(1.15-(0.15*(SUMIF(Info!$A$2:A81,C24,Info!$C$2:C81)*1.5)/G24))),
Q24=""No"",SUMIF(Info!$A$2:A81,C24,Info!$B$2:B81),
Q24=""Yes"",SUMIF(Info!$A$2:A81,C24,Info!$C$2:C81))"),"")</f>
        <v/>
      </c>
      <c r="Z24" s="47" t="str">
        <f>IFS(OR(COUNTIF(Info!$A$22:A81,C24)&gt;0,C24=""),"",
AND(OR("3x3 FMC"=C24,"3x3 MBLD"=C24),I24&lt;&gt;""),1,
AND(OR(H24&lt;&gt;"",I24&lt;&gt;""),F24="Avg of 5"),2,
F24="Avg of 5",AA24,
AND(OR(H24&lt;&gt;"",I24&lt;&gt;""),F24="Mean of 3",C24="6x6 / 7x7"),2,
AND(OR(H24&lt;&gt;"",I24&lt;&gt;""),F24="Mean of 3"),1,
F24="Mean of 3",AA24,
AND(OR(H24&lt;&gt;"",I24&lt;&gt;""),F24="Best of 3",C24="4x4 / 5x5 BLD"),2,
AND(OR(H24&lt;&gt;"",I24&lt;&gt;""),F24="Best of 3"),1,
F24="Best of 2",AA24,
F24="Best of 1",AA24)</f>
        <v/>
      </c>
      <c r="AA24" s="47" t="str">
        <f>IFS(OR(COUNTIF(Info!$A$22:A81,C24)&gt;0,C24=""),"",
AND(OR("3x3 MBLD"=C24,"3x3 FMC"=C24),F24="Best of 1"=TRUE),1,
AND(OR("3x3 MBLD"=C24,"3x3 FMC"=C24),F24="Best of 2"=TRUE),2,
AND(OR("3x3 MBLD"=C24,"3x3 FMC"=C24),OR(F24="Best of 3",F24="Mean of 3")=TRUE),3,
AND(F24="Mean of 3",C24="6x6 / 7x7"),6,
AND(F24="Best of 3",C24="4x4 / 5x5 BLD"),6,
F24="Avg of 5",5,F24="Mean of 3",3,F24="Best of 3",3,F24="Best of 2",2,F24="Best of 1",1)</f>
        <v/>
      </c>
      <c r="AB24" s="50"/>
    </row>
    <row r="25" ht="15.75" customHeight="1">
      <c r="A25" s="35">
        <f>IFERROR(__xludf.DUMMYFUNCTION("IFS(indirect(""A""&amp;row()-1)=""Start"",TIME(indirect(""A""&amp;row()-2),indirect(""B""&amp;row()-2),0),
$O$2=""No"",TIME(0,($A$6*60+$B$6)+CEILING(SUM($L$7:indirect(""L""&amp;row()-1)),5),0),
D25=$E$2,TIME(0,($A$6*60+$B$6)+CEILING(SUM(IFERROR(FILTER($L$7:indirect(""L"""&amp;"&amp;row()-1),REGEXMATCH($D$7:indirect(""D""&amp;row()-1),$E$2)),0)),5),0),
TRUE,""=time(hh;mm;ss)"")"),0.4166666666666667)</f>
        <v>0.4166666667</v>
      </c>
      <c r="B25" s="36">
        <f>IFERROR(__xludf.DUMMYFUNCTION("IFS($O$2=""No"",TIME(0,($A$6*60+$B$6)+CEILING(SUM($L$7:indirect(""L""&amp;row())),5),0),
D25=$E$2,TIME(0,($A$6*60+$B$6)+CEILING(SUM(FILTER($L$7:indirect(""L""&amp;row()),REGEXMATCH($D$7:indirect(""D""&amp;row()),$E$2))),5),0),
A25=""=time(hh;mm;ss)"",CONCATENATE(""Sk"&amp;"riv tid i A""&amp;row()),
AND(A25&lt;&gt;"""",A25&lt;&gt;""=time(hh;mm;ss)""),A25+TIME(0,CEILING(indirect(""L""&amp;row()),5),0))"),0.4166666666666667)</f>
        <v>0.4166666667</v>
      </c>
      <c r="C25" s="37"/>
      <c r="D25" s="38" t="str">
        <f t="shared" si="2"/>
        <v>Stora salen</v>
      </c>
      <c r="E25" s="38" t="str">
        <f>IFERROR(__xludf.DUMMYFUNCTION("IFS(COUNTIF(Info!$A$22:A81,C25)&gt;0,"""",
AND(OR(""3x3 FMC""=C25,""3x3 MBLD""=C25),COUNTIF($C$7:indirect(""C""&amp;row()),indirect(""C""&amp;row()))&gt;=13),""E - Error"",
AND(OR(""3x3 FMC""=C25,""3x3 MBLD""=C25),COUNTIF($C$7:indirect(""C""&amp;row()),indirect(""C""&amp;row()"&amp;"))=12),""Final - A3"",
AND(OR(""3x3 FMC""=C25,""3x3 MBLD""=C25),COUNTIF($C$7:indirect(""C""&amp;row()),indirect(""C""&amp;row()))=11),""Final - A2"",
AND(OR(""3x3 FMC""=C25,""3x3 MBLD""=C25),COUNTIF($C$7:indirect(""C""&amp;row()),indirect(""C""&amp;row()))=10),""Final - "&amp;"A1"",
AND(OR(""3x3 FMC""=C25,""3x3 MBLD""=C25),COUNTIF($C$7:indirect(""C""&amp;row()),indirect(""C""&amp;row()))=9,
COUNTIF($C$7:$C$102,indirect(""C""&amp;row()))&gt;9),""R3 - A3"",
AND(OR(""3x3 FMC""=C25,""3x3 MBLD""=C25),COUNTIF($C$7:indirect(""C""&amp;row()),indirect(""C"&amp;"""&amp;row()))=9,
COUNTIF($C$7:$C$102,indirect(""C""&amp;row()))&lt;=9),""Final - A3"",
AND(OR(""3x3 FMC""=C25,""3x3 MBLD""=C25),COUNTIF($C$7:indirect(""C""&amp;row()),indirect(""C""&amp;row()))=8,
COUNTIF($C$7:$C$102,indirect(""C""&amp;row()))&gt;9),""R3 - A2"",
AND(OR(""3x3 FMC"&amp;"""=C25,""3x3 MBLD""=C25),COUNTIF($C$7:indirect(""C""&amp;row()),indirect(""C""&amp;row()))=8,
COUNTIF($C$7:$C$102,indirect(""C""&amp;row()))&lt;=9),""Final - A2"",
AND(OR(""3x3 FMC""=C25,""3x3 MBLD""=C25),COUNTIF($C$7:indirect(""C""&amp;row()),indirect(""C""&amp;row()))=7,
COUN"&amp;"TIF($C$7:$C$102,indirect(""C""&amp;row()))&gt;9),""R3 - A1"",
AND(OR(""3x3 FMC""=C25,""3x3 MBLD""=C25),COUNTIF($C$7:indirect(""C""&amp;row()),indirect(""C""&amp;row()))=7,
COUNTIF($C$7:$C$102,indirect(""C""&amp;row()))&lt;=9),""Final - A1"",
AND(OR(""3x3 FMC""=C25,""3x3 MBLD"""&amp;"=C25),COUNTIF($C$7:indirect(""C""&amp;row()),indirect(""C""&amp;row()))=6,
COUNTIF($C$7:$C$102,indirect(""C""&amp;row()))&gt;6),""R2 - A3"",
AND(OR(""3x3 FMC""=C25,""3x3 MBLD""=C25),COUNTIF($C$7:indirect(""C""&amp;row()),indirect(""C""&amp;row()))=6,
COUNTIF($C$7:$C$102,indirec"&amp;"t(""C""&amp;row()))&lt;=6),""Final - A3"",
AND(OR(""3x3 FMC""=C25,""3x3 MBLD""=C25),COUNTIF($C$7:indirect(""C""&amp;row()),indirect(""C""&amp;row()))=5,
COUNTIF($C$7:$C$102,indirect(""C""&amp;row()))&gt;6),""R2 - A2"",
AND(OR(""3x3 FMC""=C25,""3x3 MBLD""=C25),COUNTIF($C$7:indi"&amp;"rect(""C""&amp;row()),indirect(""C""&amp;row()))=5,
COUNTIF($C$7:$C$102,indirect(""C""&amp;row()))&lt;=6),""Final - A2"",
AND(OR(""3x3 FMC""=C25,""3x3 MBLD""=C25),COUNTIF($C$7:indirect(""C""&amp;row()),indirect(""C""&amp;row()))=4,
COUNTIF($C$7:$C$102,indirect(""C""&amp;row()))&gt;6),"&amp;"""R2 - A1"",
AND(OR(""3x3 FMC""=C25,""3x3 MBLD""=C25),COUNTIF($C$7:indirect(""C""&amp;row()),indirect(""C""&amp;row()))=4,
COUNTIF($C$7:$C$102,indirect(""C""&amp;row()))&lt;=6),""Final - A1"",
AND(OR(""3x3 FMC""=C25,""3x3 MBLD""=C25),COUNTIF($C$7:indirect(""C""&amp;row()),i"&amp;"ndirect(""C""&amp;row()))=3),""R1 - A3"",
AND(OR(""3x3 FMC""=C25,""3x3 MBLD""=C25),COUNTIF($C$7:indirect(""C""&amp;row()),indirect(""C""&amp;row()))=2),""R1 - A2"",
AND(OR(""3x3 FMC""=C25,""3x3 MBLD""=C25),COUNTIF($C$7:indirect(""C""&amp;row()),indirect(""C""&amp;row()))=1),"&amp;"""R1 -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C25),ROUNDUP((FILTER(Info!$H$2:H81,Info!$A$2:A81=C25)/FILTER(Info!$H$2:H81,Info!$A$2:A81=$K$2))*$I$2)&gt;99),3,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C25),ROUNDUP((FILTER(Info!$H$2:H81,Info!$A$2:A81=C25)/FILTER(Info!$H$2:H81,Info!$A$2:A81=$K$2))*$I$2)&gt;15),2,
AND(COUNTIF($C$7:indirect(""C""&amp;row()),indirect(""C""&amp;row()))=2,COUNTIF($C$7:$C$102,indirect(""C""&amp;row()))=COUNTIF($"&amp;"C$7:indirect(""C""&amp;row()),indirect(""C""&amp;row()))),""Final"",
COUNTIF($C$7:indirect(""C""&amp;row()),indirect(""C""&amp;row()))=1,1,
COUNTIF($C$7:indirect(""C""&amp;row()),indirect(""C""&amp;row()))=0,"""")"),"")</f>
        <v/>
      </c>
      <c r="F25" s="39" t="str">
        <f>IFERROR(__xludf.DUMMYFUNCTION("IFS(C25="""","""",
AND(C25=""3x3 FMC"",MOD(COUNTIF($C$7:indirect(""C""&amp;row()),indirect(""C""&amp;row())),3)=0),""Mean of 3"",
AND(C25=""3x3 MBLD"",MOD(COUNTIF($C$7:indirect(""C""&amp;row()),indirect(""C""&amp;row())),3)=0),""Best of 3"",
AND(C25=""3x3 FMC"",MOD(COUNT"&amp;"IF($C$7:indirect(""C""&amp;row()),indirect(""C""&amp;row())),3)=2,
COUNTIF($C$7:$C$102,indirect(""C""&amp;row()))&lt;=COUNTIF($C$7:indirect(""C""&amp;row()),indirect(""C""&amp;row()))),""Best of 2"",
AND(C25=""3x3 FMC"",MOD(COUNTIF($C$7:indirect(""C""&amp;row()),indirect(""C""&amp;row("&amp;"))),3)=2,
COUNTIF($C$7:$C$102,indirect(""C""&amp;row()))&gt;COUNTIF($C$7:indirect(""C""&amp;row()),indirect(""C""&amp;row()))),""Mean of 3"",
AND(C25=""3x3 MBLD"",MOD(COUNTIF($C$7:indirect(""C""&amp;row()),indirect(""C""&amp;row())),3)=2,
COUNTIF($C$7:$C$102,indirect(""C""&amp;row("&amp;")))&lt;=COUNTIF($C$7:indirect(""C""&amp;row()),indirect(""C""&amp;row()))),""Best of 2"",
AND(C25=""3x3 MBLD"",MOD(COUNTIF($C$7:indirect(""C""&amp;row()),indirect(""C""&amp;row())),3)=2,
COUNTIF($C$7:$C$102,indirect(""C""&amp;row()))&gt;COUNTIF($C$7:indirect(""C""&amp;row()),indirect("&amp;"""C""&amp;row()))),""Best of 3"",
AND(C25=""3x3 FMC"",MOD(COUNTIF($C$7:indirect(""C""&amp;row()),indirect(""C""&amp;row())),3)=1,
COUNTIF($C$7:$C$102,indirect(""C""&amp;row()))&lt;=COUNTIF($C$7:indirect(""C""&amp;row()),indirect(""C""&amp;row()))),""Best of 1"",
AND(C25=""3x3 FMC"""&amp;",MOD(COUNTIF($C$7:indirect(""C""&amp;row()),indirect(""C""&amp;row())),3)=1,
COUNTIF($C$7:$C$102,indirect(""C""&amp;row()))=COUNTIF($C$7:indirect(""C""&amp;row()),indirect(""C""&amp;row()))+1),""Best of 2"",
AND(C25=""3x3 FMC"",MOD(COUNTIF($C$7:indirect(""C""&amp;row()),indirect"&amp;"(""C""&amp;row())),3)=1,
COUNTIF($C$7:$C$102,indirect(""C""&amp;row()))&gt;COUNTIF($C$7:indirect(""C""&amp;row()),indirect(""C""&amp;row()))),""Mean of 3"",
AND(C25=""3x3 MBLD"",MOD(COUNTIF($C$7:indirect(""C""&amp;row()),indirect(""C""&amp;row())),3)=1,
COUNTIF($C$7:$C$102,indirect"&amp;"(""C""&amp;row()))&lt;=COUNTIF($C$7:indirect(""C""&amp;row()),indirect(""C""&amp;row()))),""Best of 1"",
AND(C25=""3x3 MBLD"",MOD(COUNTIF($C$7:indirect(""C""&amp;row()),indirect(""C""&amp;row())),3)=1,
COUNTIF($C$7:$C$102,indirect(""C""&amp;row()))=COUNTIF($C$7:indirect(""C""&amp;row()"&amp;"),indirect(""C""&amp;row()))+1),""Best of 2"",
AND(C25=""3x3 MBLD"",MOD(COUNTIF($C$7:indirect(""C""&amp;row()),indirect(""C""&amp;row())),3)=1,
COUNTIF($C$7:$C$102,indirect(""C""&amp;row()))&gt;COUNTIF($C$7:indirect(""C""&amp;row()),indirect(""C""&amp;row()))),""Best of 3"",
TRUE,("&amp;"IFERROR(FILTER(Info!$D$2:D81, Info!$A$2:A81 = C25), """")))"),"")</f>
        <v/>
      </c>
      <c r="G25" s="40" t="str">
        <f>IFERROR(__xludf.DUMMYFUNCTION("IFS(OR(COUNTIF(Info!$A$22:A81,C25)&gt;0,C25=""""),"""",
OR(""3x3 MBLD""=C25,""3x3 FMC""=C25),60,
AND(E25=1,FILTER(Info!$F$2:F81, Info!$A$2:A81 = C25) = ""No""),FILTER(Info!$P$2:P81, Info!$A$2:A81 = C25),
AND(E25=2,FILTER(Info!$F$2:F81, Info!$A$2:A81 = C25) ="&amp;" ""No""),FILTER(Info!$Q$2:Q81, Info!$A$2:A81 = C25),
AND(E25=3,FILTER(Info!$F$2:F81, Info!$A$2:A81 = C25) = ""No""),FILTER(Info!$R$2:R81, Info!$A$2:A81 = C25),
AND(E25=""Final"",FILTER(Info!$F$2:F81, Info!$A$2:A81 = C25) = ""No""),FILTER(Info!$S$2:S81, In"&amp;"fo!$A$2:A81 = C25),
FILTER(Info!$F$2:F81, Info!$A$2:A81 = C25) = ""Yes"","""")"),"")</f>
        <v/>
      </c>
      <c r="H25" s="40" t="str">
        <f>IFERROR(__xludf.DUMMYFUNCTION("IFS(OR(COUNTIF(Info!$A$22:A81,C25)&gt;0,C25=""""),"""",
OR(""3x3 MBLD""=C25,""3x3 FMC""=C25)=TRUE,"""",
FILTER(Info!$F$2:F81, Info!$A$2:A81 = C25) = ""Yes"",FILTER(Info!$O$2:O81, Info!$A$2:A81 = C25),
FILTER(Info!$F$2:F81, Info!$A$2:A81 = C25) = ""No"",IF(G2"&amp;"5="""",FILTER(Info!$O$2:O81, Info!$A$2:A81 = C25),""""))"),"")</f>
        <v/>
      </c>
      <c r="I25" s="40" t="str">
        <f>IFERROR(__xludf.DUMMYFUNCTION("IFS(OR(COUNTIF(Info!$A$22:A81,C25)&gt;0,C25="""",H25&lt;&gt;""""),"""",
AND(E25&lt;&gt;1,E25&lt;&gt;""R1 - A1"",E25&lt;&gt;""R1 - A2"",E25&lt;&gt;""R1 - A3""),"""",
FILTER(Info!$E$2:E81, Info!$A$2:A81 = C25) = ""Yes"",IF(H25="""",FILTER(Info!$L$2:L81, Info!$A$2:A81 = C25),""""),
FILTER(I"&amp;"nfo!$E$2:E81, Info!$A$2:A81 = C25) = ""No"","""")"),"")</f>
        <v/>
      </c>
      <c r="J25" s="40" t="str">
        <f>IFERROR(__xludf.DUMMYFUNCTION("IFS(OR(COUNTIF(Info!$A$22:A81,C25)&gt;0,C25="""",""3x3 MBLD""=C25,""3x3 FMC""=C25),"""",
AND(E25=1,FILTER(Info!$H$2:H81,Info!$A$2:A81 = C25)&lt;=FILTER(Info!$H$2:H81,Info!$A$2:A81=$K$2)),
ROUNDUP((FILTER(Info!$H$2:H81,Info!$A$2:A81 = C25)/FILTER(Info!$H$2:H81,I"&amp;"nfo!$A$2:A81=$K$2))*$I$2),
AND(E25=1,FILTER(Info!$H$2:H81,Info!$A$2:A81 = C25)&gt;FILTER(Info!$H$2:H81,Info!$A$2:A81=$K$2)),""K2 - Error"",
AND(E25=2,FILTER($J$7:indirect(""J""&amp;row()-1),$C$7:indirect(""C""&amp;row()-1)=C25)&lt;=7),""J - Error"",
E25=2,FLOOR(FILTER("&amp;"$J$7:indirect(""J""&amp;row()-1),$C$7:indirect(""C""&amp;row()-1)=C25)*Info!$T$32),
AND(E25=3,FILTER($J$7:indirect(""J""&amp;row()-1),$C$7:indirect(""C""&amp;row()-1)=C25)&lt;=15),""J - Error"",
E25=3,FLOOR(Info!$T$32*FLOOR(FILTER($J$7:indirect(""J""&amp;row()-1),$C$7:indirect("&amp;"""C""&amp;row()-1)=C25)*Info!$T$32)),
AND(E25=""Final"",COUNTIF($C$7:$C$102,C25)=2,FILTER($J$7:indirect(""J""&amp;row()-1),$C$7:indirect(""C""&amp;row()-1)=C25)&lt;=7),""J - Error"",
AND(E25=""Final"",COUNTIF($C$7:$C$102,C25)=2),
MIN(P25,FLOOR(FILTER($J$7:indirect(""J"""&amp;"&amp;row()-1),$C$7:indirect(""C""&amp;row()-1)=C25)*Info!$T$32)),
AND(E25=""Final"",COUNTIF($C$7:$C$102,C25)=3,FILTER($J$7:indirect(""J""&amp;row()-1),$C$7:indirect(""C""&amp;row()-1)=C25)&lt;=15),""J - Error"",
AND(E25=""Final"",COUNTIF($C$7:$C$102,C25)=3),
MIN(P25,FLOOR(I"&amp;"nfo!$T$32*FLOOR(FILTER($J$7:indirect(""J""&amp;row()-1),$C$7:indirect(""C""&amp;row()-1)=C25)*Info!$T$32))),
AND(E25=""Final"",COUNTIF($C$7:$C$102,C25)&gt;=4,FILTER($J$7:indirect(""J""&amp;row()-1),$C$7:indirect(""C""&amp;row()-1)=C25)&lt;=99),""J - Error"",
AND(E25=""Final"","&amp;"COUNTIF($C$7:$C$102,C25)&gt;=4),
MIN(P25,FLOOR(Info!$T$32*FLOOR(Info!$T$32*FLOOR(FILTER($J$7:indirect(""J""&amp;row()-1),$C$7:indirect(""C""&amp;row()-1)=C25)*Info!$T$32)))))"),"")</f>
        <v/>
      </c>
      <c r="K25" s="41" t="str">
        <f>IFERROR(__xludf.DUMMYFUNCTION("IFS(AND(indirect(""D""&amp;row()+2)&lt;&gt;$E$2,indirect(""D""&amp;row()+1)=""""),CONCATENATE(""Tom rad! Kopiera hela rad ""&amp;row()&amp;"" dit""),
AND(indirect(""D""&amp;row()-1)&lt;&gt;""Rum"",indirect(""D""&amp;row()-1)=""""),CONCATENATE(""Tom rad! Kopiera hela rad ""&amp;row()&amp;"" dit""),
"&amp;"C25="""","""",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OR(AND(D25&lt;&gt;$E$2,D25&lt;&gt;$E$4,D25&lt;&gt;$K$4,D25&lt;&gt;$Q$4),D25="&amp;"""""),CONCATENATE(""Rum: ""&amp;D25&amp;"" finns ej, byt i D""&amp;row()),
AND(indirect(""D""&amp;row()-1)=""Rum"",C25=""""),CONCATENATE(""För att börja: skriv i cell C""&amp;row()),
AND(C25=""Paus"",M25&lt;=0),CONCATENATE(""Skriv pausens längd i M""&amp;row()),
OR(COUNTIF(Info!$A$"&amp;"22:A81,C25)&gt;0,C25=""""),"""",
AND(D25&lt;&gt;$E$2,$O$2=""Yes"",A25=""=time(hh;mm;ss)""),CONCATENATE(""Skriv starttid för ""&amp;C25&amp;"" i A""&amp;row()),
E25=""E - Error"",CONCATENATE(""För många ""&amp;C25&amp;"" rundor!""),
AND(C25&lt;&gt;""3x3 FMC"",C25&lt;&gt;""3x3 MBLD"",E25&lt;&gt;1,E25&lt;&gt;"&amp;"""Final"",IFERROR(FILTER($E$7:indirect(""E""&amp;row()-1),
$E$7:indirect(""E""&amp;row()-1)=E25-1,$C$7:indirect(""C""&amp;row()-1)=C25))=FALSE),CONCATENATE(""Kan ej vara R""&amp;E25&amp;"", saknar R""&amp;(E25-1)),
AND(indirect(""E""&amp;row()-1)&lt;&gt;""Omgång"",IFERROR(FILTER($E$7:indi"&amp;"rect(""E""&amp;row()-1),
$E$7:indirect(""E""&amp;row()-1)=E25,$C$7:indirect(""C""&amp;row()-1)=C25)=E25)=TRUE),CONCATENATE(""Runda ""&amp;E25&amp;"" i ""&amp;C25&amp;"" finns redan""),
AND(C25&lt;&gt;""3x3 BLD"",C25&lt;&gt;""4x4 BLD"",C25&lt;&gt;""5x5 BLD"",C25&lt;&gt;""4x4 / 5x5 BLD"",OR(E25=2,E25=3,E25="&amp;"""Final""),H25&lt;&gt;""""),CONCATENATE(E25&amp;""-rundor brukar ej ha c.t.l.""),
AND(OR(E25=2,E25=3,E25=""Final""),I25&lt;&gt;""""),CONCATENATE(E25&amp;""-rundor brukar ej ha cutoff""),
AND(OR(C25=""3x3 FMC"",C25=""3x3 MBLD""),OR(E25=1,E25=2,E25=3,E25=""Final"")),CONCATENAT"&amp;"E(C25&amp;""s omgång är Rx - Ax""),
AND(C25&lt;&gt;""3x3 MBLD"",C25&lt;&gt;""3x3 FMC"",FILTER(Info!$D$2:D81, Info!$A$2:A81 = C25)&lt;&gt;F25),CONCATENATE(C25&amp;"" måste ha formatet ""&amp;FILTER(Info!$D$2:D81, Info!$A$2:A81 = C25)),
AND(C25=""3x3 MBLD"",OR(F25=""Avg of 5"",F25=""Mea"&amp;"n of 3"")),CONCATENATE(""Ogiltigt format för ""&amp;C25),
AND(C25=""3x3 FMC"",OR(F25=""Avg of 5"",F25=""Best of 3"")),CONCATENATE(""Ogiltigt format för ""&amp;C25),
AND(OR(F25=""Best of 1"",F25=""Best of 2"",F25=""Best of 3""),I25&lt;&gt;""""),CONCATENATE(F25&amp;""-rundor"&amp;" får ej ha cutoff""),
AND(OR(C25=""3x3 FMC"",C25=""3x3 MBLD""),G25&lt;&gt;60),CONCATENATE(C25&amp;"" måste ha time limit: 60""),
AND(OR(C25=""3x3 FMC"",C25=""3x3 MBLD""),H25&lt;&gt;""""),CONCATENATE(C25&amp;"" kan inte ha c.t.l.""),
AND(G25&lt;&gt;"""",H25&lt;&gt;""""),""Välj time limit"&amp;" ELLER c.t.l"",
AND(C25=""6x6 / 7x7"",G25="""",H25=""""),""Sätt time limit (x / y) eller c.t.l (z)"",
AND(G25="""",H25=""""),""Sätt en time limit eller c.t.l"",
AND(OR(C25=""6x6 / 7x7"",C25=""4x4 / 5x5 BLD""),G25&lt;&gt;"""",REGEXMATCH(TO_TEXT(G25),"" / "")=FAL"&amp;"SE),CONCATENATE(""Time limit måste vara x / y""),
AND(H25&lt;&gt;"""",I25&lt;&gt;""""),CONCATENATE(C25&amp;"" brukar ej ha cutoff OCH c.t.l""),
AND(E25=1,H25="""",I25="""",OR(FILTER(Info!$E$2:E81, Info!$A$2:A81 = C25) = ""Yes"",FILTER(Info!$F$2:F81, Info!$A$2:A81 = C25) "&amp;"= ""Yes""),OR(F25=""Avg of 5"",F25=""Mean of 3"")),CONCATENATE(C25&amp;"" bör ha cutoff eller c.t.l""),
AND(C25=""6x6 / 7x7"",I25&lt;&gt;"""",REGEXMATCH(TO_TEXT(I25),"" / "")=FALSE),CONCATENATE(""Cutoff måste vara x / y""),
AND(H25&lt;&gt;"""",ISNUMBER(H25)=FALSE),""C.t."&amp;"l. måste vara positivt tal (x)"",
AND(C25&lt;&gt;""6x6 / 7x7"",I25&lt;&gt;"""",ISNUMBER(I25)=FALSE),""Cutoff måste vara positivt tal (x)"",
AND(H25&lt;&gt;"""",FILTER(Info!$E$2:E81, Info!$A$2:A81 = C25) = ""No"",FILTER(Info!$F$2:F81, Info!$A$2:A81 = C25) = ""No""),CONCATEN"&amp;"ATE(C25&amp;"" brukar inte ha c.t.l.""),
AND(I25&lt;&gt;"""",FILTER(Info!$E$2:E81, Info!$A$2:A81 = C25) = ""No"",FILTER(Info!$F$2:F81, Info!$A$2:A81 = C25) = ""No""),CONCATENATE(C25&amp;"" brukar inte ha cutoff""),
AND(H25="""",FILTER(Info!$F$2:F81, Info!$A$2:A81 = C25"&amp;") = ""Yes""),CONCATENATE(C25&amp;"" brukar ha c.t.l.""),
AND(C25&lt;&gt;""6x6 / 7x7"",C25&lt;&gt;""4x4 / 5x5 BLD"",G25&lt;&gt;"""",ISNUMBER(G25)=FALSE),""Time limit måste vara positivt tal (x)"",
J25=""J - Error"",CONCATENATE(""För få deltagare i R1 för ""&amp;COUNTIF($C$7:$C$102,"&amp;"indirect(""C""&amp;row()))&amp;"" rundor""),
J25=""K2 - Error"",CONCATENATE(C25&amp;"" är mer populär - byt i K2!""),
AND(C25&lt;&gt;""6x6 / 7x7"",C25&lt;&gt;""4x4 / 5x5 BLD"",G25&lt;&gt;"""",I25&lt;&gt;"""",G25&lt;=I25),""Time limit måste vara &gt; cutoff"",
AND(C25&lt;&gt;""6x6 / 7x7"",C25&lt;&gt;""4x4 / 5"&amp;"x5 BLD"",H25&lt;&gt;"""",I25&lt;&gt;"""",H25&lt;=I25),""C.t.l. måste vara &gt; cutoff"",
AND(C25&lt;&gt;""3x3 FMC"",C25&lt;&gt;""3x3 MBLD"",J25=""""),CONCATENATE(""Fyll i antal deltagare i J""&amp;row()),
AND(C25="""",OR(E25&lt;&gt;"""",F25&lt;&gt;"""",G25&lt;&gt;"""",H25&lt;&gt;"""",I25&lt;&gt;"""",J25&lt;&gt;"""")),""Skri"&amp;"v ALLTID gren / aktivitet först"",
AND(I25="""",H25="""",J25&lt;&gt;""""),J25,
OR(""3x3 FMC""=C25,""3x3 MBLD""=C25),J25,
AND(I25&lt;&gt;"""",""6x6 / 7x7""=C25),
IFS(ArrayFormula(SUM(IFERROR(SPLIT(I25,"" / ""))))&lt;(Info!$J$6+Info!$J$7)*2/3,CONCATENATE(""Höj helst cutof"&amp;"fs i ""&amp;C25),
ArrayFormula(SUM(IFERROR(SPLIT(I25,"" / ""))))&lt;=(Info!$J$6+Info!$J$7),ROUNDUP(J25*Info!$J$22),
ArrayFormula(SUM(IFERROR(SPLIT(I25,"" / ""))))&lt;=Info!$J$6+Info!$J$7,ROUNDUP(J25*Info!$K$22),
ArrayFormula(SUM(IFERROR(SPLIT(I25,"" / ""))))&lt;=Info!"&amp;"$K$6+Info!$K$7,ROUNDUP(J25*Info!L$22),
ArrayFormula(SUM(IFERROR(SPLIT(I25,"" / ""))))&lt;=Info!$L$6+Info!$L$7,ROUNDUP(J25*Info!$M$22),
ArrayFormula(SUM(IFERROR(SPLIT(I25,"" / ""))))&lt;=Info!$M$6+Info!$M$7,ROUNDUP(J25*Info!$N$22),
ArrayFormula(SUM(IFERROR(SPLIT"&amp;"(I25,"" / ""))))&lt;=(Info!$N$6+Info!$N$7)*3/2,ROUNDUP(J25*Info!$J$26),
ArrayFormula(SUM(IFERROR(SPLIT(I25,"" / ""))))&gt;(Info!$N$6+Info!$N$7)*3/2,CONCATENATE(""Sänk helst cutoffs i ""&amp;C25)),
AND(I25&lt;&gt;"""",FILTER(Info!$E$2:E81, Info!$A$2:A81 = C25) = ""Yes""),"&amp;"
IFS(I25&lt;FILTER(Info!$J$2:J81, Info!$A$2:A81 = C25)*2/3,CONCATENATE(""Höj helst cutoff i ""&amp;C25),
I25&lt;=FILTER(Info!$J$2:J81, Info!$A$2:A81 = C25),ROUNDUP(J25*Info!$J$22),
I25&lt;=FILTER(Info!$K$2:K81, Info!$A$2:A81 = C25),ROUNDUP(J25*Info!$K$22),
I25&lt;=FILTER"&amp;"(Info!$L$2:L81, Info!$A$2:A81 = C25),ROUNDUP(J25*Info!L$22),
I25&lt;=FILTER(Info!$M$2:M81, Info!$A$2:A81 = C25),ROUNDUP(J25*Info!$M$22),
I25&lt;=FILTER(Info!$N$2:N81, Info!$A$2:A81 = C25),ROUNDUP(J25*Info!$N$22),
I25&lt;=FILTER(Info!$N$2:N81, Info!$A$2:A81 = C25)*"&amp;"3/2,ROUNDUP(J25*Info!$J$26),
I25&gt;FILTER(Info!$N$2:N81, Info!$A$2:A81 = C25)*3/2,CONCATENATE(""Sänk helst cutoff i ""&amp;C25)),
AND(H25&lt;&gt;"""",""6x6 / 7x7""=C25),
IFS(H25/3&lt;=(Info!$J$6+Info!$J$7)*2/3,""Höj helst cumulative time limit"",
H25/3&lt;=Info!$J$6+Info!$"&amp;"J$7,ROUNDUP(J25*Info!$J$24),
H25/3&lt;=Info!$K$6+Info!$K$7,ROUNDUP(J25*Info!$K$24),
H25/3&lt;=Info!$L$6+Info!$L$7,ROUNDUP(J25*Info!L$24),
H25/3&lt;=Info!$M$6+Info!$M$7,ROUNDUP(J25*Info!$M$24),
H25/3&lt;=Info!$N$6+Info!$N$7,ROUNDUP(J25*Info!$N$24),
H25/3&lt;=(Info!$N$6+I"&amp;"nfo!$N$7)*3/2,ROUNDUP(J25*Info!$L$26),
H25/3&gt;(Info!$J$6+Info!$J$7)*3/2,""Sänk helst cumulative time limit""),
AND(H25&lt;&gt;"""",FILTER(Info!$F$2:F81, Info!$A$2:A81 = C25) = ""Yes""),
IFS(H25&lt;=FILTER(Info!$J$2:J81, Info!$A$2:A81 = C25)*2/3,CONCATENATE(""Höj he"&amp;"lst c.t.l. i ""&amp;C25),
H25&lt;=FILTER(Info!$J$2:J81, Info!$A$2:A81 = C25),ROUNDUP(J25*Info!$J$24),
H25&lt;=FILTER(Info!$K$2:K81, Info!$A$2:A81 = C25),ROUNDUP(J25*Info!$K$24),
H25&lt;=FILTER(Info!$L$2:L81, Info!$A$2:A81 = C25),ROUNDUP(J25*Info!L$24),
H25&lt;=FILTER(Inf"&amp;"o!$M$2:M81, Info!$A$2:A81 = C25),ROUNDUP(J25*Info!$M$24),
H25&lt;=FILTER(Info!$N$2:N81, Info!$A$2:A81 = C25),ROUNDUP(J25*Info!$N$24),
H25&lt;=FILTER(Info!$N$2:N81, Info!$A$2:A81 = C25)*3/2,ROUNDUP(J25*Info!$L$26),
H25&gt;FILTER(Info!$N$2:N81, Info!$A$2:A81 = C25)*"&amp;"3/2,CONCATENATE(""Sänk helst c.t.l. i ""&amp;C25)),
AND(H25&lt;&gt;"""",FILTER(Info!$F$2:F81, Info!$A$2:A81 = C25) = ""No""),
IFS(H25/AA25&lt;=FILTER(Info!$J$2:J81, Info!$A$2:A81 = C25)*2/3,CONCATENATE(""Höj helst c.t.l. i ""&amp;C25),
H25/AA25&lt;=FILTER(Info!$J$2:J81, Info"&amp;"!$A$2:A81 = C25),ROUNDUP(J25*Info!$J$24),
H25/AA25&lt;=FILTER(Info!$K$2:K81, Info!$A$2:A81 = C25),ROUNDUP(J25*Info!$K$24),
H25/AA25&lt;=FILTER(Info!$L$2:L81, Info!$A$2:A81 = C25),ROUNDUP(J25*Info!L$24),
H25/AA25&lt;=FILTER(Info!$M$2:M81, Info!$A$2:A81 = C25),ROUND"&amp;"UP(J25*Info!$M$24),
H25/AA25&lt;=FILTER(Info!$N$2:N81, Info!$A$2:A81 = C25),ROUNDUP(J25*Info!$N$24),
H25/AA25&lt;=FILTER(Info!$N$2:N81, Info!$A$2:A81 = C25)*3/2,ROUNDUP(J25*Info!$L$26),
H25/AA25&gt;FILTER(Info!$N$2:N81, Info!$A$2:A81 = C25)*3/2,CONCATENATE(""Sänk "&amp;"helst c.t.l. i ""&amp;C25)),
AND(I25="""",H25&lt;&gt;"""",J25&lt;&gt;""""),ROUNDUP(J25*Info!$T$29),
AND(I25&lt;&gt;"""",H25="""",J25&lt;&gt;""""),ROUNDUP(J25*Info!$T$26))"),"")</f>
        <v/>
      </c>
      <c r="L25" s="42">
        <f>IFERROR(__xludf.DUMMYFUNCTION("IFS(C25="""",0,
C25=""3x3 FMC"",Info!$B$9*N25+M25, C25=""3x3 MBLD"",Info!$B$18*N25+M25,
COUNTIF(Info!$A$22:A81,C25)&gt;0,FILTER(Info!$B$22:B81,Info!$A$22:A81=C25)+M25,
AND(C25&lt;&gt;"""",E25=""""),CONCATENATE(""Fyll i E""&amp;row()),
AND(C25&lt;&gt;"""",E25&lt;&gt;"""",E25&lt;&gt;1,E2"&amp;"5&lt;&gt;2,E25&lt;&gt;3,E25&lt;&gt;""Final""),CONCATENATE(""Fel format på E""&amp;row()),
K25=CONCATENATE(""Runda ""&amp;E25&amp;"" i ""&amp;C25&amp;"" finns redan""),CONCATENATE(""Fel i E""&amp;row()),
AND(C25&lt;&gt;"""",F25=""""),CONCATENATE(""Fyll i F""&amp;row()),
K25=CONCATENATE(C25&amp;"" måste ha forma"&amp;"tet ""&amp;FILTER(Info!$D$2:D81, Info!$A$2:A81 = C25)),CONCATENATE(""Fel format på F""&amp;row()),
AND(C25&lt;&gt;"""",D25=1,H25="""",FILTER(Info!$F$2:F81, Info!$A$2:A81 = C25) = ""Yes""),CONCATENATE(""Fyll i H""&amp;row()),
AND(C25&lt;&gt;"""",D25=1,I25="""",FILTER(Info!$E$2:E8"&amp;"1, Info!$A$2:A81 = C25) = ""Yes""),CONCATENATE(""Fyll i I""&amp;row()),
AND(C25&lt;&gt;"""",J25=""""),CONCATENATE(""Fyll i J""&amp;row()),
AND(C25&lt;&gt;"""",K25="""",OR(H25&lt;&gt;"""",I25&lt;&gt;"""")),CONCATENATE(""Fyll i K""&amp;row()),
AND(C25&lt;&gt;"""",K25=""""),CONCATENATE(""Skriv samma"&amp;" i K""&amp;row()&amp;"" som i J""&amp;row()),
AND(OR(C25=""4x4 BLD"",C25=""5x5 BLD"",C25=""4x4 / 5x5 BLD"")=TRUE,V25&lt;=P25),
MROUND(H25*(Info!$T$20-((Info!$T$20-1)/2)*(1-V25/P25))*(1+((J25/K25)-1)*(1-Info!$J$24))*N25+(Info!$T$11/2)+(N25*Info!$T$11)+(N25*Info!$T$14*(O2"&amp;"5-1)),0.01)+M25,
AND(OR(C25=""4x4 BLD"",C25=""5x5 BLD"",C25=""4x4 / 5x5 BLD"")=TRUE,V25&gt;P25),
MROUND((((J25*Z25+K25*(AA25-Z25))*(H25*Info!$T$20/AA25))/X25)*(1+((J25/K25)-1)*(1-Info!$J$24))*(1+(X25-Info!$T$8)/100)+(Info!$T$11/2)+(N25*Info!$T$11)+(N25*Info!"&amp;"$T$14*(O25-1)),0.01)+M25,
AND(C25=""3x3 BLD"",V25&lt;=P25),
MROUND(H25*(Info!$T$23-((Info!$T$23-1)/2)*(1-V25/P25))*(1+((J25/K25)-1)*(1-Info!$J$24))*N25+(Info!$T$11/2)+(N25*Info!$T$11)+(N25*Info!$T$14*(O25-1)),0.01)+M25,
AND(C25=""3x3 BLD"",V25&gt;P25),
MROUND(("&amp;"((J25*Z25+K25*(AA25-Z25))*(H25*Info!$T$23/AA25))/X25)*(1+((J25/K25)-1)*(1-Info!$J$24))*(1+(X25-Info!$T$8)/100)+(Info!$T$11/2)+(N25*Info!$T$11)+(N25*Info!$T$14*(O25-1)),0.01)+M25,
E25=1,MROUND((((J25*Z25+K25*(AA25-Z25))*Y25)/X25)*(1+(X25-Info!$T$8)/100)+(N"&amp;"25*Info!$T$11)+(N25*Info!$T$14*(O25-1)),0.01)+M25,
AND(E25=""Final"",N25=1,FILTER(Info!$G$2:$G$20,Info!$A$2:$A$20=C25)=""Mycket svår""),
MROUND((((J25*Z25+K25*(AA25-Z25))*(Y25*Info!$T$38))/X25)*(1+(X25-Info!$T$8)/100)+(N25*Info!$T$11)+(N25*Info!$T$14*(O25"&amp;"-1)),0.01)+M25,
AND(E25=""Final"",N25=1,FILTER(Info!$G$2:$G$20,Info!$A$2:$A$20=C25)=""Svår""),
MROUND((((J25*Z25+K25*(AA25-Z25))*(Y25*Info!$T$35))/X25)*(1+(X25-Info!$T$8)/100)+(N25*Info!$T$11)+(N25*Info!$T$14*(O25-1)),0.01)+M25,
E25=""Final"",MROUND((((J2"&amp;"5*Z25+K25*(AA25-Z25))*(Y25*Info!$T$5))/X25)*(1+(X25-Info!$T$8)/100)+(N25*Info!$T$11)+(N25*Info!$T$14*(O25-1)),0.01)+M25,
OR(E25=2,E25=3),MROUND((((J25*Z25+K25*(AA25-Z25))*(Y25*Info!$T$2))/X25)*(1+(X25-Info!$T$8)/100)+(N25*Info!$T$11)+(N25*Info!$T$14*(O25-"&amp;"1)),0.01)+M25)"),0.0)</f>
        <v>0</v>
      </c>
      <c r="M25" s="43">
        <f t="shared" si="1"/>
        <v>0</v>
      </c>
      <c r="N25" s="43" t="str">
        <f>IFS(OR(COUNTIF(Info!$A$22:A81,C25)&gt;0,C25=""),"",
OR(C25="4x4 BLD",C25="5x5 BLD",C25="3x3 MBLD",C25="3x3 FMC",C25="4x4 / 5x5 BLD"),1,
AND(E25="Final",Q25="Yes",MAX(1,ROUNDUP(J25/P25))&gt;1),MAX(2,ROUNDUP(J25/P25)),
AND(E25="Final",Q25="No",MAX(1,ROUNDUP(J25/((P25*2)+2.625-Y25*1.5)))&gt;1),MAX(2,ROUNDUP(J25/((P25*2)+2.625-Y25*1.5))),
E25="Final",1,
Q25="Yes",MAX(2,ROUNDUP(J25/P25)),
TRUE,MAX(2,ROUNDUP(J25/((P25*2)+2.625-Y25*1.5))))</f>
        <v/>
      </c>
      <c r="O25" s="43" t="str">
        <f>IFS(OR(COUNTIF(Info!$A$22:A81,C25)&gt;0,C25=""),"",
OR("3x3 MBLD"=C25,"3x3 FMC"=C25)=TRUE,"",
D25=$E$4,$G$6,D25=$K$4,$M$6,D25=$Q$4,$S$6,D25=$W$4,$Y$6,
TRUE,$S$2)</f>
        <v/>
      </c>
      <c r="P25" s="43" t="str">
        <f>IFS(OR(COUNTIF(Info!$A$22:A81,C25)&gt;0,C25=""),"",
OR("3x3 MBLD"=C25,"3x3 FMC"=C25)=TRUE,"",
D25=$E$4,$E$6,D25=$K$4,$K$6,D25=$Q$4,$Q$6,D25=$W$4,$W$6,
TRUE,$Q$2)</f>
        <v/>
      </c>
      <c r="Q25" s="44" t="str">
        <f>IFS(OR(COUNTIF(Info!$A$22:A81,C25)&gt;0,C25=""),"",
OR("3x3 MBLD"=C25,"3x3 FMC"=C25)=TRUE,"",
D25=$E$4,$I$6,D25=$K$4,$O$6,D25=$Q$4,$U$6,D25=$W$4,$AA$6,
TRUE,$U$2)</f>
        <v/>
      </c>
      <c r="R25" s="45" t="str">
        <f>IFERROR(__xludf.DUMMYFUNCTION("IF(C25="""","""",IFERROR(FILTER(Info!$B$22:B81,Info!$A$22:A81=C25)+M25,""?""))"),"")</f>
        <v/>
      </c>
      <c r="S25" s="46" t="str">
        <f>IFS(OR(COUNTIF(Info!$A$22:A81,C25)&gt;0,C25=""),"",
AND(H25="",I25=""),J25,
TRUE,"?")</f>
        <v/>
      </c>
      <c r="T25" s="45" t="str">
        <f>IFS(OR(COUNTIF(Info!$A$22:A81,C25)&gt;0,C25=""),"",
AND(L25&lt;&gt;0,OR(R25="?",R25="")),"Fyll i R-kolumnen",
OR(C25="3x3 FMC",C25="3x3 MBLD"),R25,
AND(L25&lt;&gt;0,OR(S25="?",S25="")),"Fyll i S-kolumnen",
OR(COUNTIF(Info!$A$22:A81,C25)&gt;0,C25=""),"",
TRUE,Y25*R25/L25)</f>
        <v/>
      </c>
      <c r="U25" s="45"/>
      <c r="V25" s="47" t="str">
        <f>IFS(OR(COUNTIF(Info!$A$22:A81,C25)&gt;0,C25=""),"",
OR("3x3 MBLD"=C25,"3x3 FMC"=C25)=TRUE,"",
TRUE,MROUND((J25/N25),0.01))</f>
        <v/>
      </c>
      <c r="W25" s="48" t="str">
        <f>IFS(OR(COUNTIF(Info!$A$22:A81,C25)&gt;0,C25=""),"",
TRUE,L25/N25)</f>
        <v/>
      </c>
      <c r="X25" s="49" t="str">
        <f>IFS(OR(COUNTIF(Info!$A$22:A81,C25)&gt;0,C25=""),"",
OR("3x3 MBLD"=C25,"3x3 FMC"=C25)=TRUE,"",
OR(C25="4x4 BLD",C25="5x5 BLD",C25="4x4 / 5x5 BLD",AND(C25="3x3 BLD",H25&lt;&gt;""))=TRUE,MIN(V25,P25),
TRUE,MIN(P25,V25,MROUND(((V25*2/3)+((Y25-1.625)/2)),0.01)))</f>
        <v/>
      </c>
      <c r="Y25" s="48" t="str">
        <f>IFERROR(__xludf.DUMMYFUNCTION("IFS(OR(COUNTIF(Info!$A$22:A81,C25)&gt;0,C25=""""),"""",
FILTER(Info!$F$2:F81, Info!$A$2:A81 = C25) = ""Yes"",H25/AA25,
""3x3 FMC""=C25,Info!$B$9,""3x3 MBLD""=C25,Info!$B$18,
AND(E25=1,I25="""",H25="""",Q25=""No"",G25&gt;SUMIF(Info!$A$2:A81,C25,Info!$B$2:B81)*1."&amp;"5),
MIN(SUMIF(Info!$A$2:A81,C25,Info!$B$2:B81)*1.1,SUMIF(Info!$A$2:A81,C25,Info!$B$2:B81)*(1.15-(0.15*(SUMIF(Info!$A$2:A81,C25,Info!$B$2:B81)*1.5)/G25))),
AND(E25=1,I25="""",H25="""",Q25=""Yes"",G25&gt;SUMIF(Info!$A$2:A81,C25,Info!$C$2:C81)*1.5),
MIN(SUMIF(I"&amp;"nfo!$A$2:A81,C25,Info!$C$2:C81)*1.1,SUMIF(Info!$A$2:A81,C25,Info!$C$2:C81)*(1.15-(0.15*(SUMIF(Info!$A$2:A81,C25,Info!$C$2:C81)*1.5)/G25))),
Q25=""No"",SUMIF(Info!$A$2:A81,C25,Info!$B$2:B81),
Q25=""Yes"",SUMIF(Info!$A$2:A81,C25,Info!$C$2:C81))"),"")</f>
        <v/>
      </c>
      <c r="Z25" s="47" t="str">
        <f>IFS(OR(COUNTIF(Info!$A$22:A81,C25)&gt;0,C25=""),"",
AND(OR("3x3 FMC"=C25,"3x3 MBLD"=C25),I25&lt;&gt;""),1,
AND(OR(H25&lt;&gt;"",I25&lt;&gt;""),F25="Avg of 5"),2,
F25="Avg of 5",AA25,
AND(OR(H25&lt;&gt;"",I25&lt;&gt;""),F25="Mean of 3",C25="6x6 / 7x7"),2,
AND(OR(H25&lt;&gt;"",I25&lt;&gt;""),F25="Mean of 3"),1,
F25="Mean of 3",AA25,
AND(OR(H25&lt;&gt;"",I25&lt;&gt;""),F25="Best of 3",C25="4x4 / 5x5 BLD"),2,
AND(OR(H25&lt;&gt;"",I25&lt;&gt;""),F25="Best of 3"),1,
F25="Best of 2",AA25,
F25="Best of 1",AA25)</f>
        <v/>
      </c>
      <c r="AA25" s="47" t="str">
        <f>IFS(OR(COUNTIF(Info!$A$22:A81,C25)&gt;0,C25=""),"",
AND(OR("3x3 MBLD"=C25,"3x3 FMC"=C25),F25="Best of 1"=TRUE),1,
AND(OR("3x3 MBLD"=C25,"3x3 FMC"=C25),F25="Best of 2"=TRUE),2,
AND(OR("3x3 MBLD"=C25,"3x3 FMC"=C25),OR(F25="Best of 3",F25="Mean of 3")=TRUE),3,
AND(F25="Mean of 3",C25="6x6 / 7x7"),6,
AND(F25="Best of 3",C25="4x4 / 5x5 BLD"),6,
F25="Avg of 5",5,F25="Mean of 3",3,F25="Best of 3",3,F25="Best of 2",2,F25="Best of 1",1)</f>
        <v/>
      </c>
      <c r="AB25" s="50"/>
    </row>
    <row r="26" ht="15.75" customHeight="1">
      <c r="A26" s="35">
        <f>IFERROR(__xludf.DUMMYFUNCTION("IFS(indirect(""A""&amp;row()-1)=""Start"",TIME(indirect(""A""&amp;row()-2),indirect(""B""&amp;row()-2),0),
$O$2=""No"",TIME(0,($A$6*60+$B$6)+CEILING(SUM($L$7:indirect(""L""&amp;row()-1)),5),0),
D26=$E$2,TIME(0,($A$6*60+$B$6)+CEILING(SUM(IFERROR(FILTER($L$7:indirect(""L"""&amp;"&amp;row()-1),REGEXMATCH($D$7:indirect(""D""&amp;row()-1),$E$2)),0)),5),0),
TRUE,""=time(hh;mm;ss)"")"),0.4166666666666667)</f>
        <v>0.4166666667</v>
      </c>
      <c r="B26" s="36">
        <f>IFERROR(__xludf.DUMMYFUNCTION("IFS($O$2=""No"",TIME(0,($A$6*60+$B$6)+CEILING(SUM($L$7:indirect(""L""&amp;row())),5),0),
D26=$E$2,TIME(0,($A$6*60+$B$6)+CEILING(SUM(FILTER($L$7:indirect(""L""&amp;row()),REGEXMATCH($D$7:indirect(""D""&amp;row()),$E$2))),5),0),
A26=""=time(hh;mm;ss)"",CONCATENATE(""Sk"&amp;"riv tid i A""&amp;row()),
AND(A26&lt;&gt;"""",A26&lt;&gt;""=time(hh;mm;ss)""),A26+TIME(0,CEILING(indirect(""L""&amp;row()),5),0))"),0.4166666666666667)</f>
        <v>0.4166666667</v>
      </c>
      <c r="C26" s="37"/>
      <c r="D26" s="38" t="str">
        <f t="shared" si="2"/>
        <v>Stora salen</v>
      </c>
      <c r="E26" s="38" t="str">
        <f>IFERROR(__xludf.DUMMYFUNCTION("IFS(COUNTIF(Info!$A$22:A81,C26)&gt;0,"""",
AND(OR(""3x3 FMC""=C26,""3x3 MBLD""=C26),COUNTIF($C$7:indirect(""C""&amp;row()),indirect(""C""&amp;row()))&gt;=13),""E - Error"",
AND(OR(""3x3 FMC""=C26,""3x3 MBLD""=C26),COUNTIF($C$7:indirect(""C""&amp;row()),indirect(""C""&amp;row()"&amp;"))=12),""Final - A3"",
AND(OR(""3x3 FMC""=C26,""3x3 MBLD""=C26),COUNTIF($C$7:indirect(""C""&amp;row()),indirect(""C""&amp;row()))=11),""Final - A2"",
AND(OR(""3x3 FMC""=C26,""3x3 MBLD""=C26),COUNTIF($C$7:indirect(""C""&amp;row()),indirect(""C""&amp;row()))=10),""Final - "&amp;"A1"",
AND(OR(""3x3 FMC""=C26,""3x3 MBLD""=C26),COUNTIF($C$7:indirect(""C""&amp;row()),indirect(""C""&amp;row()))=9,
COUNTIF($C$7:$C$102,indirect(""C""&amp;row()))&gt;9),""R3 - A3"",
AND(OR(""3x3 FMC""=C26,""3x3 MBLD""=C26),COUNTIF($C$7:indirect(""C""&amp;row()),indirect(""C"&amp;"""&amp;row()))=9,
COUNTIF($C$7:$C$102,indirect(""C""&amp;row()))&lt;=9),""Final - A3"",
AND(OR(""3x3 FMC""=C26,""3x3 MBLD""=C26),COUNTIF($C$7:indirect(""C""&amp;row()),indirect(""C""&amp;row()))=8,
COUNTIF($C$7:$C$102,indirect(""C""&amp;row()))&gt;9),""R3 - A2"",
AND(OR(""3x3 FMC"&amp;"""=C26,""3x3 MBLD""=C26),COUNTIF($C$7:indirect(""C""&amp;row()),indirect(""C""&amp;row()))=8,
COUNTIF($C$7:$C$102,indirect(""C""&amp;row()))&lt;=9),""Final - A2"",
AND(OR(""3x3 FMC""=C26,""3x3 MBLD""=C26),COUNTIF($C$7:indirect(""C""&amp;row()),indirect(""C""&amp;row()))=7,
COUN"&amp;"TIF($C$7:$C$102,indirect(""C""&amp;row()))&gt;9),""R3 - A1"",
AND(OR(""3x3 FMC""=C26,""3x3 MBLD""=C26),COUNTIF($C$7:indirect(""C""&amp;row()),indirect(""C""&amp;row()))=7,
COUNTIF($C$7:$C$102,indirect(""C""&amp;row()))&lt;=9),""Final - A1"",
AND(OR(""3x3 FMC""=C26,""3x3 MBLD"""&amp;"=C26),COUNTIF($C$7:indirect(""C""&amp;row()),indirect(""C""&amp;row()))=6,
COUNTIF($C$7:$C$102,indirect(""C""&amp;row()))&gt;6),""R2 - A3"",
AND(OR(""3x3 FMC""=C26,""3x3 MBLD""=C26),COUNTIF($C$7:indirect(""C""&amp;row()),indirect(""C""&amp;row()))=6,
COUNTIF($C$7:$C$102,indirec"&amp;"t(""C""&amp;row()))&lt;=6),""Final - A3"",
AND(OR(""3x3 FMC""=C26,""3x3 MBLD""=C26),COUNTIF($C$7:indirect(""C""&amp;row()),indirect(""C""&amp;row()))=5,
COUNTIF($C$7:$C$102,indirect(""C""&amp;row()))&gt;6),""R2 - A2"",
AND(OR(""3x3 FMC""=C26,""3x3 MBLD""=C26),COUNTIF($C$7:indi"&amp;"rect(""C""&amp;row()),indirect(""C""&amp;row()))=5,
COUNTIF($C$7:$C$102,indirect(""C""&amp;row()))&lt;=6),""Final - A2"",
AND(OR(""3x3 FMC""=C26,""3x3 MBLD""=C26),COUNTIF($C$7:indirect(""C""&amp;row()),indirect(""C""&amp;row()))=4,
COUNTIF($C$7:$C$102,indirect(""C""&amp;row()))&gt;6),"&amp;"""R2 - A1"",
AND(OR(""3x3 FMC""=C26,""3x3 MBLD""=C26),COUNTIF($C$7:indirect(""C""&amp;row()),indirect(""C""&amp;row()))=4,
COUNTIF($C$7:$C$102,indirect(""C""&amp;row()))&lt;=6),""Final - A1"",
AND(OR(""3x3 FMC""=C26,""3x3 MBLD""=C26),COUNTIF($C$7:indirect(""C""&amp;row()),i"&amp;"ndirect(""C""&amp;row()))=3),""R1 - A3"",
AND(OR(""3x3 FMC""=C26,""3x3 MBLD""=C26),COUNTIF($C$7:indirect(""C""&amp;row()),indirect(""C""&amp;row()))=2),""R1 - A2"",
AND(OR(""3x3 FMC""=C26,""3x3 MBLD""=C26),COUNTIF($C$7:indirect(""C""&amp;row()),indirect(""C""&amp;row()))=1),"&amp;"""R1 -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C26),ROUNDUP((FILTER(Info!$H$2:H81,Info!$A$2:A81=C26)/FILTER(Info!$H$2:H81,Info!$A$2:A81=$K$2))*$I$2)&gt;99),3,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C26),ROUNDUP((FILTER(Info!$H$2:H81,Info!$A$2:A81=C26)/FILTER(Info!$H$2:H81,Info!$A$2:A81=$K$2))*$I$2)&gt;15),2,
AND(COUNTIF($C$7:indirect(""C""&amp;row()),indirect(""C""&amp;row()))=2,COUNTIF($C$7:$C$102,indirect(""C""&amp;row()))=COUNTIF($"&amp;"C$7:indirect(""C""&amp;row()),indirect(""C""&amp;row()))),""Final"",
COUNTIF($C$7:indirect(""C""&amp;row()),indirect(""C""&amp;row()))=1,1,
COUNTIF($C$7:indirect(""C""&amp;row()),indirect(""C""&amp;row()))=0,"""")"),"")</f>
        <v/>
      </c>
      <c r="F26" s="39" t="str">
        <f>IFERROR(__xludf.DUMMYFUNCTION("IFS(C26="""","""",
AND(C26=""3x3 FMC"",MOD(COUNTIF($C$7:indirect(""C""&amp;row()),indirect(""C""&amp;row())),3)=0),""Mean of 3"",
AND(C26=""3x3 MBLD"",MOD(COUNTIF($C$7:indirect(""C""&amp;row()),indirect(""C""&amp;row())),3)=0),""Best of 3"",
AND(C26=""3x3 FMC"",MOD(COUNT"&amp;"IF($C$7:indirect(""C""&amp;row()),indirect(""C""&amp;row())),3)=2,
COUNTIF($C$7:$C$102,indirect(""C""&amp;row()))&lt;=COUNTIF($C$7:indirect(""C""&amp;row()),indirect(""C""&amp;row()))),""Best of 2"",
AND(C26=""3x3 FMC"",MOD(COUNTIF($C$7:indirect(""C""&amp;row()),indirect(""C""&amp;row("&amp;"))),3)=2,
COUNTIF($C$7:$C$102,indirect(""C""&amp;row()))&gt;COUNTIF($C$7:indirect(""C""&amp;row()),indirect(""C""&amp;row()))),""Mean of 3"",
AND(C26=""3x3 MBLD"",MOD(COUNTIF($C$7:indirect(""C""&amp;row()),indirect(""C""&amp;row())),3)=2,
COUNTIF($C$7:$C$102,indirect(""C""&amp;row("&amp;")))&lt;=COUNTIF($C$7:indirect(""C""&amp;row()),indirect(""C""&amp;row()))),""Best of 2"",
AND(C26=""3x3 MBLD"",MOD(COUNTIF($C$7:indirect(""C""&amp;row()),indirect(""C""&amp;row())),3)=2,
COUNTIF($C$7:$C$102,indirect(""C""&amp;row()))&gt;COUNTIF($C$7:indirect(""C""&amp;row()),indirect("&amp;"""C""&amp;row()))),""Best of 3"",
AND(C26=""3x3 FMC"",MOD(COUNTIF($C$7:indirect(""C""&amp;row()),indirect(""C""&amp;row())),3)=1,
COUNTIF($C$7:$C$102,indirect(""C""&amp;row()))&lt;=COUNTIF($C$7:indirect(""C""&amp;row()),indirect(""C""&amp;row()))),""Best of 1"",
AND(C26=""3x3 FMC"""&amp;",MOD(COUNTIF($C$7:indirect(""C""&amp;row()),indirect(""C""&amp;row())),3)=1,
COUNTIF($C$7:$C$102,indirect(""C""&amp;row()))=COUNTIF($C$7:indirect(""C""&amp;row()),indirect(""C""&amp;row()))+1),""Best of 2"",
AND(C26=""3x3 FMC"",MOD(COUNTIF($C$7:indirect(""C""&amp;row()),indirect"&amp;"(""C""&amp;row())),3)=1,
COUNTIF($C$7:$C$102,indirect(""C""&amp;row()))&gt;COUNTIF($C$7:indirect(""C""&amp;row()),indirect(""C""&amp;row()))),""Mean of 3"",
AND(C26=""3x3 MBLD"",MOD(COUNTIF($C$7:indirect(""C""&amp;row()),indirect(""C""&amp;row())),3)=1,
COUNTIF($C$7:$C$102,indirect"&amp;"(""C""&amp;row()))&lt;=COUNTIF($C$7:indirect(""C""&amp;row()),indirect(""C""&amp;row()))),""Best of 1"",
AND(C26=""3x3 MBLD"",MOD(COUNTIF($C$7:indirect(""C""&amp;row()),indirect(""C""&amp;row())),3)=1,
COUNTIF($C$7:$C$102,indirect(""C""&amp;row()))=COUNTIF($C$7:indirect(""C""&amp;row()"&amp;"),indirect(""C""&amp;row()))+1),""Best of 2"",
AND(C26=""3x3 MBLD"",MOD(COUNTIF($C$7:indirect(""C""&amp;row()),indirect(""C""&amp;row())),3)=1,
COUNTIF($C$7:$C$102,indirect(""C""&amp;row()))&gt;COUNTIF($C$7:indirect(""C""&amp;row()),indirect(""C""&amp;row()))),""Best of 3"",
TRUE,("&amp;"IFERROR(FILTER(Info!$D$2:D81, Info!$A$2:A81 = C26), """")))"),"")</f>
        <v/>
      </c>
      <c r="G26" s="40" t="str">
        <f>IFERROR(__xludf.DUMMYFUNCTION("IFS(OR(COUNTIF(Info!$A$22:A81,C26)&gt;0,C26=""""),"""",
OR(""3x3 MBLD""=C26,""3x3 FMC""=C26),60,
AND(E26=1,FILTER(Info!$F$2:F81, Info!$A$2:A81 = C26) = ""No""),FILTER(Info!$P$2:P81, Info!$A$2:A81 = C26),
AND(E26=2,FILTER(Info!$F$2:F81, Info!$A$2:A81 = C26) ="&amp;" ""No""),FILTER(Info!$Q$2:Q81, Info!$A$2:A81 = C26),
AND(E26=3,FILTER(Info!$F$2:F81, Info!$A$2:A81 = C26) = ""No""),FILTER(Info!$R$2:R81, Info!$A$2:A81 = C26),
AND(E26=""Final"",FILTER(Info!$F$2:F81, Info!$A$2:A81 = C26) = ""No""),FILTER(Info!$S$2:S81, In"&amp;"fo!$A$2:A81 = C26),
FILTER(Info!$F$2:F81, Info!$A$2:A81 = C26) = ""Yes"","""")"),"")</f>
        <v/>
      </c>
      <c r="H26" s="40" t="str">
        <f>IFERROR(__xludf.DUMMYFUNCTION("IFS(OR(COUNTIF(Info!$A$22:A81,C26)&gt;0,C26=""""),"""",
OR(""3x3 MBLD""=C26,""3x3 FMC""=C26)=TRUE,"""",
FILTER(Info!$F$2:F81, Info!$A$2:A81 = C26) = ""Yes"",FILTER(Info!$O$2:O81, Info!$A$2:A81 = C26),
FILTER(Info!$F$2:F81, Info!$A$2:A81 = C26) = ""No"",IF(G2"&amp;"6="""",FILTER(Info!$O$2:O81, Info!$A$2:A81 = C26),""""))"),"")</f>
        <v/>
      </c>
      <c r="I26" s="40" t="str">
        <f>IFERROR(__xludf.DUMMYFUNCTION("IFS(OR(COUNTIF(Info!$A$22:A81,C26)&gt;0,C26="""",H26&lt;&gt;""""),"""",
AND(E26&lt;&gt;1,E26&lt;&gt;""R1 - A1"",E26&lt;&gt;""R1 - A2"",E26&lt;&gt;""R1 - A3""),"""",
FILTER(Info!$E$2:E81, Info!$A$2:A81 = C26) = ""Yes"",IF(H26="""",FILTER(Info!$L$2:L81, Info!$A$2:A81 = C26),""""),
FILTER(I"&amp;"nfo!$E$2:E81, Info!$A$2:A81 = C26) = ""No"","""")"),"")</f>
        <v/>
      </c>
      <c r="J26" s="40" t="str">
        <f>IFERROR(__xludf.DUMMYFUNCTION("IFS(OR(COUNTIF(Info!$A$22:A81,C26)&gt;0,C26="""",""3x3 MBLD""=C26,""3x3 FMC""=C26),"""",
AND(E26=1,FILTER(Info!$H$2:H81,Info!$A$2:A81 = C26)&lt;=FILTER(Info!$H$2:H81,Info!$A$2:A81=$K$2)),
ROUNDUP((FILTER(Info!$H$2:H81,Info!$A$2:A81 = C26)/FILTER(Info!$H$2:H81,I"&amp;"nfo!$A$2:A81=$K$2))*$I$2),
AND(E26=1,FILTER(Info!$H$2:H81,Info!$A$2:A81 = C26)&gt;FILTER(Info!$H$2:H81,Info!$A$2:A81=$K$2)),""K2 - Error"",
AND(E26=2,FILTER($J$7:indirect(""J""&amp;row()-1),$C$7:indirect(""C""&amp;row()-1)=C26)&lt;=7),""J - Error"",
E26=2,FLOOR(FILTER("&amp;"$J$7:indirect(""J""&amp;row()-1),$C$7:indirect(""C""&amp;row()-1)=C26)*Info!$T$32),
AND(E26=3,FILTER($J$7:indirect(""J""&amp;row()-1),$C$7:indirect(""C""&amp;row()-1)=C26)&lt;=15),""J - Error"",
E26=3,FLOOR(Info!$T$32*FLOOR(FILTER($J$7:indirect(""J""&amp;row()-1),$C$7:indirect("&amp;"""C""&amp;row()-1)=C26)*Info!$T$32)),
AND(E26=""Final"",COUNTIF($C$7:$C$102,C26)=2,FILTER($J$7:indirect(""J""&amp;row()-1),$C$7:indirect(""C""&amp;row()-1)=C26)&lt;=7),""J - Error"",
AND(E26=""Final"",COUNTIF($C$7:$C$102,C26)=2),
MIN(P26,FLOOR(FILTER($J$7:indirect(""J"""&amp;"&amp;row()-1),$C$7:indirect(""C""&amp;row()-1)=C26)*Info!$T$32)),
AND(E26=""Final"",COUNTIF($C$7:$C$102,C26)=3,FILTER($J$7:indirect(""J""&amp;row()-1),$C$7:indirect(""C""&amp;row()-1)=C26)&lt;=15),""J - Error"",
AND(E26=""Final"",COUNTIF($C$7:$C$102,C26)=3),
MIN(P26,FLOOR(I"&amp;"nfo!$T$32*FLOOR(FILTER($J$7:indirect(""J""&amp;row()-1),$C$7:indirect(""C""&amp;row()-1)=C26)*Info!$T$32))),
AND(E26=""Final"",COUNTIF($C$7:$C$102,C26)&gt;=4,FILTER($J$7:indirect(""J""&amp;row()-1),$C$7:indirect(""C""&amp;row()-1)=C26)&lt;=99),""J - Error"",
AND(E26=""Final"","&amp;"COUNTIF($C$7:$C$102,C26)&gt;=4),
MIN(P26,FLOOR(Info!$T$32*FLOOR(Info!$T$32*FLOOR(FILTER($J$7:indirect(""J""&amp;row()-1),$C$7:indirect(""C""&amp;row()-1)=C26)*Info!$T$32)))))"),"")</f>
        <v/>
      </c>
      <c r="K26" s="41" t="str">
        <f>IFERROR(__xludf.DUMMYFUNCTION("IFS(AND(indirect(""D""&amp;row()+2)&lt;&gt;$E$2,indirect(""D""&amp;row()+1)=""""),CONCATENATE(""Tom rad! Kopiera hela rad ""&amp;row()&amp;"" dit""),
AND(indirect(""D""&amp;row()-1)&lt;&gt;""Rum"",indirect(""D""&amp;row()-1)=""""),CONCATENATE(""Tom rad! Kopiera hela rad ""&amp;row()&amp;"" dit""),
"&amp;"C26="""","""",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OR(AND(D26&lt;&gt;$E$2,D26&lt;&gt;$E$4,D26&lt;&gt;$K$4,D26&lt;&gt;$Q$4),D26="&amp;"""""),CONCATENATE(""Rum: ""&amp;D26&amp;"" finns ej, byt i D""&amp;row()),
AND(indirect(""D""&amp;row()-1)=""Rum"",C26=""""),CONCATENATE(""För att börja: skriv i cell C""&amp;row()),
AND(C26=""Paus"",M26&lt;=0),CONCATENATE(""Skriv pausens längd i M""&amp;row()),
OR(COUNTIF(Info!$A$"&amp;"22:A81,C26)&gt;0,C26=""""),"""",
AND(D26&lt;&gt;$E$2,$O$2=""Yes"",A26=""=time(hh;mm;ss)""),CONCATENATE(""Skriv starttid för ""&amp;C26&amp;"" i A""&amp;row()),
E26=""E - Error"",CONCATENATE(""För många ""&amp;C26&amp;"" rundor!""),
AND(C26&lt;&gt;""3x3 FMC"",C26&lt;&gt;""3x3 MBLD"",E26&lt;&gt;1,E26&lt;&gt;"&amp;"""Final"",IFERROR(FILTER($E$7:indirect(""E""&amp;row()-1),
$E$7:indirect(""E""&amp;row()-1)=E26-1,$C$7:indirect(""C""&amp;row()-1)=C26))=FALSE),CONCATENATE(""Kan ej vara R""&amp;E26&amp;"", saknar R""&amp;(E26-1)),
AND(indirect(""E""&amp;row()-1)&lt;&gt;""Omgång"",IFERROR(FILTER($E$7:indi"&amp;"rect(""E""&amp;row()-1),
$E$7:indirect(""E""&amp;row()-1)=E26,$C$7:indirect(""C""&amp;row()-1)=C26)=E26)=TRUE),CONCATENATE(""Runda ""&amp;E26&amp;"" i ""&amp;C26&amp;"" finns redan""),
AND(C26&lt;&gt;""3x3 BLD"",C26&lt;&gt;""4x4 BLD"",C26&lt;&gt;""5x5 BLD"",C26&lt;&gt;""4x4 / 5x5 BLD"",OR(E26=2,E26=3,E26="&amp;"""Final""),H26&lt;&gt;""""),CONCATENATE(E26&amp;""-rundor brukar ej ha c.t.l.""),
AND(OR(E26=2,E26=3,E26=""Final""),I26&lt;&gt;""""),CONCATENATE(E26&amp;""-rundor brukar ej ha cutoff""),
AND(OR(C26=""3x3 FMC"",C26=""3x3 MBLD""),OR(E26=1,E26=2,E26=3,E26=""Final"")),CONCATENAT"&amp;"E(C26&amp;""s omgång är Rx - Ax""),
AND(C26&lt;&gt;""3x3 MBLD"",C26&lt;&gt;""3x3 FMC"",FILTER(Info!$D$2:D81, Info!$A$2:A81 = C26)&lt;&gt;F26),CONCATENATE(C26&amp;"" måste ha formatet ""&amp;FILTER(Info!$D$2:D81, Info!$A$2:A81 = C26)),
AND(C26=""3x3 MBLD"",OR(F26=""Avg of 5"",F26=""Mea"&amp;"n of 3"")),CONCATENATE(""Ogiltigt format för ""&amp;C26),
AND(C26=""3x3 FMC"",OR(F26=""Avg of 5"",F26=""Best of 3"")),CONCATENATE(""Ogiltigt format för ""&amp;C26),
AND(OR(F26=""Best of 1"",F26=""Best of 2"",F26=""Best of 3""),I26&lt;&gt;""""),CONCATENATE(F26&amp;""-rundor"&amp;" får ej ha cutoff""),
AND(OR(C26=""3x3 FMC"",C26=""3x3 MBLD""),G26&lt;&gt;60),CONCATENATE(C26&amp;"" måste ha time limit: 60""),
AND(OR(C26=""3x3 FMC"",C26=""3x3 MBLD""),H26&lt;&gt;""""),CONCATENATE(C26&amp;"" kan inte ha c.t.l.""),
AND(G26&lt;&gt;"""",H26&lt;&gt;""""),""Välj time limit"&amp;" ELLER c.t.l"",
AND(C26=""6x6 / 7x7"",G26="""",H26=""""),""Sätt time limit (x / y) eller c.t.l (z)"",
AND(G26="""",H26=""""),""Sätt en time limit eller c.t.l"",
AND(OR(C26=""6x6 / 7x7"",C26=""4x4 / 5x5 BLD""),G26&lt;&gt;"""",REGEXMATCH(TO_TEXT(G26),"" / "")=FAL"&amp;"SE),CONCATENATE(""Time limit måste vara x / y""),
AND(H26&lt;&gt;"""",I26&lt;&gt;""""),CONCATENATE(C26&amp;"" brukar ej ha cutoff OCH c.t.l""),
AND(E26=1,H26="""",I26="""",OR(FILTER(Info!$E$2:E81, Info!$A$2:A81 = C26) = ""Yes"",FILTER(Info!$F$2:F81, Info!$A$2:A81 = C26) "&amp;"= ""Yes""),OR(F26=""Avg of 5"",F26=""Mean of 3"")),CONCATENATE(C26&amp;"" bör ha cutoff eller c.t.l""),
AND(C26=""6x6 / 7x7"",I26&lt;&gt;"""",REGEXMATCH(TO_TEXT(I26),"" / "")=FALSE),CONCATENATE(""Cutoff måste vara x / y""),
AND(H26&lt;&gt;"""",ISNUMBER(H26)=FALSE),""C.t."&amp;"l. måste vara positivt tal (x)"",
AND(C26&lt;&gt;""6x6 / 7x7"",I26&lt;&gt;"""",ISNUMBER(I26)=FALSE),""Cutoff måste vara positivt tal (x)"",
AND(H26&lt;&gt;"""",FILTER(Info!$E$2:E81, Info!$A$2:A81 = C26) = ""No"",FILTER(Info!$F$2:F81, Info!$A$2:A81 = C26) = ""No""),CONCATEN"&amp;"ATE(C26&amp;"" brukar inte ha c.t.l.""),
AND(I26&lt;&gt;"""",FILTER(Info!$E$2:E81, Info!$A$2:A81 = C26) = ""No"",FILTER(Info!$F$2:F81, Info!$A$2:A81 = C26) = ""No""),CONCATENATE(C26&amp;"" brukar inte ha cutoff""),
AND(H26="""",FILTER(Info!$F$2:F81, Info!$A$2:A81 = C26"&amp;") = ""Yes""),CONCATENATE(C26&amp;"" brukar ha c.t.l.""),
AND(C26&lt;&gt;""6x6 / 7x7"",C26&lt;&gt;""4x4 / 5x5 BLD"",G26&lt;&gt;"""",ISNUMBER(G26)=FALSE),""Time limit måste vara positivt tal (x)"",
J26=""J - Error"",CONCATENATE(""För få deltagare i R1 för ""&amp;COUNTIF($C$7:$C$102,"&amp;"indirect(""C""&amp;row()))&amp;"" rundor""),
J26=""K2 - Error"",CONCATENATE(C26&amp;"" är mer populär - byt i K2!""),
AND(C26&lt;&gt;""6x6 / 7x7"",C26&lt;&gt;""4x4 / 5x5 BLD"",G26&lt;&gt;"""",I26&lt;&gt;"""",G26&lt;=I26),""Time limit måste vara &gt; cutoff"",
AND(C26&lt;&gt;""6x6 / 7x7"",C26&lt;&gt;""4x4 / 5"&amp;"x5 BLD"",H26&lt;&gt;"""",I26&lt;&gt;"""",H26&lt;=I26),""C.t.l. måste vara &gt; cutoff"",
AND(C26&lt;&gt;""3x3 FMC"",C26&lt;&gt;""3x3 MBLD"",J26=""""),CONCATENATE(""Fyll i antal deltagare i J""&amp;row()),
AND(C26="""",OR(E26&lt;&gt;"""",F26&lt;&gt;"""",G26&lt;&gt;"""",H26&lt;&gt;"""",I26&lt;&gt;"""",J26&lt;&gt;"""")),""Skri"&amp;"v ALLTID gren / aktivitet först"",
AND(I26="""",H26="""",J26&lt;&gt;""""),J26,
OR(""3x3 FMC""=C26,""3x3 MBLD""=C26),J26,
AND(I26&lt;&gt;"""",""6x6 / 7x7""=C26),
IFS(ArrayFormula(SUM(IFERROR(SPLIT(I26,"" / ""))))&lt;(Info!$J$6+Info!$J$7)*2/3,CONCATENATE(""Höj helst cutof"&amp;"fs i ""&amp;C26),
ArrayFormula(SUM(IFERROR(SPLIT(I26,"" / ""))))&lt;=(Info!$J$6+Info!$J$7),ROUNDUP(J26*Info!$J$22),
ArrayFormula(SUM(IFERROR(SPLIT(I26,"" / ""))))&lt;=Info!$J$6+Info!$J$7,ROUNDUP(J26*Info!$K$22),
ArrayFormula(SUM(IFERROR(SPLIT(I26,"" / ""))))&lt;=Info!"&amp;"$K$6+Info!$K$7,ROUNDUP(J26*Info!L$22),
ArrayFormula(SUM(IFERROR(SPLIT(I26,"" / ""))))&lt;=Info!$L$6+Info!$L$7,ROUNDUP(J26*Info!$M$22),
ArrayFormula(SUM(IFERROR(SPLIT(I26,"" / ""))))&lt;=Info!$M$6+Info!$M$7,ROUNDUP(J26*Info!$N$22),
ArrayFormula(SUM(IFERROR(SPLIT"&amp;"(I26,"" / ""))))&lt;=(Info!$N$6+Info!$N$7)*3/2,ROUNDUP(J26*Info!$J$26),
ArrayFormula(SUM(IFERROR(SPLIT(I26,"" / ""))))&gt;(Info!$N$6+Info!$N$7)*3/2,CONCATENATE(""Sänk helst cutoffs i ""&amp;C26)),
AND(I26&lt;&gt;"""",FILTER(Info!$E$2:E81, Info!$A$2:A81 = C26) = ""Yes""),"&amp;"
IFS(I26&lt;FILTER(Info!$J$2:J81, Info!$A$2:A81 = C26)*2/3,CONCATENATE(""Höj helst cutoff i ""&amp;C26),
I26&lt;=FILTER(Info!$J$2:J81, Info!$A$2:A81 = C26),ROUNDUP(J26*Info!$J$22),
I26&lt;=FILTER(Info!$K$2:K81, Info!$A$2:A81 = C26),ROUNDUP(J26*Info!$K$22),
I26&lt;=FILTER"&amp;"(Info!$L$2:L81, Info!$A$2:A81 = C26),ROUNDUP(J26*Info!L$22),
I26&lt;=FILTER(Info!$M$2:M81, Info!$A$2:A81 = C26),ROUNDUP(J26*Info!$M$22),
I26&lt;=FILTER(Info!$N$2:N81, Info!$A$2:A81 = C26),ROUNDUP(J26*Info!$N$22),
I26&lt;=FILTER(Info!$N$2:N81, Info!$A$2:A81 = C26)*"&amp;"3/2,ROUNDUP(J26*Info!$J$26),
I26&gt;FILTER(Info!$N$2:N81, Info!$A$2:A81 = C26)*3/2,CONCATENATE(""Sänk helst cutoff i ""&amp;C26)),
AND(H26&lt;&gt;"""",""6x6 / 7x7""=C26),
IFS(H26/3&lt;=(Info!$J$6+Info!$J$7)*2/3,""Höj helst cumulative time limit"",
H26/3&lt;=Info!$J$6+Info!$"&amp;"J$7,ROUNDUP(J26*Info!$J$24),
H26/3&lt;=Info!$K$6+Info!$K$7,ROUNDUP(J26*Info!$K$24),
H26/3&lt;=Info!$L$6+Info!$L$7,ROUNDUP(J26*Info!L$24),
H26/3&lt;=Info!$M$6+Info!$M$7,ROUNDUP(J26*Info!$M$24),
H26/3&lt;=Info!$N$6+Info!$N$7,ROUNDUP(J26*Info!$N$24),
H26/3&lt;=(Info!$N$6+I"&amp;"nfo!$N$7)*3/2,ROUNDUP(J26*Info!$L$26),
H26/3&gt;(Info!$J$6+Info!$J$7)*3/2,""Sänk helst cumulative time limit""),
AND(H26&lt;&gt;"""",FILTER(Info!$F$2:F81, Info!$A$2:A81 = C26) = ""Yes""),
IFS(H26&lt;=FILTER(Info!$J$2:J81, Info!$A$2:A81 = C26)*2/3,CONCATENATE(""Höj he"&amp;"lst c.t.l. i ""&amp;C26),
H26&lt;=FILTER(Info!$J$2:J81, Info!$A$2:A81 = C26),ROUNDUP(J26*Info!$J$24),
H26&lt;=FILTER(Info!$K$2:K81, Info!$A$2:A81 = C26),ROUNDUP(J26*Info!$K$24),
H26&lt;=FILTER(Info!$L$2:L81, Info!$A$2:A81 = C26),ROUNDUP(J26*Info!L$24),
H26&lt;=FILTER(Inf"&amp;"o!$M$2:M81, Info!$A$2:A81 = C26),ROUNDUP(J26*Info!$M$24),
H26&lt;=FILTER(Info!$N$2:N81, Info!$A$2:A81 = C26),ROUNDUP(J26*Info!$N$24),
H26&lt;=FILTER(Info!$N$2:N81, Info!$A$2:A81 = C26)*3/2,ROUNDUP(J26*Info!$L$26),
H26&gt;FILTER(Info!$N$2:N81, Info!$A$2:A81 = C26)*"&amp;"3/2,CONCATENATE(""Sänk helst c.t.l. i ""&amp;C26)),
AND(H26&lt;&gt;"""",FILTER(Info!$F$2:F81, Info!$A$2:A81 = C26) = ""No""),
IFS(H26/AA26&lt;=FILTER(Info!$J$2:J81, Info!$A$2:A81 = C26)*2/3,CONCATENATE(""Höj helst c.t.l. i ""&amp;C26),
H26/AA26&lt;=FILTER(Info!$J$2:J81, Info"&amp;"!$A$2:A81 = C26),ROUNDUP(J26*Info!$J$24),
H26/AA26&lt;=FILTER(Info!$K$2:K81, Info!$A$2:A81 = C26),ROUNDUP(J26*Info!$K$24),
H26/AA26&lt;=FILTER(Info!$L$2:L81, Info!$A$2:A81 = C26),ROUNDUP(J26*Info!L$24),
H26/AA26&lt;=FILTER(Info!$M$2:M81, Info!$A$2:A81 = C26),ROUND"&amp;"UP(J26*Info!$M$24),
H26/AA26&lt;=FILTER(Info!$N$2:N81, Info!$A$2:A81 = C26),ROUNDUP(J26*Info!$N$24),
H26/AA26&lt;=FILTER(Info!$N$2:N81, Info!$A$2:A81 = C26)*3/2,ROUNDUP(J26*Info!$L$26),
H26/AA26&gt;FILTER(Info!$N$2:N81, Info!$A$2:A81 = C26)*3/2,CONCATENATE(""Sänk "&amp;"helst c.t.l. i ""&amp;C26)),
AND(I26="""",H26&lt;&gt;"""",J26&lt;&gt;""""),ROUNDUP(J26*Info!$T$29),
AND(I26&lt;&gt;"""",H26="""",J26&lt;&gt;""""),ROUNDUP(J26*Info!$T$26))"),"")</f>
        <v/>
      </c>
      <c r="L26" s="42">
        <f>IFERROR(__xludf.DUMMYFUNCTION("IFS(C26="""",0,
C26=""3x3 FMC"",Info!$B$9*N26+M26, C26=""3x3 MBLD"",Info!$B$18*N26+M26,
COUNTIF(Info!$A$22:A81,C26)&gt;0,FILTER(Info!$B$22:B81,Info!$A$22:A81=C26)+M26,
AND(C26&lt;&gt;"""",E26=""""),CONCATENATE(""Fyll i E""&amp;row()),
AND(C26&lt;&gt;"""",E26&lt;&gt;"""",E26&lt;&gt;1,E2"&amp;"6&lt;&gt;2,E26&lt;&gt;3,E26&lt;&gt;""Final""),CONCATENATE(""Fel format på E""&amp;row()),
K26=CONCATENATE(""Runda ""&amp;E26&amp;"" i ""&amp;C26&amp;"" finns redan""),CONCATENATE(""Fel i E""&amp;row()),
AND(C26&lt;&gt;"""",F26=""""),CONCATENATE(""Fyll i F""&amp;row()),
K26=CONCATENATE(C26&amp;"" måste ha forma"&amp;"tet ""&amp;FILTER(Info!$D$2:D81, Info!$A$2:A81 = C26)),CONCATENATE(""Fel format på F""&amp;row()),
AND(C26&lt;&gt;"""",D26=1,H26="""",FILTER(Info!$F$2:F81, Info!$A$2:A81 = C26) = ""Yes""),CONCATENATE(""Fyll i H""&amp;row()),
AND(C26&lt;&gt;"""",D26=1,I26="""",FILTER(Info!$E$2:E8"&amp;"1, Info!$A$2:A81 = C26) = ""Yes""),CONCATENATE(""Fyll i I""&amp;row()),
AND(C26&lt;&gt;"""",J26=""""),CONCATENATE(""Fyll i J""&amp;row()),
AND(C26&lt;&gt;"""",K26="""",OR(H26&lt;&gt;"""",I26&lt;&gt;"""")),CONCATENATE(""Fyll i K""&amp;row()),
AND(C26&lt;&gt;"""",K26=""""),CONCATENATE(""Skriv samma"&amp;" i K""&amp;row()&amp;"" som i J""&amp;row()),
AND(OR(C26=""4x4 BLD"",C26=""5x5 BLD"",C26=""4x4 / 5x5 BLD"")=TRUE,V26&lt;=P26),
MROUND(H26*(Info!$T$20-((Info!$T$20-1)/2)*(1-V26/P26))*(1+((J26/K26)-1)*(1-Info!$J$24))*N26+(Info!$T$11/2)+(N26*Info!$T$11)+(N26*Info!$T$14*(O2"&amp;"6-1)),0.01)+M26,
AND(OR(C26=""4x4 BLD"",C26=""5x5 BLD"",C26=""4x4 / 5x5 BLD"")=TRUE,V26&gt;P26),
MROUND((((J26*Z26+K26*(AA26-Z26))*(H26*Info!$T$20/AA26))/X26)*(1+((J26/K26)-1)*(1-Info!$J$24))*(1+(X26-Info!$T$8)/100)+(Info!$T$11/2)+(N26*Info!$T$11)+(N26*Info!"&amp;"$T$14*(O26-1)),0.01)+M26,
AND(C26=""3x3 BLD"",V26&lt;=P26),
MROUND(H26*(Info!$T$23-((Info!$T$23-1)/2)*(1-V26/P26))*(1+((J26/K26)-1)*(1-Info!$J$24))*N26+(Info!$T$11/2)+(N26*Info!$T$11)+(N26*Info!$T$14*(O26-1)),0.01)+M26,
AND(C26=""3x3 BLD"",V26&gt;P26),
MROUND(("&amp;"((J26*Z26+K26*(AA26-Z26))*(H26*Info!$T$23/AA26))/X26)*(1+((J26/K26)-1)*(1-Info!$J$24))*(1+(X26-Info!$T$8)/100)+(Info!$T$11/2)+(N26*Info!$T$11)+(N26*Info!$T$14*(O26-1)),0.01)+M26,
E26=1,MROUND((((J26*Z26+K26*(AA26-Z26))*Y26)/X26)*(1+(X26-Info!$T$8)/100)+(N"&amp;"26*Info!$T$11)+(N26*Info!$T$14*(O26-1)),0.01)+M26,
AND(E26=""Final"",N26=1,FILTER(Info!$G$2:$G$20,Info!$A$2:$A$20=C26)=""Mycket svår""),
MROUND((((J26*Z26+K26*(AA26-Z26))*(Y26*Info!$T$38))/X26)*(1+(X26-Info!$T$8)/100)+(N26*Info!$T$11)+(N26*Info!$T$14*(O26"&amp;"-1)),0.01)+M26,
AND(E26=""Final"",N26=1,FILTER(Info!$G$2:$G$20,Info!$A$2:$A$20=C26)=""Svår""),
MROUND((((J26*Z26+K26*(AA26-Z26))*(Y26*Info!$T$35))/X26)*(1+(X26-Info!$T$8)/100)+(N26*Info!$T$11)+(N26*Info!$T$14*(O26-1)),0.01)+M26,
E26=""Final"",MROUND((((J2"&amp;"6*Z26+K26*(AA26-Z26))*(Y26*Info!$T$5))/X26)*(1+(X26-Info!$T$8)/100)+(N26*Info!$T$11)+(N26*Info!$T$14*(O26-1)),0.01)+M26,
OR(E26=2,E26=3),MROUND((((J26*Z26+K26*(AA26-Z26))*(Y26*Info!$T$2))/X26)*(1+(X26-Info!$T$8)/100)+(N26*Info!$T$11)+(N26*Info!$T$14*(O26-"&amp;"1)),0.01)+M26)"),0.0)</f>
        <v>0</v>
      </c>
      <c r="M26" s="43">
        <f t="shared" si="1"/>
        <v>0</v>
      </c>
      <c r="N26" s="43" t="str">
        <f>IFS(OR(COUNTIF(Info!$A$22:A81,C26)&gt;0,C26=""),"",
OR(C26="4x4 BLD",C26="5x5 BLD",C26="3x3 MBLD",C26="3x3 FMC",C26="4x4 / 5x5 BLD"),1,
AND(E26="Final",Q26="Yes",MAX(1,ROUNDUP(J26/P26))&gt;1),MAX(2,ROUNDUP(J26/P26)),
AND(E26="Final",Q26="No",MAX(1,ROUNDUP(J26/((P26*2)+2.625-Y26*1.5)))&gt;1),MAX(2,ROUNDUP(J26/((P26*2)+2.625-Y26*1.5))),
E26="Final",1,
Q26="Yes",MAX(2,ROUNDUP(J26/P26)),
TRUE,MAX(2,ROUNDUP(J26/((P26*2)+2.625-Y26*1.5))))</f>
        <v/>
      </c>
      <c r="O26" s="43" t="str">
        <f>IFS(OR(COUNTIF(Info!$A$22:A81,C26)&gt;0,C26=""),"",
OR("3x3 MBLD"=C26,"3x3 FMC"=C26)=TRUE,"",
D26=$E$4,$G$6,D26=$K$4,$M$6,D26=$Q$4,$S$6,D26=$W$4,$Y$6,
TRUE,$S$2)</f>
        <v/>
      </c>
      <c r="P26" s="43" t="str">
        <f>IFS(OR(COUNTIF(Info!$A$22:A81,C26)&gt;0,C26=""),"",
OR("3x3 MBLD"=C26,"3x3 FMC"=C26)=TRUE,"",
D26=$E$4,$E$6,D26=$K$4,$K$6,D26=$Q$4,$Q$6,D26=$W$4,$W$6,
TRUE,$Q$2)</f>
        <v/>
      </c>
      <c r="Q26" s="44" t="str">
        <f>IFS(OR(COUNTIF(Info!$A$22:A81,C26)&gt;0,C26=""),"",
OR("3x3 MBLD"=C26,"3x3 FMC"=C26)=TRUE,"",
D26=$E$4,$I$6,D26=$K$4,$O$6,D26=$Q$4,$U$6,D26=$W$4,$AA$6,
TRUE,$U$2)</f>
        <v/>
      </c>
      <c r="R26" s="45" t="str">
        <f>IFERROR(__xludf.DUMMYFUNCTION("IF(C26="""","""",IFERROR(FILTER(Info!$B$22:B81,Info!$A$22:A81=C26)+M26,""?""))"),"")</f>
        <v/>
      </c>
      <c r="S26" s="46" t="str">
        <f>IFS(OR(COUNTIF(Info!$A$22:A81,C26)&gt;0,C26=""),"",
AND(H26="",I26=""),J26,
TRUE,"?")</f>
        <v/>
      </c>
      <c r="T26" s="45" t="str">
        <f>IFS(OR(COUNTIF(Info!$A$22:A81,C26)&gt;0,C26=""),"",
AND(L26&lt;&gt;0,OR(R26="?",R26="")),"Fyll i R-kolumnen",
OR(C26="3x3 FMC",C26="3x3 MBLD"),R26,
AND(L26&lt;&gt;0,OR(S26="?",S26="")),"Fyll i S-kolumnen",
OR(COUNTIF(Info!$A$22:A81,C26)&gt;0,C26=""),"",
TRUE,Y26*R26/L26)</f>
        <v/>
      </c>
      <c r="U26" s="45"/>
      <c r="V26" s="47" t="str">
        <f>IFS(OR(COUNTIF(Info!$A$22:A81,C26)&gt;0,C26=""),"",
OR("3x3 MBLD"=C26,"3x3 FMC"=C26)=TRUE,"",
TRUE,MROUND((J26/N26),0.01))</f>
        <v/>
      </c>
      <c r="W26" s="48" t="str">
        <f>IFS(OR(COUNTIF(Info!$A$22:A81,C26)&gt;0,C26=""),"",
TRUE,L26/N26)</f>
        <v/>
      </c>
      <c r="X26" s="49" t="str">
        <f>IFS(OR(COUNTIF(Info!$A$22:A81,C26)&gt;0,C26=""),"",
OR("3x3 MBLD"=C26,"3x3 FMC"=C26)=TRUE,"",
OR(C26="4x4 BLD",C26="5x5 BLD",C26="4x4 / 5x5 BLD",AND(C26="3x3 BLD",H26&lt;&gt;""))=TRUE,MIN(V26,P26),
TRUE,MIN(P26,V26,MROUND(((V26*2/3)+((Y26-1.625)/2)),0.01)))</f>
        <v/>
      </c>
      <c r="Y26" s="48" t="str">
        <f>IFERROR(__xludf.DUMMYFUNCTION("IFS(OR(COUNTIF(Info!$A$22:A81,C26)&gt;0,C26=""""),"""",
FILTER(Info!$F$2:F81, Info!$A$2:A81 = C26) = ""Yes"",H26/AA26,
""3x3 FMC""=C26,Info!$B$9,""3x3 MBLD""=C26,Info!$B$18,
AND(E26=1,I26="""",H26="""",Q26=""No"",G26&gt;SUMIF(Info!$A$2:A81,C26,Info!$B$2:B81)*1."&amp;"5),
MIN(SUMIF(Info!$A$2:A81,C26,Info!$B$2:B81)*1.1,SUMIF(Info!$A$2:A81,C26,Info!$B$2:B81)*(1.15-(0.15*(SUMIF(Info!$A$2:A81,C26,Info!$B$2:B81)*1.5)/G26))),
AND(E26=1,I26="""",H26="""",Q26=""Yes"",G26&gt;SUMIF(Info!$A$2:A81,C26,Info!$C$2:C81)*1.5),
MIN(SUMIF(I"&amp;"nfo!$A$2:A81,C26,Info!$C$2:C81)*1.1,SUMIF(Info!$A$2:A81,C26,Info!$C$2:C81)*(1.15-(0.15*(SUMIF(Info!$A$2:A81,C26,Info!$C$2:C81)*1.5)/G26))),
Q26=""No"",SUMIF(Info!$A$2:A81,C26,Info!$B$2:B81),
Q26=""Yes"",SUMIF(Info!$A$2:A81,C26,Info!$C$2:C81))"),"")</f>
        <v/>
      </c>
      <c r="Z26" s="47" t="str">
        <f>IFS(OR(COUNTIF(Info!$A$22:A81,C26)&gt;0,C26=""),"",
AND(OR("3x3 FMC"=C26,"3x3 MBLD"=C26),I26&lt;&gt;""),1,
AND(OR(H26&lt;&gt;"",I26&lt;&gt;""),F26="Avg of 5"),2,
F26="Avg of 5",AA26,
AND(OR(H26&lt;&gt;"",I26&lt;&gt;""),F26="Mean of 3",C26="6x6 / 7x7"),2,
AND(OR(H26&lt;&gt;"",I26&lt;&gt;""),F26="Mean of 3"),1,
F26="Mean of 3",AA26,
AND(OR(H26&lt;&gt;"",I26&lt;&gt;""),F26="Best of 3",C26="4x4 / 5x5 BLD"),2,
AND(OR(H26&lt;&gt;"",I26&lt;&gt;""),F26="Best of 3"),1,
F26="Best of 2",AA26,
F26="Best of 1",AA26)</f>
        <v/>
      </c>
      <c r="AA26" s="47" t="str">
        <f>IFS(OR(COUNTIF(Info!$A$22:A81,C26)&gt;0,C26=""),"",
AND(OR("3x3 MBLD"=C26,"3x3 FMC"=C26),F26="Best of 1"=TRUE),1,
AND(OR("3x3 MBLD"=C26,"3x3 FMC"=C26),F26="Best of 2"=TRUE),2,
AND(OR("3x3 MBLD"=C26,"3x3 FMC"=C26),OR(F26="Best of 3",F26="Mean of 3")=TRUE),3,
AND(F26="Mean of 3",C26="6x6 / 7x7"),6,
AND(F26="Best of 3",C26="4x4 / 5x5 BLD"),6,
F26="Avg of 5",5,F26="Mean of 3",3,F26="Best of 3",3,F26="Best of 2",2,F26="Best of 1",1)</f>
        <v/>
      </c>
      <c r="AB26" s="50"/>
    </row>
    <row r="27" ht="15.75" customHeight="1">
      <c r="A27" s="35">
        <f>IFERROR(__xludf.DUMMYFUNCTION("IFS(indirect(""A""&amp;row()-1)=""Start"",TIME(indirect(""A""&amp;row()-2),indirect(""B""&amp;row()-2),0),
$O$2=""No"",TIME(0,($A$6*60+$B$6)+CEILING(SUM($L$7:indirect(""L""&amp;row()-1)),5),0),
D27=$E$2,TIME(0,($A$6*60+$B$6)+CEILING(SUM(IFERROR(FILTER($L$7:indirect(""L"""&amp;"&amp;row()-1),REGEXMATCH($D$7:indirect(""D""&amp;row()-1),$E$2)),0)),5),0),
TRUE,""=time(hh;mm;ss)"")"),0.4166666666666667)</f>
        <v>0.4166666667</v>
      </c>
      <c r="B27" s="36">
        <f>IFERROR(__xludf.DUMMYFUNCTION("IFS($O$2=""No"",TIME(0,($A$6*60+$B$6)+CEILING(SUM($L$7:indirect(""L""&amp;row())),5),0),
D27=$E$2,TIME(0,($A$6*60+$B$6)+CEILING(SUM(FILTER($L$7:indirect(""L""&amp;row()),REGEXMATCH($D$7:indirect(""D""&amp;row()),$E$2))),5),0),
A27=""=time(hh;mm;ss)"",CONCATENATE(""Sk"&amp;"riv tid i A""&amp;row()),
AND(A27&lt;&gt;"""",A27&lt;&gt;""=time(hh;mm;ss)""),A27+TIME(0,CEILING(indirect(""L""&amp;row()),5),0))"),0.4166666666666667)</f>
        <v>0.4166666667</v>
      </c>
      <c r="C27" s="37"/>
      <c r="D27" s="38" t="str">
        <f t="shared" si="2"/>
        <v>Stora salen</v>
      </c>
      <c r="E27" s="38" t="str">
        <f>IFERROR(__xludf.DUMMYFUNCTION("IFS(COUNTIF(Info!$A$22:A81,C27)&gt;0,"""",
AND(OR(""3x3 FMC""=C27,""3x3 MBLD""=C27),COUNTIF($C$7:indirect(""C""&amp;row()),indirect(""C""&amp;row()))&gt;=13),""E - Error"",
AND(OR(""3x3 FMC""=C27,""3x3 MBLD""=C27),COUNTIF($C$7:indirect(""C""&amp;row()),indirect(""C""&amp;row()"&amp;"))=12),""Final - A3"",
AND(OR(""3x3 FMC""=C27,""3x3 MBLD""=C27),COUNTIF($C$7:indirect(""C""&amp;row()),indirect(""C""&amp;row()))=11),""Final - A2"",
AND(OR(""3x3 FMC""=C27,""3x3 MBLD""=C27),COUNTIF($C$7:indirect(""C""&amp;row()),indirect(""C""&amp;row()))=10),""Final - "&amp;"A1"",
AND(OR(""3x3 FMC""=C27,""3x3 MBLD""=C27),COUNTIF($C$7:indirect(""C""&amp;row()),indirect(""C""&amp;row()))=9,
COUNTIF($C$7:$C$102,indirect(""C""&amp;row()))&gt;9),""R3 - A3"",
AND(OR(""3x3 FMC""=C27,""3x3 MBLD""=C27),COUNTIF($C$7:indirect(""C""&amp;row()),indirect(""C"&amp;"""&amp;row()))=9,
COUNTIF($C$7:$C$102,indirect(""C""&amp;row()))&lt;=9),""Final - A3"",
AND(OR(""3x3 FMC""=C27,""3x3 MBLD""=C27),COUNTIF($C$7:indirect(""C""&amp;row()),indirect(""C""&amp;row()))=8,
COUNTIF($C$7:$C$102,indirect(""C""&amp;row()))&gt;9),""R3 - A2"",
AND(OR(""3x3 FMC"&amp;"""=C27,""3x3 MBLD""=C27),COUNTIF($C$7:indirect(""C""&amp;row()),indirect(""C""&amp;row()))=8,
COUNTIF($C$7:$C$102,indirect(""C""&amp;row()))&lt;=9),""Final - A2"",
AND(OR(""3x3 FMC""=C27,""3x3 MBLD""=C27),COUNTIF($C$7:indirect(""C""&amp;row()),indirect(""C""&amp;row()))=7,
COUN"&amp;"TIF($C$7:$C$102,indirect(""C""&amp;row()))&gt;9),""R3 - A1"",
AND(OR(""3x3 FMC""=C27,""3x3 MBLD""=C27),COUNTIF($C$7:indirect(""C""&amp;row()),indirect(""C""&amp;row()))=7,
COUNTIF($C$7:$C$102,indirect(""C""&amp;row()))&lt;=9),""Final - A1"",
AND(OR(""3x3 FMC""=C27,""3x3 MBLD"""&amp;"=C27),COUNTIF($C$7:indirect(""C""&amp;row()),indirect(""C""&amp;row()))=6,
COUNTIF($C$7:$C$102,indirect(""C""&amp;row()))&gt;6),""R2 - A3"",
AND(OR(""3x3 FMC""=C27,""3x3 MBLD""=C27),COUNTIF($C$7:indirect(""C""&amp;row()),indirect(""C""&amp;row()))=6,
COUNTIF($C$7:$C$102,indirec"&amp;"t(""C""&amp;row()))&lt;=6),""Final - A3"",
AND(OR(""3x3 FMC""=C27,""3x3 MBLD""=C27),COUNTIF($C$7:indirect(""C""&amp;row()),indirect(""C""&amp;row()))=5,
COUNTIF($C$7:$C$102,indirect(""C""&amp;row()))&gt;6),""R2 - A2"",
AND(OR(""3x3 FMC""=C27,""3x3 MBLD""=C27),COUNTIF($C$7:indi"&amp;"rect(""C""&amp;row()),indirect(""C""&amp;row()))=5,
COUNTIF($C$7:$C$102,indirect(""C""&amp;row()))&lt;=6),""Final - A2"",
AND(OR(""3x3 FMC""=C27,""3x3 MBLD""=C27),COUNTIF($C$7:indirect(""C""&amp;row()),indirect(""C""&amp;row()))=4,
COUNTIF($C$7:$C$102,indirect(""C""&amp;row()))&gt;6),"&amp;"""R2 - A1"",
AND(OR(""3x3 FMC""=C27,""3x3 MBLD""=C27),COUNTIF($C$7:indirect(""C""&amp;row()),indirect(""C""&amp;row()))=4,
COUNTIF($C$7:$C$102,indirect(""C""&amp;row()))&lt;=6),""Final - A1"",
AND(OR(""3x3 FMC""=C27,""3x3 MBLD""=C27),COUNTIF($C$7:indirect(""C""&amp;row()),i"&amp;"ndirect(""C""&amp;row()))=3),""R1 - A3"",
AND(OR(""3x3 FMC""=C27,""3x3 MBLD""=C27),COUNTIF($C$7:indirect(""C""&amp;row()),indirect(""C""&amp;row()))=2),""R1 - A2"",
AND(OR(""3x3 FMC""=C27,""3x3 MBLD""=C27),COUNTIF($C$7:indirect(""C""&amp;row()),indirect(""C""&amp;row()))=1),"&amp;"""R1 -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C27),ROUNDUP((FILTER(Info!$H$2:H81,Info!$A$2:A81=C27)/FILTER(Info!$H$2:H81,Info!$A$2:A81=$K$2))*$I$2)&gt;99),3,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C27),ROUNDUP((FILTER(Info!$H$2:H81,Info!$A$2:A81=C27)/FILTER(Info!$H$2:H81,Info!$A$2:A81=$K$2))*$I$2)&gt;15),2,
AND(COUNTIF($C$7:indirect(""C""&amp;row()),indirect(""C""&amp;row()))=2,COUNTIF($C$7:$C$102,indirect(""C""&amp;row()))=COUNTIF($"&amp;"C$7:indirect(""C""&amp;row()),indirect(""C""&amp;row()))),""Final"",
COUNTIF($C$7:indirect(""C""&amp;row()),indirect(""C""&amp;row()))=1,1,
COUNTIF($C$7:indirect(""C""&amp;row()),indirect(""C""&amp;row()))=0,"""")"),"")</f>
        <v/>
      </c>
      <c r="F27" s="39" t="str">
        <f>IFERROR(__xludf.DUMMYFUNCTION("IFS(C27="""","""",
AND(C27=""3x3 FMC"",MOD(COUNTIF($C$7:indirect(""C""&amp;row()),indirect(""C""&amp;row())),3)=0),""Mean of 3"",
AND(C27=""3x3 MBLD"",MOD(COUNTIF($C$7:indirect(""C""&amp;row()),indirect(""C""&amp;row())),3)=0),""Best of 3"",
AND(C27=""3x3 FMC"",MOD(COUNT"&amp;"IF($C$7:indirect(""C""&amp;row()),indirect(""C""&amp;row())),3)=2,
COUNTIF($C$7:$C$102,indirect(""C""&amp;row()))&lt;=COUNTIF($C$7:indirect(""C""&amp;row()),indirect(""C""&amp;row()))),""Best of 2"",
AND(C27=""3x3 FMC"",MOD(COUNTIF($C$7:indirect(""C""&amp;row()),indirect(""C""&amp;row("&amp;"))),3)=2,
COUNTIF($C$7:$C$102,indirect(""C""&amp;row()))&gt;COUNTIF($C$7:indirect(""C""&amp;row()),indirect(""C""&amp;row()))),""Mean of 3"",
AND(C27=""3x3 MBLD"",MOD(COUNTIF($C$7:indirect(""C""&amp;row()),indirect(""C""&amp;row())),3)=2,
COUNTIF($C$7:$C$102,indirect(""C""&amp;row("&amp;")))&lt;=COUNTIF($C$7:indirect(""C""&amp;row()),indirect(""C""&amp;row()))),""Best of 2"",
AND(C27=""3x3 MBLD"",MOD(COUNTIF($C$7:indirect(""C""&amp;row()),indirect(""C""&amp;row())),3)=2,
COUNTIF($C$7:$C$102,indirect(""C""&amp;row()))&gt;COUNTIF($C$7:indirect(""C""&amp;row()),indirect("&amp;"""C""&amp;row()))),""Best of 3"",
AND(C27=""3x3 FMC"",MOD(COUNTIF($C$7:indirect(""C""&amp;row()),indirect(""C""&amp;row())),3)=1,
COUNTIF($C$7:$C$102,indirect(""C""&amp;row()))&lt;=COUNTIF($C$7:indirect(""C""&amp;row()),indirect(""C""&amp;row()))),""Best of 1"",
AND(C27=""3x3 FMC"""&amp;",MOD(COUNTIF($C$7:indirect(""C""&amp;row()),indirect(""C""&amp;row())),3)=1,
COUNTIF($C$7:$C$102,indirect(""C""&amp;row()))=COUNTIF($C$7:indirect(""C""&amp;row()),indirect(""C""&amp;row()))+1),""Best of 2"",
AND(C27=""3x3 FMC"",MOD(COUNTIF($C$7:indirect(""C""&amp;row()),indirect"&amp;"(""C""&amp;row())),3)=1,
COUNTIF($C$7:$C$102,indirect(""C""&amp;row()))&gt;COUNTIF($C$7:indirect(""C""&amp;row()),indirect(""C""&amp;row()))),""Mean of 3"",
AND(C27=""3x3 MBLD"",MOD(COUNTIF($C$7:indirect(""C""&amp;row()),indirect(""C""&amp;row())),3)=1,
COUNTIF($C$7:$C$102,indirect"&amp;"(""C""&amp;row()))&lt;=COUNTIF($C$7:indirect(""C""&amp;row()),indirect(""C""&amp;row()))),""Best of 1"",
AND(C27=""3x3 MBLD"",MOD(COUNTIF($C$7:indirect(""C""&amp;row()),indirect(""C""&amp;row())),3)=1,
COUNTIF($C$7:$C$102,indirect(""C""&amp;row()))=COUNTIF($C$7:indirect(""C""&amp;row()"&amp;"),indirect(""C""&amp;row()))+1),""Best of 2"",
AND(C27=""3x3 MBLD"",MOD(COUNTIF($C$7:indirect(""C""&amp;row()),indirect(""C""&amp;row())),3)=1,
COUNTIF($C$7:$C$102,indirect(""C""&amp;row()))&gt;COUNTIF($C$7:indirect(""C""&amp;row()),indirect(""C""&amp;row()))),""Best of 3"",
TRUE,("&amp;"IFERROR(FILTER(Info!$D$2:D81, Info!$A$2:A81 = C27), """")))"),"")</f>
        <v/>
      </c>
      <c r="G27" s="40" t="str">
        <f>IFERROR(__xludf.DUMMYFUNCTION("IFS(OR(COUNTIF(Info!$A$22:A81,C27)&gt;0,C27=""""),"""",
OR(""3x3 MBLD""=C27,""3x3 FMC""=C27),60,
AND(E27=1,FILTER(Info!$F$2:F81, Info!$A$2:A81 = C27) = ""No""),FILTER(Info!$P$2:P81, Info!$A$2:A81 = C27),
AND(E27=2,FILTER(Info!$F$2:F81, Info!$A$2:A81 = C27) ="&amp;" ""No""),FILTER(Info!$Q$2:Q81, Info!$A$2:A81 = C27),
AND(E27=3,FILTER(Info!$F$2:F81, Info!$A$2:A81 = C27) = ""No""),FILTER(Info!$R$2:R81, Info!$A$2:A81 = C27),
AND(E27=""Final"",FILTER(Info!$F$2:F81, Info!$A$2:A81 = C27) = ""No""),FILTER(Info!$S$2:S81, In"&amp;"fo!$A$2:A81 = C27),
FILTER(Info!$F$2:F81, Info!$A$2:A81 = C27) = ""Yes"","""")"),"")</f>
        <v/>
      </c>
      <c r="H27" s="40" t="str">
        <f>IFERROR(__xludf.DUMMYFUNCTION("IFS(OR(COUNTIF(Info!$A$22:A81,C27)&gt;0,C27=""""),"""",
OR(""3x3 MBLD""=C27,""3x3 FMC""=C27)=TRUE,"""",
FILTER(Info!$F$2:F81, Info!$A$2:A81 = C27) = ""Yes"",FILTER(Info!$O$2:O81, Info!$A$2:A81 = C27),
FILTER(Info!$F$2:F81, Info!$A$2:A81 = C27) = ""No"",IF(G2"&amp;"7="""",FILTER(Info!$O$2:O81, Info!$A$2:A81 = C27),""""))"),"")</f>
        <v/>
      </c>
      <c r="I27" s="40" t="str">
        <f>IFERROR(__xludf.DUMMYFUNCTION("IFS(OR(COUNTIF(Info!$A$22:A81,C27)&gt;0,C27="""",H27&lt;&gt;""""),"""",
AND(E27&lt;&gt;1,E27&lt;&gt;""R1 - A1"",E27&lt;&gt;""R1 - A2"",E27&lt;&gt;""R1 - A3""),"""",
FILTER(Info!$E$2:E81, Info!$A$2:A81 = C27) = ""Yes"",IF(H27="""",FILTER(Info!$L$2:L81, Info!$A$2:A81 = C27),""""),
FILTER(I"&amp;"nfo!$E$2:E81, Info!$A$2:A81 = C27) = ""No"","""")"),"")</f>
        <v/>
      </c>
      <c r="J27" s="40" t="str">
        <f>IFERROR(__xludf.DUMMYFUNCTION("IFS(OR(COUNTIF(Info!$A$22:A81,C27)&gt;0,C27="""",""3x3 MBLD""=C27,""3x3 FMC""=C27),"""",
AND(E27=1,FILTER(Info!$H$2:H81,Info!$A$2:A81 = C27)&lt;=FILTER(Info!$H$2:H81,Info!$A$2:A81=$K$2)),
ROUNDUP((FILTER(Info!$H$2:H81,Info!$A$2:A81 = C27)/FILTER(Info!$H$2:H81,I"&amp;"nfo!$A$2:A81=$K$2))*$I$2),
AND(E27=1,FILTER(Info!$H$2:H81,Info!$A$2:A81 = C27)&gt;FILTER(Info!$H$2:H81,Info!$A$2:A81=$K$2)),""K2 - Error"",
AND(E27=2,FILTER($J$7:indirect(""J""&amp;row()-1),$C$7:indirect(""C""&amp;row()-1)=C27)&lt;=7),""J - Error"",
E27=2,FLOOR(FILTER("&amp;"$J$7:indirect(""J""&amp;row()-1),$C$7:indirect(""C""&amp;row()-1)=C27)*Info!$T$32),
AND(E27=3,FILTER($J$7:indirect(""J""&amp;row()-1),$C$7:indirect(""C""&amp;row()-1)=C27)&lt;=15),""J - Error"",
E27=3,FLOOR(Info!$T$32*FLOOR(FILTER($J$7:indirect(""J""&amp;row()-1),$C$7:indirect("&amp;"""C""&amp;row()-1)=C27)*Info!$T$32)),
AND(E27=""Final"",COUNTIF($C$7:$C$102,C27)=2,FILTER($J$7:indirect(""J""&amp;row()-1),$C$7:indirect(""C""&amp;row()-1)=C27)&lt;=7),""J - Error"",
AND(E27=""Final"",COUNTIF($C$7:$C$102,C27)=2),
MIN(P27,FLOOR(FILTER($J$7:indirect(""J"""&amp;"&amp;row()-1),$C$7:indirect(""C""&amp;row()-1)=C27)*Info!$T$32)),
AND(E27=""Final"",COUNTIF($C$7:$C$102,C27)=3,FILTER($J$7:indirect(""J""&amp;row()-1),$C$7:indirect(""C""&amp;row()-1)=C27)&lt;=15),""J - Error"",
AND(E27=""Final"",COUNTIF($C$7:$C$102,C27)=3),
MIN(P27,FLOOR(I"&amp;"nfo!$T$32*FLOOR(FILTER($J$7:indirect(""J""&amp;row()-1),$C$7:indirect(""C""&amp;row()-1)=C27)*Info!$T$32))),
AND(E27=""Final"",COUNTIF($C$7:$C$102,C27)&gt;=4,FILTER($J$7:indirect(""J""&amp;row()-1),$C$7:indirect(""C""&amp;row()-1)=C27)&lt;=99),""J - Error"",
AND(E27=""Final"","&amp;"COUNTIF($C$7:$C$102,C27)&gt;=4),
MIN(P27,FLOOR(Info!$T$32*FLOOR(Info!$T$32*FLOOR(FILTER($J$7:indirect(""J""&amp;row()-1),$C$7:indirect(""C""&amp;row()-1)=C27)*Info!$T$32)))))"),"")</f>
        <v/>
      </c>
      <c r="K27" s="41" t="str">
        <f>IFERROR(__xludf.DUMMYFUNCTION("IFS(AND(indirect(""D""&amp;row()+2)&lt;&gt;$E$2,indirect(""D""&amp;row()+1)=""""),CONCATENATE(""Tom rad! Kopiera hela rad ""&amp;row()&amp;"" dit""),
AND(indirect(""D""&amp;row()-1)&lt;&gt;""Rum"",indirect(""D""&amp;row()-1)=""""),CONCATENATE(""Tom rad! Kopiera hela rad ""&amp;row()&amp;"" dit""),
"&amp;"C27="""","""",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OR(AND(D27&lt;&gt;$E$2,D27&lt;&gt;$E$4,D27&lt;&gt;$K$4,D27&lt;&gt;$Q$4),D27="&amp;"""""),CONCATENATE(""Rum: ""&amp;D27&amp;"" finns ej, byt i D""&amp;row()),
AND(indirect(""D""&amp;row()-1)=""Rum"",C27=""""),CONCATENATE(""För att börja: skriv i cell C""&amp;row()),
AND(C27=""Paus"",M27&lt;=0),CONCATENATE(""Skriv pausens längd i M""&amp;row()),
OR(COUNTIF(Info!$A$"&amp;"22:A81,C27)&gt;0,C27=""""),"""",
AND(D27&lt;&gt;$E$2,$O$2=""Yes"",A27=""=time(hh;mm;ss)""),CONCATENATE(""Skriv starttid för ""&amp;C27&amp;"" i A""&amp;row()),
E27=""E - Error"",CONCATENATE(""För många ""&amp;C27&amp;"" rundor!""),
AND(C27&lt;&gt;""3x3 FMC"",C27&lt;&gt;""3x3 MBLD"",E27&lt;&gt;1,E27&lt;&gt;"&amp;"""Final"",IFERROR(FILTER($E$7:indirect(""E""&amp;row()-1),
$E$7:indirect(""E""&amp;row()-1)=E27-1,$C$7:indirect(""C""&amp;row()-1)=C27))=FALSE),CONCATENATE(""Kan ej vara R""&amp;E27&amp;"", saknar R""&amp;(E27-1)),
AND(indirect(""E""&amp;row()-1)&lt;&gt;""Omgång"",IFERROR(FILTER($E$7:indi"&amp;"rect(""E""&amp;row()-1),
$E$7:indirect(""E""&amp;row()-1)=E27,$C$7:indirect(""C""&amp;row()-1)=C27)=E27)=TRUE),CONCATENATE(""Runda ""&amp;E27&amp;"" i ""&amp;C27&amp;"" finns redan""),
AND(C27&lt;&gt;""3x3 BLD"",C27&lt;&gt;""4x4 BLD"",C27&lt;&gt;""5x5 BLD"",C27&lt;&gt;""4x4 / 5x5 BLD"",OR(E27=2,E27=3,E27="&amp;"""Final""),H27&lt;&gt;""""),CONCATENATE(E27&amp;""-rundor brukar ej ha c.t.l.""),
AND(OR(E27=2,E27=3,E27=""Final""),I27&lt;&gt;""""),CONCATENATE(E27&amp;""-rundor brukar ej ha cutoff""),
AND(OR(C27=""3x3 FMC"",C27=""3x3 MBLD""),OR(E27=1,E27=2,E27=3,E27=""Final"")),CONCATENAT"&amp;"E(C27&amp;""s omgång är Rx - Ax""),
AND(C27&lt;&gt;""3x3 MBLD"",C27&lt;&gt;""3x3 FMC"",FILTER(Info!$D$2:D81, Info!$A$2:A81 = C27)&lt;&gt;F27),CONCATENATE(C27&amp;"" måste ha formatet ""&amp;FILTER(Info!$D$2:D81, Info!$A$2:A81 = C27)),
AND(C27=""3x3 MBLD"",OR(F27=""Avg of 5"",F27=""Mea"&amp;"n of 3"")),CONCATENATE(""Ogiltigt format för ""&amp;C27),
AND(C27=""3x3 FMC"",OR(F27=""Avg of 5"",F27=""Best of 3"")),CONCATENATE(""Ogiltigt format för ""&amp;C27),
AND(OR(F27=""Best of 1"",F27=""Best of 2"",F27=""Best of 3""),I27&lt;&gt;""""),CONCATENATE(F27&amp;""-rundor"&amp;" får ej ha cutoff""),
AND(OR(C27=""3x3 FMC"",C27=""3x3 MBLD""),G27&lt;&gt;60),CONCATENATE(C27&amp;"" måste ha time limit: 60""),
AND(OR(C27=""3x3 FMC"",C27=""3x3 MBLD""),H27&lt;&gt;""""),CONCATENATE(C27&amp;"" kan inte ha c.t.l.""),
AND(G27&lt;&gt;"""",H27&lt;&gt;""""),""Välj time limit"&amp;" ELLER c.t.l"",
AND(C27=""6x6 / 7x7"",G27="""",H27=""""),""Sätt time limit (x / y) eller c.t.l (z)"",
AND(G27="""",H27=""""),""Sätt en time limit eller c.t.l"",
AND(OR(C27=""6x6 / 7x7"",C27=""4x4 / 5x5 BLD""),G27&lt;&gt;"""",REGEXMATCH(TO_TEXT(G27),"" / "")=FAL"&amp;"SE),CONCATENATE(""Time limit måste vara x / y""),
AND(H27&lt;&gt;"""",I27&lt;&gt;""""),CONCATENATE(C27&amp;"" brukar ej ha cutoff OCH c.t.l""),
AND(E27=1,H27="""",I27="""",OR(FILTER(Info!$E$2:E81, Info!$A$2:A81 = C27) = ""Yes"",FILTER(Info!$F$2:F81, Info!$A$2:A81 = C27) "&amp;"= ""Yes""),OR(F27=""Avg of 5"",F27=""Mean of 3"")),CONCATENATE(C27&amp;"" bör ha cutoff eller c.t.l""),
AND(C27=""6x6 / 7x7"",I27&lt;&gt;"""",REGEXMATCH(TO_TEXT(I27),"" / "")=FALSE),CONCATENATE(""Cutoff måste vara x / y""),
AND(H27&lt;&gt;"""",ISNUMBER(H27)=FALSE),""C.t."&amp;"l. måste vara positivt tal (x)"",
AND(C27&lt;&gt;""6x6 / 7x7"",I27&lt;&gt;"""",ISNUMBER(I27)=FALSE),""Cutoff måste vara positivt tal (x)"",
AND(H27&lt;&gt;"""",FILTER(Info!$E$2:E81, Info!$A$2:A81 = C27) = ""No"",FILTER(Info!$F$2:F81, Info!$A$2:A81 = C27) = ""No""),CONCATEN"&amp;"ATE(C27&amp;"" brukar inte ha c.t.l.""),
AND(I27&lt;&gt;"""",FILTER(Info!$E$2:E81, Info!$A$2:A81 = C27) = ""No"",FILTER(Info!$F$2:F81, Info!$A$2:A81 = C27) = ""No""),CONCATENATE(C27&amp;"" brukar inte ha cutoff""),
AND(H27="""",FILTER(Info!$F$2:F81, Info!$A$2:A81 = C27"&amp;") = ""Yes""),CONCATENATE(C27&amp;"" brukar ha c.t.l.""),
AND(C27&lt;&gt;""6x6 / 7x7"",C27&lt;&gt;""4x4 / 5x5 BLD"",G27&lt;&gt;"""",ISNUMBER(G27)=FALSE),""Time limit måste vara positivt tal (x)"",
J27=""J - Error"",CONCATENATE(""För få deltagare i R1 för ""&amp;COUNTIF($C$7:$C$102,"&amp;"indirect(""C""&amp;row()))&amp;"" rundor""),
J27=""K2 - Error"",CONCATENATE(C27&amp;"" är mer populär - byt i K2!""),
AND(C27&lt;&gt;""6x6 / 7x7"",C27&lt;&gt;""4x4 / 5x5 BLD"",G27&lt;&gt;"""",I27&lt;&gt;"""",G27&lt;=I27),""Time limit måste vara &gt; cutoff"",
AND(C27&lt;&gt;""6x6 / 7x7"",C27&lt;&gt;""4x4 / 5"&amp;"x5 BLD"",H27&lt;&gt;"""",I27&lt;&gt;"""",H27&lt;=I27),""C.t.l. måste vara &gt; cutoff"",
AND(C27&lt;&gt;""3x3 FMC"",C27&lt;&gt;""3x3 MBLD"",J27=""""),CONCATENATE(""Fyll i antal deltagare i J""&amp;row()),
AND(C27="""",OR(E27&lt;&gt;"""",F27&lt;&gt;"""",G27&lt;&gt;"""",H27&lt;&gt;"""",I27&lt;&gt;"""",J27&lt;&gt;"""")),""Skri"&amp;"v ALLTID gren / aktivitet först"",
AND(I27="""",H27="""",J27&lt;&gt;""""),J27,
OR(""3x3 FMC""=C27,""3x3 MBLD""=C27),J27,
AND(I27&lt;&gt;"""",""6x6 / 7x7""=C27),
IFS(ArrayFormula(SUM(IFERROR(SPLIT(I27,"" / ""))))&lt;(Info!$J$6+Info!$J$7)*2/3,CONCATENATE(""Höj helst cutof"&amp;"fs i ""&amp;C27),
ArrayFormula(SUM(IFERROR(SPLIT(I27,"" / ""))))&lt;=(Info!$J$6+Info!$J$7),ROUNDUP(J27*Info!$J$22),
ArrayFormula(SUM(IFERROR(SPLIT(I27,"" / ""))))&lt;=Info!$J$6+Info!$J$7,ROUNDUP(J27*Info!$K$22),
ArrayFormula(SUM(IFERROR(SPLIT(I27,"" / ""))))&lt;=Info!"&amp;"$K$6+Info!$K$7,ROUNDUP(J27*Info!L$22),
ArrayFormula(SUM(IFERROR(SPLIT(I27,"" / ""))))&lt;=Info!$L$6+Info!$L$7,ROUNDUP(J27*Info!$M$22),
ArrayFormula(SUM(IFERROR(SPLIT(I27,"" / ""))))&lt;=Info!$M$6+Info!$M$7,ROUNDUP(J27*Info!$N$22),
ArrayFormula(SUM(IFERROR(SPLIT"&amp;"(I27,"" / ""))))&lt;=(Info!$N$6+Info!$N$7)*3/2,ROUNDUP(J27*Info!$J$26),
ArrayFormula(SUM(IFERROR(SPLIT(I27,"" / ""))))&gt;(Info!$N$6+Info!$N$7)*3/2,CONCATENATE(""Sänk helst cutoffs i ""&amp;C27)),
AND(I27&lt;&gt;"""",FILTER(Info!$E$2:E81, Info!$A$2:A81 = C27) = ""Yes""),"&amp;"
IFS(I27&lt;FILTER(Info!$J$2:J81, Info!$A$2:A81 = C27)*2/3,CONCATENATE(""Höj helst cutoff i ""&amp;C27),
I27&lt;=FILTER(Info!$J$2:J81, Info!$A$2:A81 = C27),ROUNDUP(J27*Info!$J$22),
I27&lt;=FILTER(Info!$K$2:K81, Info!$A$2:A81 = C27),ROUNDUP(J27*Info!$K$22),
I27&lt;=FILTER"&amp;"(Info!$L$2:L81, Info!$A$2:A81 = C27),ROUNDUP(J27*Info!L$22),
I27&lt;=FILTER(Info!$M$2:M81, Info!$A$2:A81 = C27),ROUNDUP(J27*Info!$M$22),
I27&lt;=FILTER(Info!$N$2:N81, Info!$A$2:A81 = C27),ROUNDUP(J27*Info!$N$22),
I27&lt;=FILTER(Info!$N$2:N81, Info!$A$2:A81 = C27)*"&amp;"3/2,ROUNDUP(J27*Info!$J$26),
I27&gt;FILTER(Info!$N$2:N81, Info!$A$2:A81 = C27)*3/2,CONCATENATE(""Sänk helst cutoff i ""&amp;C27)),
AND(H27&lt;&gt;"""",""6x6 / 7x7""=C27),
IFS(H27/3&lt;=(Info!$J$6+Info!$J$7)*2/3,""Höj helst cumulative time limit"",
H27/3&lt;=Info!$J$6+Info!$"&amp;"J$7,ROUNDUP(J27*Info!$J$24),
H27/3&lt;=Info!$K$6+Info!$K$7,ROUNDUP(J27*Info!$K$24),
H27/3&lt;=Info!$L$6+Info!$L$7,ROUNDUP(J27*Info!L$24),
H27/3&lt;=Info!$M$6+Info!$M$7,ROUNDUP(J27*Info!$M$24),
H27/3&lt;=Info!$N$6+Info!$N$7,ROUNDUP(J27*Info!$N$24),
H27/3&lt;=(Info!$N$6+I"&amp;"nfo!$N$7)*3/2,ROUNDUP(J27*Info!$L$26),
H27/3&gt;(Info!$J$6+Info!$J$7)*3/2,""Sänk helst cumulative time limit""),
AND(H27&lt;&gt;"""",FILTER(Info!$F$2:F81, Info!$A$2:A81 = C27) = ""Yes""),
IFS(H27&lt;=FILTER(Info!$J$2:J81, Info!$A$2:A81 = C27)*2/3,CONCATENATE(""Höj he"&amp;"lst c.t.l. i ""&amp;C27),
H27&lt;=FILTER(Info!$J$2:J81, Info!$A$2:A81 = C27),ROUNDUP(J27*Info!$J$24),
H27&lt;=FILTER(Info!$K$2:K81, Info!$A$2:A81 = C27),ROUNDUP(J27*Info!$K$24),
H27&lt;=FILTER(Info!$L$2:L81, Info!$A$2:A81 = C27),ROUNDUP(J27*Info!L$24),
H27&lt;=FILTER(Inf"&amp;"o!$M$2:M81, Info!$A$2:A81 = C27),ROUNDUP(J27*Info!$M$24),
H27&lt;=FILTER(Info!$N$2:N81, Info!$A$2:A81 = C27),ROUNDUP(J27*Info!$N$24),
H27&lt;=FILTER(Info!$N$2:N81, Info!$A$2:A81 = C27)*3/2,ROUNDUP(J27*Info!$L$26),
H27&gt;FILTER(Info!$N$2:N81, Info!$A$2:A81 = C27)*"&amp;"3/2,CONCATENATE(""Sänk helst c.t.l. i ""&amp;C27)),
AND(H27&lt;&gt;"""",FILTER(Info!$F$2:F81, Info!$A$2:A81 = C27) = ""No""),
IFS(H27/AA27&lt;=FILTER(Info!$J$2:J81, Info!$A$2:A81 = C27)*2/3,CONCATENATE(""Höj helst c.t.l. i ""&amp;C27),
H27/AA27&lt;=FILTER(Info!$J$2:J81, Info"&amp;"!$A$2:A81 = C27),ROUNDUP(J27*Info!$J$24),
H27/AA27&lt;=FILTER(Info!$K$2:K81, Info!$A$2:A81 = C27),ROUNDUP(J27*Info!$K$24),
H27/AA27&lt;=FILTER(Info!$L$2:L81, Info!$A$2:A81 = C27),ROUNDUP(J27*Info!L$24),
H27/AA27&lt;=FILTER(Info!$M$2:M81, Info!$A$2:A81 = C27),ROUND"&amp;"UP(J27*Info!$M$24),
H27/AA27&lt;=FILTER(Info!$N$2:N81, Info!$A$2:A81 = C27),ROUNDUP(J27*Info!$N$24),
H27/AA27&lt;=FILTER(Info!$N$2:N81, Info!$A$2:A81 = C27)*3/2,ROUNDUP(J27*Info!$L$26),
H27/AA27&gt;FILTER(Info!$N$2:N81, Info!$A$2:A81 = C27)*3/2,CONCATENATE(""Sänk "&amp;"helst c.t.l. i ""&amp;C27)),
AND(I27="""",H27&lt;&gt;"""",J27&lt;&gt;""""),ROUNDUP(J27*Info!$T$29),
AND(I27&lt;&gt;"""",H27="""",J27&lt;&gt;""""),ROUNDUP(J27*Info!$T$26))"),"")</f>
        <v/>
      </c>
      <c r="L27" s="42">
        <f>IFERROR(__xludf.DUMMYFUNCTION("IFS(C27="""",0,
C27=""3x3 FMC"",Info!$B$9*N27+M27, C27=""3x3 MBLD"",Info!$B$18*N27+M27,
COUNTIF(Info!$A$22:A81,C27)&gt;0,FILTER(Info!$B$22:B81,Info!$A$22:A81=C27)+M27,
AND(C27&lt;&gt;"""",E27=""""),CONCATENATE(""Fyll i E""&amp;row()),
AND(C27&lt;&gt;"""",E27&lt;&gt;"""",E27&lt;&gt;1,E2"&amp;"7&lt;&gt;2,E27&lt;&gt;3,E27&lt;&gt;""Final""),CONCATENATE(""Fel format på E""&amp;row()),
K27=CONCATENATE(""Runda ""&amp;E27&amp;"" i ""&amp;C27&amp;"" finns redan""),CONCATENATE(""Fel i E""&amp;row()),
AND(C27&lt;&gt;"""",F27=""""),CONCATENATE(""Fyll i F""&amp;row()),
K27=CONCATENATE(C27&amp;"" måste ha forma"&amp;"tet ""&amp;FILTER(Info!$D$2:D81, Info!$A$2:A81 = C27)),CONCATENATE(""Fel format på F""&amp;row()),
AND(C27&lt;&gt;"""",D27=1,H27="""",FILTER(Info!$F$2:F81, Info!$A$2:A81 = C27) = ""Yes""),CONCATENATE(""Fyll i H""&amp;row()),
AND(C27&lt;&gt;"""",D27=1,I27="""",FILTER(Info!$E$2:E8"&amp;"1, Info!$A$2:A81 = C27) = ""Yes""),CONCATENATE(""Fyll i I""&amp;row()),
AND(C27&lt;&gt;"""",J27=""""),CONCATENATE(""Fyll i J""&amp;row()),
AND(C27&lt;&gt;"""",K27="""",OR(H27&lt;&gt;"""",I27&lt;&gt;"""")),CONCATENATE(""Fyll i K""&amp;row()),
AND(C27&lt;&gt;"""",K27=""""),CONCATENATE(""Skriv samma"&amp;" i K""&amp;row()&amp;"" som i J""&amp;row()),
AND(OR(C27=""4x4 BLD"",C27=""5x5 BLD"",C27=""4x4 / 5x5 BLD"")=TRUE,V27&lt;=P27),
MROUND(H27*(Info!$T$20-((Info!$T$20-1)/2)*(1-V27/P27))*(1+((J27/K27)-1)*(1-Info!$J$24))*N27+(Info!$T$11/2)+(N27*Info!$T$11)+(N27*Info!$T$14*(O2"&amp;"7-1)),0.01)+M27,
AND(OR(C27=""4x4 BLD"",C27=""5x5 BLD"",C27=""4x4 / 5x5 BLD"")=TRUE,V27&gt;P27),
MROUND((((J27*Z27+K27*(AA27-Z27))*(H27*Info!$T$20/AA27))/X27)*(1+((J27/K27)-1)*(1-Info!$J$24))*(1+(X27-Info!$T$8)/100)+(Info!$T$11/2)+(N27*Info!$T$11)+(N27*Info!"&amp;"$T$14*(O27-1)),0.01)+M27,
AND(C27=""3x3 BLD"",V27&lt;=P27),
MROUND(H27*(Info!$T$23-((Info!$T$23-1)/2)*(1-V27/P27))*(1+((J27/K27)-1)*(1-Info!$J$24))*N27+(Info!$T$11/2)+(N27*Info!$T$11)+(N27*Info!$T$14*(O27-1)),0.01)+M27,
AND(C27=""3x3 BLD"",V27&gt;P27),
MROUND(("&amp;"((J27*Z27+K27*(AA27-Z27))*(H27*Info!$T$23/AA27))/X27)*(1+((J27/K27)-1)*(1-Info!$J$24))*(1+(X27-Info!$T$8)/100)+(Info!$T$11/2)+(N27*Info!$T$11)+(N27*Info!$T$14*(O27-1)),0.01)+M27,
E27=1,MROUND((((J27*Z27+K27*(AA27-Z27))*Y27)/X27)*(1+(X27-Info!$T$8)/100)+(N"&amp;"27*Info!$T$11)+(N27*Info!$T$14*(O27-1)),0.01)+M27,
AND(E27=""Final"",N27=1,FILTER(Info!$G$2:$G$20,Info!$A$2:$A$20=C27)=""Mycket svår""),
MROUND((((J27*Z27+K27*(AA27-Z27))*(Y27*Info!$T$38))/X27)*(1+(X27-Info!$T$8)/100)+(N27*Info!$T$11)+(N27*Info!$T$14*(O27"&amp;"-1)),0.01)+M27,
AND(E27=""Final"",N27=1,FILTER(Info!$G$2:$G$20,Info!$A$2:$A$20=C27)=""Svår""),
MROUND((((J27*Z27+K27*(AA27-Z27))*(Y27*Info!$T$35))/X27)*(1+(X27-Info!$T$8)/100)+(N27*Info!$T$11)+(N27*Info!$T$14*(O27-1)),0.01)+M27,
E27=""Final"",MROUND((((J2"&amp;"7*Z27+K27*(AA27-Z27))*(Y27*Info!$T$5))/X27)*(1+(X27-Info!$T$8)/100)+(N27*Info!$T$11)+(N27*Info!$T$14*(O27-1)),0.01)+M27,
OR(E27=2,E27=3),MROUND((((J27*Z27+K27*(AA27-Z27))*(Y27*Info!$T$2))/X27)*(1+(X27-Info!$T$8)/100)+(N27*Info!$T$11)+(N27*Info!$T$14*(O27-"&amp;"1)),0.01)+M27)"),0.0)</f>
        <v>0</v>
      </c>
      <c r="M27" s="43">
        <f t="shared" si="1"/>
        <v>0</v>
      </c>
      <c r="N27" s="43" t="str">
        <f>IFS(OR(COUNTIF(Info!$A$22:A81,C27)&gt;0,C27=""),"",
OR(C27="4x4 BLD",C27="5x5 BLD",C27="3x3 MBLD",C27="3x3 FMC",C27="4x4 / 5x5 BLD"),1,
AND(E27="Final",Q27="Yes",MAX(1,ROUNDUP(J27/P27))&gt;1),MAX(2,ROUNDUP(J27/P27)),
AND(E27="Final",Q27="No",MAX(1,ROUNDUP(J27/((P27*2)+2.625-Y27*1.5)))&gt;1),MAX(2,ROUNDUP(J27/((P27*2)+2.625-Y27*1.5))),
E27="Final",1,
Q27="Yes",MAX(2,ROUNDUP(J27/P27)),
TRUE,MAX(2,ROUNDUP(J27/((P27*2)+2.625-Y27*1.5))))</f>
        <v/>
      </c>
      <c r="O27" s="43" t="str">
        <f>IFS(OR(COUNTIF(Info!$A$22:A81,C27)&gt;0,C27=""),"",
OR("3x3 MBLD"=C27,"3x3 FMC"=C27)=TRUE,"",
D27=$E$4,$G$6,D27=$K$4,$M$6,D27=$Q$4,$S$6,D27=$W$4,$Y$6,
TRUE,$S$2)</f>
        <v/>
      </c>
      <c r="P27" s="43" t="str">
        <f>IFS(OR(COUNTIF(Info!$A$22:A81,C27)&gt;0,C27=""),"",
OR("3x3 MBLD"=C27,"3x3 FMC"=C27)=TRUE,"",
D27=$E$4,$E$6,D27=$K$4,$K$6,D27=$Q$4,$Q$6,D27=$W$4,$W$6,
TRUE,$Q$2)</f>
        <v/>
      </c>
      <c r="Q27" s="44" t="str">
        <f>IFS(OR(COUNTIF(Info!$A$22:A81,C27)&gt;0,C27=""),"",
OR("3x3 MBLD"=C27,"3x3 FMC"=C27)=TRUE,"",
D27=$E$4,$I$6,D27=$K$4,$O$6,D27=$Q$4,$U$6,D27=$W$4,$AA$6,
TRUE,$U$2)</f>
        <v/>
      </c>
      <c r="R27" s="45" t="str">
        <f>IFERROR(__xludf.DUMMYFUNCTION("IF(C27="""","""",IFERROR(FILTER(Info!$B$22:B81,Info!$A$22:A81=C27)+M27,""?""))"),"")</f>
        <v/>
      </c>
      <c r="S27" s="46" t="str">
        <f>IFS(OR(COUNTIF(Info!$A$22:A81,C27)&gt;0,C27=""),"",
AND(H27="",I27=""),J27,
TRUE,"?")</f>
        <v/>
      </c>
      <c r="T27" s="45" t="str">
        <f>IFS(OR(COUNTIF(Info!$A$22:A81,C27)&gt;0,C27=""),"",
AND(L27&lt;&gt;0,OR(R27="?",R27="")),"Fyll i R-kolumnen",
OR(C27="3x3 FMC",C27="3x3 MBLD"),R27,
AND(L27&lt;&gt;0,OR(S27="?",S27="")),"Fyll i S-kolumnen",
OR(COUNTIF(Info!$A$22:A81,C27)&gt;0,C27=""),"",
TRUE,Y27*R27/L27)</f>
        <v/>
      </c>
      <c r="U27" s="45"/>
      <c r="V27" s="47" t="str">
        <f>IFS(OR(COUNTIF(Info!$A$22:A81,C27)&gt;0,C27=""),"",
OR("3x3 MBLD"=C27,"3x3 FMC"=C27)=TRUE,"",
TRUE,MROUND((J27/N27),0.01))</f>
        <v/>
      </c>
      <c r="W27" s="48" t="str">
        <f>IFS(OR(COUNTIF(Info!$A$22:A81,C27)&gt;0,C27=""),"",
TRUE,L27/N27)</f>
        <v/>
      </c>
      <c r="X27" s="49" t="str">
        <f>IFS(OR(COUNTIF(Info!$A$22:A81,C27)&gt;0,C27=""),"",
OR("3x3 MBLD"=C27,"3x3 FMC"=C27)=TRUE,"",
OR(C27="4x4 BLD",C27="5x5 BLD",C27="4x4 / 5x5 BLD",AND(C27="3x3 BLD",H27&lt;&gt;""))=TRUE,MIN(V27,P27),
TRUE,MIN(P27,V27,MROUND(((V27*2/3)+((Y27-1.625)/2)),0.01)))</f>
        <v/>
      </c>
      <c r="Y27" s="48" t="str">
        <f>IFERROR(__xludf.DUMMYFUNCTION("IFS(OR(COUNTIF(Info!$A$22:A81,C27)&gt;0,C27=""""),"""",
FILTER(Info!$F$2:F81, Info!$A$2:A81 = C27) = ""Yes"",H27/AA27,
""3x3 FMC""=C27,Info!$B$9,""3x3 MBLD""=C27,Info!$B$18,
AND(E27=1,I27="""",H27="""",Q27=""No"",G27&gt;SUMIF(Info!$A$2:A81,C27,Info!$B$2:B81)*1."&amp;"5),
MIN(SUMIF(Info!$A$2:A81,C27,Info!$B$2:B81)*1.1,SUMIF(Info!$A$2:A81,C27,Info!$B$2:B81)*(1.15-(0.15*(SUMIF(Info!$A$2:A81,C27,Info!$B$2:B81)*1.5)/G27))),
AND(E27=1,I27="""",H27="""",Q27=""Yes"",G27&gt;SUMIF(Info!$A$2:A81,C27,Info!$C$2:C81)*1.5),
MIN(SUMIF(I"&amp;"nfo!$A$2:A81,C27,Info!$C$2:C81)*1.1,SUMIF(Info!$A$2:A81,C27,Info!$C$2:C81)*(1.15-(0.15*(SUMIF(Info!$A$2:A81,C27,Info!$C$2:C81)*1.5)/G27))),
Q27=""No"",SUMIF(Info!$A$2:A81,C27,Info!$B$2:B81),
Q27=""Yes"",SUMIF(Info!$A$2:A81,C27,Info!$C$2:C81))"),"")</f>
        <v/>
      </c>
      <c r="Z27" s="47" t="str">
        <f>IFS(OR(COUNTIF(Info!$A$22:A81,C27)&gt;0,C27=""),"",
AND(OR("3x3 FMC"=C27,"3x3 MBLD"=C27),I27&lt;&gt;""),1,
AND(OR(H27&lt;&gt;"",I27&lt;&gt;""),F27="Avg of 5"),2,
F27="Avg of 5",AA27,
AND(OR(H27&lt;&gt;"",I27&lt;&gt;""),F27="Mean of 3",C27="6x6 / 7x7"),2,
AND(OR(H27&lt;&gt;"",I27&lt;&gt;""),F27="Mean of 3"),1,
F27="Mean of 3",AA27,
AND(OR(H27&lt;&gt;"",I27&lt;&gt;""),F27="Best of 3",C27="4x4 / 5x5 BLD"),2,
AND(OR(H27&lt;&gt;"",I27&lt;&gt;""),F27="Best of 3"),1,
F27="Best of 2",AA27,
F27="Best of 1",AA27)</f>
        <v/>
      </c>
      <c r="AA27" s="47" t="str">
        <f>IFS(OR(COUNTIF(Info!$A$22:A81,C27)&gt;0,C27=""),"",
AND(OR("3x3 MBLD"=C27,"3x3 FMC"=C27),F27="Best of 1"=TRUE),1,
AND(OR("3x3 MBLD"=C27,"3x3 FMC"=C27),F27="Best of 2"=TRUE),2,
AND(OR("3x3 MBLD"=C27,"3x3 FMC"=C27),OR(F27="Best of 3",F27="Mean of 3")=TRUE),3,
AND(F27="Mean of 3",C27="6x6 / 7x7"),6,
AND(F27="Best of 3",C27="4x4 / 5x5 BLD"),6,
F27="Avg of 5",5,F27="Mean of 3",3,F27="Best of 3",3,F27="Best of 2",2,F27="Best of 1",1)</f>
        <v/>
      </c>
      <c r="AB27" s="50"/>
    </row>
    <row r="28" ht="15.75" customHeight="1">
      <c r="A28" s="51" t="s">
        <v>28</v>
      </c>
      <c r="B28" s="51"/>
      <c r="C28" s="52"/>
      <c r="D28" s="53"/>
      <c r="E28" s="6"/>
      <c r="F28" s="54"/>
      <c r="G28" s="55"/>
      <c r="H28" s="55"/>
      <c r="I28" s="55"/>
      <c r="J28" s="55"/>
      <c r="K28" s="55"/>
      <c r="L28" s="56"/>
      <c r="M28" s="55"/>
      <c r="N28" s="55"/>
      <c r="O28" s="55"/>
      <c r="P28" s="55"/>
      <c r="Q28" s="55"/>
      <c r="R28" s="56" t="str">
        <f>$L$28</f>
        <v/>
      </c>
      <c r="S28" s="55"/>
      <c r="T28" s="55"/>
      <c r="U28" s="55"/>
      <c r="V28" s="55"/>
      <c r="W28" s="55"/>
      <c r="X28" s="55"/>
      <c r="Y28" s="55"/>
      <c r="Z28" s="55"/>
      <c r="AA28" s="55"/>
      <c r="AB28" s="56"/>
    </row>
    <row r="29" ht="15.75" customHeight="1">
      <c r="A29" s="28">
        <v>9.0</v>
      </c>
      <c r="B29" s="28">
        <v>0.0</v>
      </c>
      <c r="C29" s="57">
        <v>44563.0</v>
      </c>
      <c r="D29" s="58" t="str">
        <f>$E$2</f>
        <v>Stora salen</v>
      </c>
      <c r="E29" s="59"/>
      <c r="F29" s="28"/>
      <c r="G29" s="60"/>
      <c r="H29" s="60"/>
      <c r="I29" s="60"/>
      <c r="J29" s="60"/>
      <c r="K29" s="60"/>
      <c r="L29" s="61">
        <f>IFERROR(__xludf.DUMMYFUNCTION("IF($O$2=""No"",1440-($A$6*60+$B$6)-SUM($L$7:indirect(""L""&amp;row()-2))+($A$29*60+$B$29),
1440-($A$6*60+$B$6)-SUM(FILTER($L$7:indirect(""L""&amp;row()-2),REGEXMATCH($D$7:indirect(""D""&amp;row()-2),$E$2)))+($A$29*60+$B$29))"),1380.0)</f>
        <v>1380</v>
      </c>
      <c r="M29" s="60"/>
      <c r="N29" s="60"/>
      <c r="O29" s="60"/>
      <c r="P29" s="60"/>
      <c r="Q29" s="60"/>
      <c r="R29" s="61">
        <f>$L$29</f>
        <v>1380</v>
      </c>
      <c r="S29" s="60"/>
      <c r="T29" s="60"/>
      <c r="U29" s="60"/>
      <c r="V29" s="60"/>
      <c r="W29" s="60"/>
      <c r="X29" s="60"/>
      <c r="Y29" s="60"/>
      <c r="Z29" s="60"/>
      <c r="AA29" s="60"/>
      <c r="AB29" s="61"/>
    </row>
    <row r="30" ht="15.75" customHeight="1">
      <c r="A30" s="16" t="s">
        <v>33</v>
      </c>
      <c r="B30" s="16" t="s">
        <v>34</v>
      </c>
      <c r="C30" s="19" t="s">
        <v>35</v>
      </c>
      <c r="D30" s="20" t="s">
        <v>36</v>
      </c>
      <c r="E30" s="20" t="s">
        <v>37</v>
      </c>
      <c r="F30" s="20" t="s">
        <v>38</v>
      </c>
      <c r="G30" s="20" t="s">
        <v>39</v>
      </c>
      <c r="H30" s="20" t="s">
        <v>40</v>
      </c>
      <c r="I30" s="20" t="s">
        <v>41</v>
      </c>
      <c r="J30" s="20" t="s">
        <v>42</v>
      </c>
      <c r="K30" s="20" t="s">
        <v>59</v>
      </c>
      <c r="L30" s="16" t="s">
        <v>44</v>
      </c>
      <c r="M30" s="17" t="s">
        <v>45</v>
      </c>
      <c r="N30" s="17" t="s">
        <v>46</v>
      </c>
      <c r="O30" s="17" t="s">
        <v>47</v>
      </c>
      <c r="P30" s="17" t="s">
        <v>48</v>
      </c>
      <c r="Q30" s="17" t="s">
        <v>32</v>
      </c>
      <c r="R30" s="21" t="s">
        <v>49</v>
      </c>
      <c r="S30" s="21"/>
      <c r="T30" s="33" t="s">
        <v>51</v>
      </c>
      <c r="U30" s="33"/>
      <c r="V30" s="18" t="s">
        <v>53</v>
      </c>
      <c r="W30" s="34" t="s">
        <v>54</v>
      </c>
      <c r="X30" s="18" t="s">
        <v>55</v>
      </c>
      <c r="Y30" s="18" t="s">
        <v>60</v>
      </c>
      <c r="Z30" s="18" t="s">
        <v>57</v>
      </c>
      <c r="AA30" s="18" t="s">
        <v>58</v>
      </c>
      <c r="AB30" s="8"/>
    </row>
    <row r="31" ht="15.75" customHeight="1">
      <c r="A31" s="35">
        <f>IFERROR(__xludf.DUMMYFUNCTION("IFS(indirect(""A""&amp;row()-1)=""Start"",TIME(indirect(""A""&amp;row()-2),indirect(""B""&amp;row()-2),0),
$O$2=""No"",TIME(0,($A$6*60+$B$6)+CEILING(SUM($L$7:indirect(""L""&amp;row()-1)),5),0),
D31=$E$2,TIME(0,($A$6*60+$B$6)+CEILING(SUM(IFERROR(FILTER($L$7:indirect(""L"""&amp;"&amp;row()-1),REGEXMATCH($D$7:indirect(""D""&amp;row()-1),$E$2)),0)),5),0),
TRUE,""=time(hh;mm;ss)"")"),0.375)</f>
        <v>0.375</v>
      </c>
      <c r="B31" s="36">
        <f>IFERROR(__xludf.DUMMYFUNCTION("IFS($O$2=""No"",TIME(0,($A$6*60+$B$6)+CEILING(SUM($L$7:indirect(""L""&amp;row())),5),0),
D31=$E$2,TIME(0,($A$6*60+$B$6)+CEILING(SUM(FILTER($L$7:indirect(""L""&amp;row()),REGEXMATCH($D$7:indirect(""D""&amp;row()),$E$2))),5),0),
A31=""=time(hh;mm;ss)"",CONCATENATE(""Sk"&amp;"riv tid i A""&amp;row()),
AND(A31&lt;&gt;"""",A31&lt;&gt;""=time(hh;mm;ss)""),A31+TIME(0,CEILING(indirect(""L""&amp;row()),5),0))"),0.375)</f>
        <v>0.375</v>
      </c>
      <c r="C31" s="37"/>
      <c r="D31" s="38" t="str">
        <f t="shared" ref="D31:D50" si="3">IFS($M$2=1,$E$2,
AND($M$2&gt;1,OR(C31="4x4 BLD",C31="5x5 BLD",C31="3x3 MBLD",C31="4x4 / 5x5 BLD")),$E$4,
$M$2&gt;1,$E$2)</f>
        <v>Stora salen</v>
      </c>
      <c r="E31" s="38" t="str">
        <f>IFERROR(__xludf.DUMMYFUNCTION("IFS(COUNTIF(Info!$A$22:A81,C31)&gt;0,"""",
AND(OR(""3x3 FMC""=C31,""3x3 MBLD""=C31),COUNTIF($C$7:indirect(""C""&amp;row()),indirect(""C""&amp;row()))&gt;=13),""E - Error"",
AND(OR(""3x3 FMC""=C31,""3x3 MBLD""=C31),COUNTIF($C$7:indirect(""C""&amp;row()),indirect(""C""&amp;row()"&amp;"))=12),""Final - A3"",
AND(OR(""3x3 FMC""=C31,""3x3 MBLD""=C31),COUNTIF($C$7:indirect(""C""&amp;row()),indirect(""C""&amp;row()))=11),""Final - A2"",
AND(OR(""3x3 FMC""=C31,""3x3 MBLD""=C31),COUNTIF($C$7:indirect(""C""&amp;row()),indirect(""C""&amp;row()))=10),""Final - "&amp;"A1"",
AND(OR(""3x3 FMC""=C31,""3x3 MBLD""=C31),COUNTIF($C$7:indirect(""C""&amp;row()),indirect(""C""&amp;row()))=9,
COUNTIF($C$7:$C$102,indirect(""C""&amp;row()))&gt;9),""R3 - A3"",
AND(OR(""3x3 FMC""=C31,""3x3 MBLD""=C31),COUNTIF($C$7:indirect(""C""&amp;row()),indirect(""C"&amp;"""&amp;row()))=9,
COUNTIF($C$7:$C$102,indirect(""C""&amp;row()))&lt;=9),""Final - A3"",
AND(OR(""3x3 FMC""=C31,""3x3 MBLD""=C31),COUNTIF($C$7:indirect(""C""&amp;row()),indirect(""C""&amp;row()))=8,
COUNTIF($C$7:$C$102,indirect(""C""&amp;row()))&gt;9),""R3 - A2"",
AND(OR(""3x3 FMC"&amp;"""=C31,""3x3 MBLD""=C31),COUNTIF($C$7:indirect(""C""&amp;row()),indirect(""C""&amp;row()))=8,
COUNTIF($C$7:$C$102,indirect(""C""&amp;row()))&lt;=9),""Final - A2"",
AND(OR(""3x3 FMC""=C31,""3x3 MBLD""=C31),COUNTIF($C$7:indirect(""C""&amp;row()),indirect(""C""&amp;row()))=7,
COUN"&amp;"TIF($C$7:$C$102,indirect(""C""&amp;row()))&gt;9),""R3 - A1"",
AND(OR(""3x3 FMC""=C31,""3x3 MBLD""=C31),COUNTIF($C$7:indirect(""C""&amp;row()),indirect(""C""&amp;row()))=7,
COUNTIF($C$7:$C$102,indirect(""C""&amp;row()))&lt;=9),""Final - A1"",
AND(OR(""3x3 FMC""=C31,""3x3 MBLD"""&amp;"=C31),COUNTIF($C$7:indirect(""C""&amp;row()),indirect(""C""&amp;row()))=6,
COUNTIF($C$7:$C$102,indirect(""C""&amp;row()))&gt;6),""R2 - A3"",
AND(OR(""3x3 FMC""=C31,""3x3 MBLD""=C31),COUNTIF($C$7:indirect(""C""&amp;row()),indirect(""C""&amp;row()))=6,
COUNTIF($C$7:$C$102,indirec"&amp;"t(""C""&amp;row()))&lt;=6),""Final - A3"",
AND(OR(""3x3 FMC""=C31,""3x3 MBLD""=C31),COUNTIF($C$7:indirect(""C""&amp;row()),indirect(""C""&amp;row()))=5,
COUNTIF($C$7:$C$102,indirect(""C""&amp;row()))&gt;6),""R2 - A2"",
AND(OR(""3x3 FMC""=C31,""3x3 MBLD""=C31),COUNTIF($C$7:indi"&amp;"rect(""C""&amp;row()),indirect(""C""&amp;row()))=5,
COUNTIF($C$7:$C$102,indirect(""C""&amp;row()))&lt;=6),""Final - A2"",
AND(OR(""3x3 FMC""=C31,""3x3 MBLD""=C31),COUNTIF($C$7:indirect(""C""&amp;row()),indirect(""C""&amp;row()))=4,
COUNTIF($C$7:$C$102,indirect(""C""&amp;row()))&gt;6),"&amp;"""R2 - A1"",
AND(OR(""3x3 FMC""=C31,""3x3 MBLD""=C31),COUNTIF($C$7:indirect(""C""&amp;row()),indirect(""C""&amp;row()))=4,
COUNTIF($C$7:$C$102,indirect(""C""&amp;row()))&lt;=6),""Final - A1"",
AND(OR(""3x3 FMC""=C31,""3x3 MBLD""=C31),COUNTIF($C$7:indirect(""C""&amp;row()),i"&amp;"ndirect(""C""&amp;row()))=3),""R1 - A3"",
AND(OR(""3x3 FMC""=C31,""3x3 MBLD""=C31),COUNTIF($C$7:indirect(""C""&amp;row()),indirect(""C""&amp;row()))=2),""R1 - A2"",
AND(OR(""3x3 FMC""=C31,""3x3 MBLD""=C31),COUNTIF($C$7:indirect(""C""&amp;row()),indirect(""C""&amp;row()))=1),"&amp;"""R1 -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C31),ROUNDUP((FILTER(Info!$H$2:H81,Info!$A$2:A81=C31)/FILTER(Info!$H$2:H81,Info!$A$2:A81=$K$2))*$I$2)&gt;99),3,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C31),ROUNDUP((FILTER(Info!$H$2:H81,Info!$A$2:A81=C31)/FILTER(Info!$H$2:H81,Info!$A$2:A81=$K$2))*$I$2)&gt;15),2,
AND(COUNTIF($C$7:indirect(""C""&amp;row()),indirect(""C""&amp;row()))=2,COUNTIF($C$7:$C$102,indirect(""C""&amp;row()))=COUNTIF($"&amp;"C$7:indirect(""C""&amp;row()),indirect(""C""&amp;row()))),""Final"",
COUNTIF($C$7:indirect(""C""&amp;row()),indirect(""C""&amp;row()))=1,1,
COUNTIF($C$7:indirect(""C""&amp;row()),indirect(""C""&amp;row()))=0,"""")"),"")</f>
        <v/>
      </c>
      <c r="F31" s="39" t="str">
        <f>IFERROR(__xludf.DUMMYFUNCTION("IFS(C31="""","""",
AND(C31=""3x3 FMC"",MOD(COUNTIF($C$7:indirect(""C""&amp;row()),indirect(""C""&amp;row())),3)=0),""Mean of 3"",
AND(C31=""3x3 MBLD"",MOD(COUNTIF($C$7:indirect(""C""&amp;row()),indirect(""C""&amp;row())),3)=0),""Best of 3"",
AND(C31=""3x3 FMC"",MOD(COUNT"&amp;"IF($C$7:indirect(""C""&amp;row()),indirect(""C""&amp;row())),3)=2,
COUNTIF($C$7:$C$102,indirect(""C""&amp;row()))&lt;=COUNTIF($C$7:indirect(""C""&amp;row()),indirect(""C""&amp;row()))),""Best of 2"",
AND(C31=""3x3 FMC"",MOD(COUNTIF($C$7:indirect(""C""&amp;row()),indirect(""C""&amp;row("&amp;"))),3)=2,
COUNTIF($C$7:$C$102,indirect(""C""&amp;row()))&gt;COUNTIF($C$7:indirect(""C""&amp;row()),indirect(""C""&amp;row()))),""Mean of 3"",
AND(C31=""3x3 MBLD"",MOD(COUNTIF($C$7:indirect(""C""&amp;row()),indirect(""C""&amp;row())),3)=2,
COUNTIF($C$7:$C$102,indirect(""C""&amp;row("&amp;")))&lt;=COUNTIF($C$7:indirect(""C""&amp;row()),indirect(""C""&amp;row()))),""Best of 2"",
AND(C31=""3x3 MBLD"",MOD(COUNTIF($C$7:indirect(""C""&amp;row()),indirect(""C""&amp;row())),3)=2,
COUNTIF($C$7:$C$102,indirect(""C""&amp;row()))&gt;COUNTIF($C$7:indirect(""C""&amp;row()),indirect("&amp;"""C""&amp;row()))),""Best of 3"",
AND(C31=""3x3 FMC"",MOD(COUNTIF($C$7:indirect(""C""&amp;row()),indirect(""C""&amp;row())),3)=1,
COUNTIF($C$7:$C$102,indirect(""C""&amp;row()))&lt;=COUNTIF($C$7:indirect(""C""&amp;row()),indirect(""C""&amp;row()))),""Best of 1"",
AND(C31=""3x3 FMC"""&amp;",MOD(COUNTIF($C$7:indirect(""C""&amp;row()),indirect(""C""&amp;row())),3)=1,
COUNTIF($C$7:$C$102,indirect(""C""&amp;row()))=COUNTIF($C$7:indirect(""C""&amp;row()),indirect(""C""&amp;row()))+1),""Best of 2"",
AND(C31=""3x3 FMC"",MOD(COUNTIF($C$7:indirect(""C""&amp;row()),indirect"&amp;"(""C""&amp;row())),3)=1,
COUNTIF($C$7:$C$102,indirect(""C""&amp;row()))&gt;COUNTIF($C$7:indirect(""C""&amp;row()),indirect(""C""&amp;row()))),""Mean of 3"",
AND(C31=""3x3 MBLD"",MOD(COUNTIF($C$7:indirect(""C""&amp;row()),indirect(""C""&amp;row())),3)=1,
COUNTIF($C$7:$C$102,indirect"&amp;"(""C""&amp;row()))&lt;=COUNTIF($C$7:indirect(""C""&amp;row()),indirect(""C""&amp;row()))),""Best of 1"",
AND(C31=""3x3 MBLD"",MOD(COUNTIF($C$7:indirect(""C""&amp;row()),indirect(""C""&amp;row())),3)=1,
COUNTIF($C$7:$C$102,indirect(""C""&amp;row()))=COUNTIF($C$7:indirect(""C""&amp;row()"&amp;"),indirect(""C""&amp;row()))+1),""Best of 2"",
AND(C31=""3x3 MBLD"",MOD(COUNTIF($C$7:indirect(""C""&amp;row()),indirect(""C""&amp;row())),3)=1,
COUNTIF($C$7:$C$102,indirect(""C""&amp;row()))&gt;COUNTIF($C$7:indirect(""C""&amp;row()),indirect(""C""&amp;row()))),""Best of 3"",
TRUE,("&amp;"IFERROR(FILTER(Info!$D$2:D81, Info!$A$2:A81 = C31), """")))"),"")</f>
        <v/>
      </c>
      <c r="G31" s="40" t="str">
        <f>IFERROR(__xludf.DUMMYFUNCTION("IFS(OR(COUNTIF(Info!$A$22:A81,C31)&gt;0,C31=""""),"""",
OR(""3x3 MBLD""=C31,""3x3 FMC""=C31),60,
AND(E31=1,FILTER(Info!$F$2:F81, Info!$A$2:A81 = C31) = ""No""),FILTER(Info!$P$2:P81, Info!$A$2:A81 = C31),
AND(E31=2,FILTER(Info!$F$2:F81, Info!$A$2:A81 = C31) ="&amp;" ""No""),FILTER(Info!$Q$2:Q81, Info!$A$2:A81 = C31),
AND(E31=3,FILTER(Info!$F$2:F81, Info!$A$2:A81 = C31) = ""No""),FILTER(Info!$R$2:R81, Info!$A$2:A81 = C31),
AND(E31=""Final"",FILTER(Info!$F$2:F81, Info!$A$2:A81 = C31) = ""No""),FILTER(Info!$S$2:S81, In"&amp;"fo!$A$2:A81 = C31),
FILTER(Info!$F$2:F81, Info!$A$2:A81 = C31) = ""Yes"","""")"),"")</f>
        <v/>
      </c>
      <c r="H31" s="40" t="str">
        <f>IFERROR(__xludf.DUMMYFUNCTION("IFS(OR(COUNTIF(Info!$A$22:A81,C31)&gt;0,C31=""""),"""",
OR(""3x3 MBLD""=C31,""3x3 FMC""=C31)=TRUE,"""",
FILTER(Info!$F$2:F81, Info!$A$2:A81 = C31) = ""Yes"",FILTER(Info!$O$2:O81, Info!$A$2:A81 = C31),
FILTER(Info!$F$2:F81, Info!$A$2:A81 = C31) = ""No"",IF(G3"&amp;"1="""",FILTER(Info!$O$2:O81, Info!$A$2:A81 = C31),""""))"),"")</f>
        <v/>
      </c>
      <c r="I31" s="40" t="str">
        <f>IFERROR(__xludf.DUMMYFUNCTION("IFS(OR(COUNTIF(Info!$A$22:A81,C31)&gt;0,C31="""",H31&lt;&gt;""""),"""",
AND(E31&lt;&gt;1,E31&lt;&gt;""R1 - A1"",E31&lt;&gt;""R1 - A2"",E31&lt;&gt;""R1 - A3""),"""",
FILTER(Info!$E$2:E81, Info!$A$2:A81 = C31) = ""Yes"",IF(H31="""",FILTER(Info!$L$2:L81, Info!$A$2:A81 = C31),""""),
FILTER(I"&amp;"nfo!$E$2:E81, Info!$A$2:A81 = C31) = ""No"","""")"),"")</f>
        <v/>
      </c>
      <c r="J31" s="40" t="str">
        <f>IFERROR(__xludf.DUMMYFUNCTION("IFS(OR(COUNTIF(Info!$A$22:A81,C31)&gt;0,C31="""",""3x3 MBLD""=C31,""3x3 FMC""=C31),"""",
AND(E31=1,FILTER(Info!$H$2:H81,Info!$A$2:A81 = C31)&lt;=FILTER(Info!$H$2:H81,Info!$A$2:A81=$K$2)),
ROUNDUP((FILTER(Info!$H$2:H81,Info!$A$2:A81 = C31)/FILTER(Info!$H$2:H81,I"&amp;"nfo!$A$2:A81=$K$2))*$I$2),
AND(E31=1,FILTER(Info!$H$2:H81,Info!$A$2:A81 = C31)&gt;FILTER(Info!$H$2:H81,Info!$A$2:A81=$K$2)),""K2 - Error"",
AND(E31=2,FILTER($J$7:indirect(""J""&amp;row()-1),$C$7:indirect(""C""&amp;row()-1)=C31)&lt;=7),""J - Error"",
E31=2,FLOOR(FILTER("&amp;"$J$7:indirect(""J""&amp;row()-1),$C$7:indirect(""C""&amp;row()-1)=C31)*Info!$T$32),
AND(E31=3,FILTER($J$7:indirect(""J""&amp;row()-1),$C$7:indirect(""C""&amp;row()-1)=C31)&lt;=15),""J - Error"",
E31=3,FLOOR(Info!$T$32*FLOOR(FILTER($J$7:indirect(""J""&amp;row()-1),$C$7:indirect("&amp;"""C""&amp;row()-1)=C31)*Info!$T$32)),
AND(E31=""Final"",COUNTIF($C$7:$C$102,C31)=2,FILTER($J$7:indirect(""J""&amp;row()-1),$C$7:indirect(""C""&amp;row()-1)=C31)&lt;=7),""J - Error"",
AND(E31=""Final"",COUNTIF($C$7:$C$102,C31)=2),
MIN(P31,FLOOR(FILTER($J$7:indirect(""J"""&amp;"&amp;row()-1),$C$7:indirect(""C""&amp;row()-1)=C31)*Info!$T$32)),
AND(E31=""Final"",COUNTIF($C$7:$C$102,C31)=3,FILTER($J$7:indirect(""J""&amp;row()-1),$C$7:indirect(""C""&amp;row()-1)=C31)&lt;=15),""J - Error"",
AND(E31=""Final"",COUNTIF($C$7:$C$102,C31)=3),
MIN(P31,FLOOR(I"&amp;"nfo!$T$32*FLOOR(FILTER($J$7:indirect(""J""&amp;row()-1),$C$7:indirect(""C""&amp;row()-1)=C31)*Info!$T$32))),
AND(E31=""Final"",COUNTIF($C$7:$C$102,C31)&gt;=4,FILTER($J$7:indirect(""J""&amp;row()-1),$C$7:indirect(""C""&amp;row()-1)=C31)&lt;=99),""J - Error"",
AND(E31=""Final"","&amp;"COUNTIF($C$7:$C$102,C31)&gt;=4),
MIN(P31,FLOOR(Info!$T$32*FLOOR(Info!$T$32*FLOOR(FILTER($J$7:indirect(""J""&amp;row()-1),$C$7:indirect(""C""&amp;row()-1)=C31)*Info!$T$32)))))"),"")</f>
        <v/>
      </c>
      <c r="K31" s="41" t="str">
        <f>IFERROR(__xludf.DUMMYFUNCTION("IFS(AND(indirect(""D""&amp;row()+2)&lt;&gt;$E$2,indirect(""D""&amp;row()+1)=""""),CONCATENATE(""Tom rad! Kopiera hela rad ""&amp;row()&amp;"" dit""),
AND(indirect(""D""&amp;row()-1)&lt;&gt;""Rum"",indirect(""D""&amp;row()-1)=""""),CONCATENATE(""Tom rad! Kopiera hela rad ""&amp;row()&amp;"" dit""),
"&amp;"C31="""","""",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OR(AND(D31&lt;&gt;$E$2,D31&lt;&gt;$E$4,D31&lt;&gt;$K$4,D31&lt;&gt;$Q$4),D31="&amp;"""""),CONCATENATE(""Rum: ""&amp;D31&amp;"" finns ej, byt i D""&amp;row()),
AND(indirect(""D""&amp;row()-1)=""Rum"",C31=""""),CONCATENATE(""För att börja: skriv i cell C""&amp;row()),
AND(C31=""Paus"",M31&lt;=0),CONCATENATE(""Skriv pausens längd i M""&amp;row()),
OR(COUNTIF(Info!$A$"&amp;"22:A81,C31)&gt;0,C31=""""),"""",
AND(D31&lt;&gt;$E$2,$O$2=""Yes"",A31=""=time(hh;mm;ss)""),CONCATENATE(""Skriv starttid för ""&amp;C31&amp;"" i A""&amp;row()),
E31=""E - Error"",CONCATENATE(""För många ""&amp;C31&amp;"" rundor!""),
AND(C31&lt;&gt;""3x3 FMC"",C31&lt;&gt;""3x3 MBLD"",E31&lt;&gt;1,E31&lt;&gt;"&amp;"""Final"",IFERROR(FILTER($E$7:indirect(""E""&amp;row()-1),
$E$7:indirect(""E""&amp;row()-1)=E31-1,$C$7:indirect(""C""&amp;row()-1)=C31))=FALSE),CONCATENATE(""Kan ej vara R""&amp;E31&amp;"", saknar R""&amp;(E31-1)),
AND(indirect(""E""&amp;row()-1)&lt;&gt;""Omgång"",IFERROR(FILTER($E$7:indi"&amp;"rect(""E""&amp;row()-1),
$E$7:indirect(""E""&amp;row()-1)=E31,$C$7:indirect(""C""&amp;row()-1)=C31)=E31)=TRUE),CONCATENATE(""Runda ""&amp;E31&amp;"" i ""&amp;C31&amp;"" finns redan""),
AND(C31&lt;&gt;""3x3 BLD"",C31&lt;&gt;""4x4 BLD"",C31&lt;&gt;""5x5 BLD"",C31&lt;&gt;""4x4 / 5x5 BLD"",OR(E31=2,E31=3,E31="&amp;"""Final""),H31&lt;&gt;""""),CONCATENATE(E31&amp;""-rundor brukar ej ha c.t.l.""),
AND(OR(E31=2,E31=3,E31=""Final""),I31&lt;&gt;""""),CONCATENATE(E31&amp;""-rundor brukar ej ha cutoff""),
AND(OR(C31=""3x3 FMC"",C31=""3x3 MBLD""),OR(E31=1,E31=2,E31=3,E31=""Final"")),CONCATENAT"&amp;"E(C31&amp;""s omgång är Rx - Ax""),
AND(C31&lt;&gt;""3x3 MBLD"",C31&lt;&gt;""3x3 FMC"",FILTER(Info!$D$2:D81, Info!$A$2:A81 = C31)&lt;&gt;F31),CONCATENATE(C31&amp;"" måste ha formatet ""&amp;FILTER(Info!$D$2:D81, Info!$A$2:A81 = C31)),
AND(C31=""3x3 MBLD"",OR(F31=""Avg of 5"",F31=""Mea"&amp;"n of 3"")),CONCATENATE(""Ogiltigt format för ""&amp;C31),
AND(C31=""3x3 FMC"",OR(F31=""Avg of 5"",F31=""Best of 3"")),CONCATENATE(""Ogiltigt format för ""&amp;C31),
AND(OR(F31=""Best of 1"",F31=""Best of 2"",F31=""Best of 3""),I31&lt;&gt;""""),CONCATENATE(F31&amp;""-rundor"&amp;" får ej ha cutoff""),
AND(OR(C31=""3x3 FMC"",C31=""3x3 MBLD""),G31&lt;&gt;60),CONCATENATE(C31&amp;"" måste ha time limit: 60""),
AND(OR(C31=""3x3 FMC"",C31=""3x3 MBLD""),H31&lt;&gt;""""),CONCATENATE(C31&amp;"" kan inte ha c.t.l.""),
AND(G31&lt;&gt;"""",H31&lt;&gt;""""),""Välj time limit"&amp;" ELLER c.t.l"",
AND(C31=""6x6 / 7x7"",G31="""",H31=""""),""Sätt time limit (x / y) eller c.t.l (z)"",
AND(G31="""",H31=""""),""Sätt en time limit eller c.t.l"",
AND(OR(C31=""6x6 / 7x7"",C31=""4x4 / 5x5 BLD""),G31&lt;&gt;"""",REGEXMATCH(TO_TEXT(G31),"" / "")=FAL"&amp;"SE),CONCATENATE(""Time limit måste vara x / y""),
AND(H31&lt;&gt;"""",I31&lt;&gt;""""),CONCATENATE(C31&amp;"" brukar ej ha cutoff OCH c.t.l""),
AND(E31=1,H31="""",I31="""",OR(FILTER(Info!$E$2:E81, Info!$A$2:A81 = C31) = ""Yes"",FILTER(Info!$F$2:F81, Info!$A$2:A81 = C31) "&amp;"= ""Yes""),OR(F31=""Avg of 5"",F31=""Mean of 3"")),CONCATENATE(C31&amp;"" bör ha cutoff eller c.t.l""),
AND(C31=""6x6 / 7x7"",I31&lt;&gt;"""",REGEXMATCH(TO_TEXT(I31),"" / "")=FALSE),CONCATENATE(""Cutoff måste vara x / y""),
AND(H31&lt;&gt;"""",ISNUMBER(H31)=FALSE),""C.t."&amp;"l. måste vara positivt tal (x)"",
AND(C31&lt;&gt;""6x6 / 7x7"",I31&lt;&gt;"""",ISNUMBER(I31)=FALSE),""Cutoff måste vara positivt tal (x)"",
AND(H31&lt;&gt;"""",FILTER(Info!$E$2:E81, Info!$A$2:A81 = C31) = ""No"",FILTER(Info!$F$2:F81, Info!$A$2:A81 = C31) = ""No""),CONCATEN"&amp;"ATE(C31&amp;"" brukar inte ha c.t.l.""),
AND(I31&lt;&gt;"""",FILTER(Info!$E$2:E81, Info!$A$2:A81 = C31) = ""No"",FILTER(Info!$F$2:F81, Info!$A$2:A81 = C31) = ""No""),CONCATENATE(C31&amp;"" brukar inte ha cutoff""),
AND(H31="""",FILTER(Info!$F$2:F81, Info!$A$2:A81 = C31"&amp;") = ""Yes""),CONCATENATE(C31&amp;"" brukar ha c.t.l.""),
AND(C31&lt;&gt;""6x6 / 7x7"",C31&lt;&gt;""4x4 / 5x5 BLD"",G31&lt;&gt;"""",ISNUMBER(G31)=FALSE),""Time limit måste vara positivt tal (x)"",
J31=""J - Error"",CONCATENATE(""För få deltagare i R1 för ""&amp;COUNTIF($C$7:$C$102,"&amp;"indirect(""C""&amp;row()))&amp;"" rundor""),
J31=""K2 - Error"",CONCATENATE(C31&amp;"" är mer populär - byt i K2!""),
AND(C31&lt;&gt;""6x6 / 7x7"",C31&lt;&gt;""4x4 / 5x5 BLD"",G31&lt;&gt;"""",I31&lt;&gt;"""",G31&lt;=I31),""Time limit måste vara &gt; cutoff"",
AND(C31&lt;&gt;""6x6 / 7x7"",C31&lt;&gt;""4x4 / 5"&amp;"x5 BLD"",H31&lt;&gt;"""",I31&lt;&gt;"""",H31&lt;=I31),""C.t.l. måste vara &gt; cutoff"",
AND(C31&lt;&gt;""3x3 FMC"",C31&lt;&gt;""3x3 MBLD"",J31=""""),CONCATENATE(""Fyll i antal deltagare i J""&amp;row()),
AND(C31="""",OR(E31&lt;&gt;"""",F31&lt;&gt;"""",G31&lt;&gt;"""",H31&lt;&gt;"""",I31&lt;&gt;"""",J31&lt;&gt;"""")),""Skri"&amp;"v ALLTID gren / aktivitet först"",
AND(I31="""",H31="""",J31&lt;&gt;""""),J31,
OR(""3x3 FMC""=C31,""3x3 MBLD""=C31),J31,
AND(I31&lt;&gt;"""",""6x6 / 7x7""=C31),
IFS(ArrayFormula(SUM(IFERROR(SPLIT(I31,"" / ""))))&lt;(Info!$J$6+Info!$J$7)*2/3,CONCATENATE(""Höj helst cutof"&amp;"fs i ""&amp;C31),
ArrayFormula(SUM(IFERROR(SPLIT(I31,"" / ""))))&lt;=(Info!$J$6+Info!$J$7),ROUNDUP(J31*Info!$J$22),
ArrayFormula(SUM(IFERROR(SPLIT(I31,"" / ""))))&lt;=Info!$J$6+Info!$J$7,ROUNDUP(J31*Info!$K$22),
ArrayFormula(SUM(IFERROR(SPLIT(I31,"" / ""))))&lt;=Info!"&amp;"$K$6+Info!$K$7,ROUNDUP(J31*Info!L$22),
ArrayFormula(SUM(IFERROR(SPLIT(I31,"" / ""))))&lt;=Info!$L$6+Info!$L$7,ROUNDUP(J31*Info!$M$22),
ArrayFormula(SUM(IFERROR(SPLIT(I31,"" / ""))))&lt;=Info!$M$6+Info!$M$7,ROUNDUP(J31*Info!$N$22),
ArrayFormula(SUM(IFERROR(SPLIT"&amp;"(I31,"" / ""))))&lt;=(Info!$N$6+Info!$N$7)*3/2,ROUNDUP(J31*Info!$J$26),
ArrayFormula(SUM(IFERROR(SPLIT(I31,"" / ""))))&gt;(Info!$N$6+Info!$N$7)*3/2,CONCATENATE(""Sänk helst cutoffs i ""&amp;C31)),
AND(I31&lt;&gt;"""",FILTER(Info!$E$2:E81, Info!$A$2:A81 = C31) = ""Yes""),"&amp;"
IFS(I31&lt;FILTER(Info!$J$2:J81, Info!$A$2:A81 = C31)*2/3,CONCATENATE(""Höj helst cutoff i ""&amp;C31),
I31&lt;=FILTER(Info!$J$2:J81, Info!$A$2:A81 = C31),ROUNDUP(J31*Info!$J$22),
I31&lt;=FILTER(Info!$K$2:K81, Info!$A$2:A81 = C31),ROUNDUP(J31*Info!$K$22),
I31&lt;=FILTER"&amp;"(Info!$L$2:L81, Info!$A$2:A81 = C31),ROUNDUP(J31*Info!L$22),
I31&lt;=FILTER(Info!$M$2:M81, Info!$A$2:A81 = C31),ROUNDUP(J31*Info!$M$22),
I31&lt;=FILTER(Info!$N$2:N81, Info!$A$2:A81 = C31),ROUNDUP(J31*Info!$N$22),
I31&lt;=FILTER(Info!$N$2:N81, Info!$A$2:A81 = C31)*"&amp;"3/2,ROUNDUP(J31*Info!$J$26),
I31&gt;FILTER(Info!$N$2:N81, Info!$A$2:A81 = C31)*3/2,CONCATENATE(""Sänk helst cutoff i ""&amp;C31)),
AND(H31&lt;&gt;"""",""6x6 / 7x7""=C31),
IFS(H31/3&lt;=(Info!$J$6+Info!$J$7)*2/3,""Höj helst cumulative time limit"",
H31/3&lt;=Info!$J$6+Info!$"&amp;"J$7,ROUNDUP(J31*Info!$J$24),
H31/3&lt;=Info!$K$6+Info!$K$7,ROUNDUP(J31*Info!$K$24),
H31/3&lt;=Info!$L$6+Info!$L$7,ROUNDUP(J31*Info!L$24),
H31/3&lt;=Info!$M$6+Info!$M$7,ROUNDUP(J31*Info!$M$24),
H31/3&lt;=Info!$N$6+Info!$N$7,ROUNDUP(J31*Info!$N$24),
H31/3&lt;=(Info!$N$6+I"&amp;"nfo!$N$7)*3/2,ROUNDUP(J31*Info!$L$26),
H31/3&gt;(Info!$J$6+Info!$J$7)*3/2,""Sänk helst cumulative time limit""),
AND(H31&lt;&gt;"""",FILTER(Info!$F$2:F81, Info!$A$2:A81 = C31) = ""Yes""),
IFS(H31&lt;=FILTER(Info!$J$2:J81, Info!$A$2:A81 = C31)*2/3,CONCATENATE(""Höj he"&amp;"lst c.t.l. i ""&amp;C31),
H31&lt;=FILTER(Info!$J$2:J81, Info!$A$2:A81 = C31),ROUNDUP(J31*Info!$J$24),
H31&lt;=FILTER(Info!$K$2:K81, Info!$A$2:A81 = C31),ROUNDUP(J31*Info!$K$24),
H31&lt;=FILTER(Info!$L$2:L81, Info!$A$2:A81 = C31),ROUNDUP(J31*Info!L$24),
H31&lt;=FILTER(Inf"&amp;"o!$M$2:M81, Info!$A$2:A81 = C31),ROUNDUP(J31*Info!$M$24),
H31&lt;=FILTER(Info!$N$2:N81, Info!$A$2:A81 = C31),ROUNDUP(J31*Info!$N$24),
H31&lt;=FILTER(Info!$N$2:N81, Info!$A$2:A81 = C31)*3/2,ROUNDUP(J31*Info!$L$26),
H31&gt;FILTER(Info!$N$2:N81, Info!$A$2:A81 = C31)*"&amp;"3/2,CONCATENATE(""Sänk helst c.t.l. i ""&amp;C31)),
AND(H31&lt;&gt;"""",FILTER(Info!$F$2:F81, Info!$A$2:A81 = C31) = ""No""),
IFS(H31/AA31&lt;=FILTER(Info!$J$2:J81, Info!$A$2:A81 = C31)*2/3,CONCATENATE(""Höj helst c.t.l. i ""&amp;C31),
H31/AA31&lt;=FILTER(Info!$J$2:J81, Info"&amp;"!$A$2:A81 = C31),ROUNDUP(J31*Info!$J$24),
H31/AA31&lt;=FILTER(Info!$K$2:K81, Info!$A$2:A81 = C31),ROUNDUP(J31*Info!$K$24),
H31/AA31&lt;=FILTER(Info!$L$2:L81, Info!$A$2:A81 = C31),ROUNDUP(J31*Info!L$24),
H31/AA31&lt;=FILTER(Info!$M$2:M81, Info!$A$2:A81 = C31),ROUND"&amp;"UP(J31*Info!$M$24),
H31/AA31&lt;=FILTER(Info!$N$2:N81, Info!$A$2:A81 = C31),ROUNDUP(J31*Info!$N$24),
H31/AA31&lt;=FILTER(Info!$N$2:N81, Info!$A$2:A81 = C31)*3/2,ROUNDUP(J31*Info!$L$26),
H31/AA31&gt;FILTER(Info!$N$2:N81, Info!$A$2:A81 = C31)*3/2,CONCATENATE(""Sänk "&amp;"helst c.t.l. i ""&amp;C31)),
AND(I31="""",H31&lt;&gt;"""",J31&lt;&gt;""""),ROUNDUP(J31*Info!$T$29),
AND(I31&lt;&gt;"""",H31="""",J31&lt;&gt;""""),ROUNDUP(J31*Info!$T$26))"),"")</f>
        <v/>
      </c>
      <c r="L31" s="42">
        <f>IFERROR(__xludf.DUMMYFUNCTION("IFS(C31="""",0,
C31=""3x3 FMC"",Info!$B$9*N31+M31, C31=""3x3 MBLD"",Info!$B$18*N31+M31,
COUNTIF(Info!$A$22:A81,C31)&gt;0,FILTER(Info!$B$22:B81,Info!$A$22:A81=C31)+M31,
AND(C31&lt;&gt;"""",E31=""""),CONCATENATE(""Fyll i E""&amp;row()),
AND(C31&lt;&gt;"""",E31&lt;&gt;"""",E31&lt;&gt;1,E3"&amp;"1&lt;&gt;2,E31&lt;&gt;3,E31&lt;&gt;""Final""),CONCATENATE(""Fel format på E""&amp;row()),
K31=CONCATENATE(""Runda ""&amp;E31&amp;"" i ""&amp;C31&amp;"" finns redan""),CONCATENATE(""Fel i E""&amp;row()),
AND(C31&lt;&gt;"""",F31=""""),CONCATENATE(""Fyll i F""&amp;row()),
K31=CONCATENATE(C31&amp;"" måste ha forma"&amp;"tet ""&amp;FILTER(Info!$D$2:D81, Info!$A$2:A81 = C31)),CONCATENATE(""Fel format på F""&amp;row()),
AND(C31&lt;&gt;"""",D31=1,H31="""",FILTER(Info!$F$2:F81, Info!$A$2:A81 = C31) = ""Yes""),CONCATENATE(""Fyll i H""&amp;row()),
AND(C31&lt;&gt;"""",D31=1,I31="""",FILTER(Info!$E$2:E8"&amp;"1, Info!$A$2:A81 = C31) = ""Yes""),CONCATENATE(""Fyll i I""&amp;row()),
AND(C31&lt;&gt;"""",J31=""""),CONCATENATE(""Fyll i J""&amp;row()),
AND(C31&lt;&gt;"""",K31="""",OR(H31&lt;&gt;"""",I31&lt;&gt;"""")),CONCATENATE(""Fyll i K""&amp;row()),
AND(C31&lt;&gt;"""",K31=""""),CONCATENATE(""Skriv samma"&amp;" i K""&amp;row()&amp;"" som i J""&amp;row()),
AND(OR(C31=""4x4 BLD"",C31=""5x5 BLD"",C31=""4x4 / 5x5 BLD"")=TRUE,V31&lt;=P31),
MROUND(H31*(Info!$T$20-((Info!$T$20-1)/2)*(1-V31/P31))*(1+((J31/K31)-1)*(1-Info!$J$24))*N31+(Info!$T$11/2)+(N31*Info!$T$11)+(N31*Info!$T$14*(O3"&amp;"1-1)),0.01)+M31,
AND(OR(C31=""4x4 BLD"",C31=""5x5 BLD"",C31=""4x4 / 5x5 BLD"")=TRUE,V31&gt;P31),
MROUND((((J31*Z31+K31*(AA31-Z31))*(H31*Info!$T$20/AA31))/X31)*(1+((J31/K31)-1)*(1-Info!$J$24))*(1+(X31-Info!$T$8)/100)+(Info!$T$11/2)+(N31*Info!$T$11)+(N31*Info!"&amp;"$T$14*(O31-1)),0.01)+M31,
AND(C31=""3x3 BLD"",V31&lt;=P31),
MROUND(H31*(Info!$T$23-((Info!$T$23-1)/2)*(1-V31/P31))*(1+((J31/K31)-1)*(1-Info!$J$24))*N31+(Info!$T$11/2)+(N31*Info!$T$11)+(N31*Info!$T$14*(O31-1)),0.01)+M31,
AND(C31=""3x3 BLD"",V31&gt;P31),
MROUND(("&amp;"((J31*Z31+K31*(AA31-Z31))*(H31*Info!$T$23/AA31))/X31)*(1+((J31/K31)-1)*(1-Info!$J$24))*(1+(X31-Info!$T$8)/100)+(Info!$T$11/2)+(N31*Info!$T$11)+(N31*Info!$T$14*(O31-1)),0.01)+M31,
E31=1,MROUND((((J31*Z31+K31*(AA31-Z31))*Y31)/X31)*(1+(X31-Info!$T$8)/100)+(N"&amp;"31*Info!$T$11)+(N31*Info!$T$14*(O31-1)),0.01)+M31,
AND(E31=""Final"",N31=1,FILTER(Info!$G$2:$G$20,Info!$A$2:$A$20=C31)=""Mycket svår""),
MROUND((((J31*Z31+K31*(AA31-Z31))*(Y31*Info!$T$38))/X31)*(1+(X31-Info!$T$8)/100)+(N31*Info!$T$11)+(N31*Info!$T$14*(O31"&amp;"-1)),0.01)+M31,
AND(E31=""Final"",N31=1,FILTER(Info!$G$2:$G$20,Info!$A$2:$A$20=C31)=""Svår""),
MROUND((((J31*Z31+K31*(AA31-Z31))*(Y31*Info!$T$35))/X31)*(1+(X31-Info!$T$8)/100)+(N31*Info!$T$11)+(N31*Info!$T$14*(O31-1)),0.01)+M31,
E31=""Final"",MROUND((((J3"&amp;"1*Z31+K31*(AA31-Z31))*(Y31*Info!$T$5))/X31)*(1+(X31-Info!$T$8)/100)+(N31*Info!$T$11)+(N31*Info!$T$14*(O31-1)),0.01)+M31,
OR(E31=2,E31=3),MROUND((((J31*Z31+K31*(AA31-Z31))*(Y31*Info!$T$2))/X31)*(1+(X31-Info!$T$8)/100)+(N31*Info!$T$11)+(N31*Info!$T$14*(O31-"&amp;"1)),0.01)+M31)"),0.0)</f>
        <v>0</v>
      </c>
      <c r="M31" s="43">
        <f t="shared" ref="M31:M50" si="4">$W$2</f>
        <v>0</v>
      </c>
      <c r="N31" s="43" t="str">
        <f>IFS(OR(COUNTIF(Info!$A$22:A81,C31)&gt;0,C31=""),"",
OR(C31="4x4 BLD",C31="5x5 BLD",C31="3x3 MBLD",C31="3x3 FMC",C31="4x4 / 5x5 BLD"),1,
AND(E31="Final",Q31="Yes",MAX(1,ROUNDUP(J31/P31))&gt;1),MAX(2,ROUNDUP(J31/P31)),
AND(E31="Final",Q31="No",MAX(1,ROUNDUP(J31/((P31*2)+2.625-Y31*1.5)))&gt;1),MAX(2,ROUNDUP(J31/((P31*2)+2.625-Y31*1.5))),
E31="Final",1,
Q31="Yes",MAX(2,ROUNDUP(J31/P31)),
TRUE,MAX(2,ROUNDUP(J31/((P31*2)+2.625-Y31*1.5))))</f>
        <v/>
      </c>
      <c r="O31" s="43" t="str">
        <f>IFS(OR(COUNTIF(Info!$A$22:A81,C31)&gt;0,C31=""),"",
OR("3x3 MBLD"=C31,"3x3 FMC"=C31)=TRUE,"",
D31=$E$4,$G$6,D31=$K$4,$M$6,D31=$Q$4,$S$6,D31=$W$4,$Y$6,
TRUE,$S$2)</f>
        <v/>
      </c>
      <c r="P31" s="43" t="str">
        <f>IFS(OR(COUNTIF(Info!$A$22:A81,C31)&gt;0,C31=""),"",
OR("3x3 MBLD"=C31,"3x3 FMC"=C31)=TRUE,"",
D31=$E$4,$E$6,D31=$K$4,$K$6,D31=$Q$4,$Q$6,D31=$W$4,$W$6,
TRUE,$Q$2)</f>
        <v/>
      </c>
      <c r="Q31" s="44" t="str">
        <f>IFS(OR(COUNTIF(Info!$A$22:A81,C31)&gt;0,C31=""),"",
OR("3x3 MBLD"=C31,"3x3 FMC"=C31)=TRUE,"",
D31=$E$4,$I$6,D31=$K$4,$O$6,D31=$Q$4,$U$6,D31=$W$4,$AA$6,
TRUE,$U$2)</f>
        <v/>
      </c>
      <c r="R31" s="45" t="str">
        <f>IFERROR(__xludf.DUMMYFUNCTION("IF(C31="""","""",IFERROR(FILTER(Info!$B$22:B81,Info!$A$22:A81=C31)+M31,""?""))"),"")</f>
        <v/>
      </c>
      <c r="S31" s="46" t="str">
        <f>IFS(OR(COUNTIF(Info!$A$22:A81,C31)&gt;0,C31=""),"",
AND(H31="",I31=""),J31,
TRUE,"?")</f>
        <v/>
      </c>
      <c r="T31" s="45" t="str">
        <f>IFS(OR(COUNTIF(Info!$A$22:A81,C31)&gt;0,C31=""),"",
AND(L31&lt;&gt;0,OR(R31="?",R31="")),"Fyll i R-kolumnen",
OR(C31="3x3 FMC",C31="3x3 MBLD"),R31,
AND(L31&lt;&gt;0,OR(S31="?",S31="")),"Fyll i S-kolumnen",
OR(COUNTIF(Info!$A$22:A81,C31)&gt;0,C31=""),"",
TRUE,Y31*R31/L31)</f>
        <v/>
      </c>
      <c r="U31" s="45"/>
      <c r="V31" s="47" t="str">
        <f>IFS(OR(COUNTIF(Info!$A$22:A81,C31)&gt;0,C31=""),"",
OR("3x3 MBLD"=C31,"3x3 FMC"=C31)=TRUE,"",
TRUE,MROUND((J31/N31),0.01))</f>
        <v/>
      </c>
      <c r="W31" s="48" t="str">
        <f>IFS(OR(COUNTIF(Info!$A$22:A81,C31)&gt;0,C31=""),"",
TRUE,L31/N31)</f>
        <v/>
      </c>
      <c r="X31" s="49" t="str">
        <f>IFS(OR(COUNTIF(Info!$A$22:A81,C31)&gt;0,C31=""),"",
OR("3x3 MBLD"=C31,"3x3 FMC"=C31)=TRUE,"",
OR(C31="4x4 BLD",C31="5x5 BLD",C31="4x4 / 5x5 BLD",AND(C31="3x3 BLD",H31&lt;&gt;""))=TRUE,MIN(V31,P31),
TRUE,MIN(P31,V31,MROUND(((V31*2/3)+((Y31-1.625)/2)),0.01)))</f>
        <v/>
      </c>
      <c r="Y31" s="48" t="str">
        <f>IFERROR(__xludf.DUMMYFUNCTION("IFS(OR(COUNTIF(Info!$A$22:A81,C31)&gt;0,C31=""""),"""",
FILTER(Info!$F$2:F81, Info!$A$2:A81 = C31) = ""Yes"",H31/AA31,
""3x3 FMC""=C31,Info!$B$9,""3x3 MBLD""=C31,Info!$B$18,
AND(E31=1,I31="""",H31="""",Q31=""No"",G31&gt;SUMIF(Info!$A$2:A81,C31,Info!$B$2:B81)*1."&amp;"5),
MIN(SUMIF(Info!$A$2:A81,C31,Info!$B$2:B81)*1.1,SUMIF(Info!$A$2:A81,C31,Info!$B$2:B81)*(1.15-(0.15*(SUMIF(Info!$A$2:A81,C31,Info!$B$2:B81)*1.5)/G31))),
AND(E31=1,I31="""",H31="""",Q31=""Yes"",G31&gt;SUMIF(Info!$A$2:A81,C31,Info!$C$2:C81)*1.5),
MIN(SUMIF(I"&amp;"nfo!$A$2:A81,C31,Info!$C$2:C81)*1.1,SUMIF(Info!$A$2:A81,C31,Info!$C$2:C81)*(1.15-(0.15*(SUMIF(Info!$A$2:A81,C31,Info!$C$2:C81)*1.5)/G31))),
Q31=""No"",SUMIF(Info!$A$2:A81,C31,Info!$B$2:B81),
Q31=""Yes"",SUMIF(Info!$A$2:A81,C31,Info!$C$2:C81))"),"")</f>
        <v/>
      </c>
      <c r="Z31" s="47" t="str">
        <f>IFS(OR(COUNTIF(Info!$A$22:A81,C31)&gt;0,C31=""),"",
AND(OR("3x3 FMC"=C31,"3x3 MBLD"=C31),I31&lt;&gt;""),1,
AND(OR(H31&lt;&gt;"",I31&lt;&gt;""),F31="Avg of 5"),2,
F31="Avg of 5",AA31,
AND(OR(H31&lt;&gt;"",I31&lt;&gt;""),F31="Mean of 3",C31="6x6 / 7x7"),2,
AND(OR(H31&lt;&gt;"",I31&lt;&gt;""),F31="Mean of 3"),1,
F31="Mean of 3",AA31,
AND(OR(H31&lt;&gt;"",I31&lt;&gt;""),F31="Best of 3",C31="4x4 / 5x5 BLD"),2,
AND(OR(H31&lt;&gt;"",I31&lt;&gt;""),F31="Best of 3"),1,
F31="Best of 2",AA31,
F31="Best of 1",AA31)</f>
        <v/>
      </c>
      <c r="AA31" s="47" t="str">
        <f>IFS(OR(COUNTIF(Info!$A$22:A81,C31)&gt;0,C31=""),"",
AND(OR("3x3 MBLD"=C31,"3x3 FMC"=C31),F31="Best of 1"=TRUE),1,
AND(OR("3x3 MBLD"=C31,"3x3 FMC"=C31),F31="Best of 2"=TRUE),2,
AND(OR("3x3 MBLD"=C31,"3x3 FMC"=C31),OR(F31="Best of 3",F31="Mean of 3")=TRUE),3,
AND(F31="Mean of 3",C31="6x6 / 7x7"),6,
AND(F31="Best of 3",C31="4x4 / 5x5 BLD"),6,
F31="Avg of 5",5,F31="Mean of 3",3,F31="Best of 3",3,F31="Best of 2",2,F31="Best of 1",1)</f>
        <v/>
      </c>
      <c r="AB31" s="50"/>
    </row>
    <row r="32" ht="15.75" customHeight="1">
      <c r="A32" s="35">
        <f>IFERROR(__xludf.DUMMYFUNCTION("IFS(indirect(""A""&amp;row()-1)=""Start"",TIME(indirect(""A""&amp;row()-2),indirect(""B""&amp;row()-2),0),
$O$2=""No"",TIME(0,($A$6*60+$B$6)+CEILING(SUM($L$7:indirect(""L""&amp;row()-1)),5),0),
D32=$E$2,TIME(0,($A$6*60+$B$6)+CEILING(SUM(IFERROR(FILTER($L$7:indirect(""L"""&amp;"&amp;row()-1),REGEXMATCH($D$7:indirect(""D""&amp;row()-1),$E$2)),0)),5),0),
TRUE,""=time(hh;mm;ss)"")"),0.375)</f>
        <v>0.375</v>
      </c>
      <c r="B32" s="36">
        <f>IFERROR(__xludf.DUMMYFUNCTION("IFS($O$2=""No"",TIME(0,($A$6*60+$B$6)+CEILING(SUM($L$7:indirect(""L""&amp;row())),5),0),
D32=$E$2,TIME(0,($A$6*60+$B$6)+CEILING(SUM(FILTER($L$7:indirect(""L""&amp;row()),REGEXMATCH($D$7:indirect(""D""&amp;row()),$E$2))),5),0),
A32=""=time(hh;mm;ss)"",CONCATENATE(""Sk"&amp;"riv tid i A""&amp;row()),
AND(A32&lt;&gt;"""",A32&lt;&gt;""=time(hh;mm;ss)""),A32+TIME(0,CEILING(indirect(""L""&amp;row()),5),0))"),0.375)</f>
        <v>0.375</v>
      </c>
      <c r="C32" s="37"/>
      <c r="D32" s="38" t="str">
        <f t="shared" si="3"/>
        <v>Stora salen</v>
      </c>
      <c r="E32" s="38" t="str">
        <f>IFERROR(__xludf.DUMMYFUNCTION("IFS(COUNTIF(Info!$A$22:A81,C32)&gt;0,"""",
AND(OR(""3x3 FMC""=C32,""3x3 MBLD""=C32),COUNTIF($C$7:indirect(""C""&amp;row()),indirect(""C""&amp;row()))&gt;=13),""E - Error"",
AND(OR(""3x3 FMC""=C32,""3x3 MBLD""=C32),COUNTIF($C$7:indirect(""C""&amp;row()),indirect(""C""&amp;row()"&amp;"))=12),""Final - A3"",
AND(OR(""3x3 FMC""=C32,""3x3 MBLD""=C32),COUNTIF($C$7:indirect(""C""&amp;row()),indirect(""C""&amp;row()))=11),""Final - A2"",
AND(OR(""3x3 FMC""=C32,""3x3 MBLD""=C32),COUNTIF($C$7:indirect(""C""&amp;row()),indirect(""C""&amp;row()))=10),""Final - "&amp;"A1"",
AND(OR(""3x3 FMC""=C32,""3x3 MBLD""=C32),COUNTIF($C$7:indirect(""C""&amp;row()),indirect(""C""&amp;row()))=9,
COUNTIF($C$7:$C$102,indirect(""C""&amp;row()))&gt;9),""R3 - A3"",
AND(OR(""3x3 FMC""=C32,""3x3 MBLD""=C32),COUNTIF($C$7:indirect(""C""&amp;row()),indirect(""C"&amp;"""&amp;row()))=9,
COUNTIF($C$7:$C$102,indirect(""C""&amp;row()))&lt;=9),""Final - A3"",
AND(OR(""3x3 FMC""=C32,""3x3 MBLD""=C32),COUNTIF($C$7:indirect(""C""&amp;row()),indirect(""C""&amp;row()))=8,
COUNTIF($C$7:$C$102,indirect(""C""&amp;row()))&gt;9),""R3 - A2"",
AND(OR(""3x3 FMC"&amp;"""=C32,""3x3 MBLD""=C32),COUNTIF($C$7:indirect(""C""&amp;row()),indirect(""C""&amp;row()))=8,
COUNTIF($C$7:$C$102,indirect(""C""&amp;row()))&lt;=9),""Final - A2"",
AND(OR(""3x3 FMC""=C32,""3x3 MBLD""=C32),COUNTIF($C$7:indirect(""C""&amp;row()),indirect(""C""&amp;row()))=7,
COUN"&amp;"TIF($C$7:$C$102,indirect(""C""&amp;row()))&gt;9),""R3 - A1"",
AND(OR(""3x3 FMC""=C32,""3x3 MBLD""=C32),COUNTIF($C$7:indirect(""C""&amp;row()),indirect(""C""&amp;row()))=7,
COUNTIF($C$7:$C$102,indirect(""C""&amp;row()))&lt;=9),""Final - A1"",
AND(OR(""3x3 FMC""=C32,""3x3 MBLD"""&amp;"=C32),COUNTIF($C$7:indirect(""C""&amp;row()),indirect(""C""&amp;row()))=6,
COUNTIF($C$7:$C$102,indirect(""C""&amp;row()))&gt;6),""R2 - A3"",
AND(OR(""3x3 FMC""=C32,""3x3 MBLD""=C32),COUNTIF($C$7:indirect(""C""&amp;row()),indirect(""C""&amp;row()))=6,
COUNTIF($C$7:$C$102,indirec"&amp;"t(""C""&amp;row()))&lt;=6),""Final - A3"",
AND(OR(""3x3 FMC""=C32,""3x3 MBLD""=C32),COUNTIF($C$7:indirect(""C""&amp;row()),indirect(""C""&amp;row()))=5,
COUNTIF($C$7:$C$102,indirect(""C""&amp;row()))&gt;6),""R2 - A2"",
AND(OR(""3x3 FMC""=C32,""3x3 MBLD""=C32),COUNTIF($C$7:indi"&amp;"rect(""C""&amp;row()),indirect(""C""&amp;row()))=5,
COUNTIF($C$7:$C$102,indirect(""C""&amp;row()))&lt;=6),""Final - A2"",
AND(OR(""3x3 FMC""=C32,""3x3 MBLD""=C32),COUNTIF($C$7:indirect(""C""&amp;row()),indirect(""C""&amp;row()))=4,
COUNTIF($C$7:$C$102,indirect(""C""&amp;row()))&gt;6),"&amp;"""R2 - A1"",
AND(OR(""3x3 FMC""=C32,""3x3 MBLD""=C32),COUNTIF($C$7:indirect(""C""&amp;row()),indirect(""C""&amp;row()))=4,
COUNTIF($C$7:$C$102,indirect(""C""&amp;row()))&lt;=6),""Final - A1"",
AND(OR(""3x3 FMC""=C32,""3x3 MBLD""=C32),COUNTIF($C$7:indirect(""C""&amp;row()),i"&amp;"ndirect(""C""&amp;row()))=3),""R1 - A3"",
AND(OR(""3x3 FMC""=C32,""3x3 MBLD""=C32),COUNTIF($C$7:indirect(""C""&amp;row()),indirect(""C""&amp;row()))=2),""R1 - A2"",
AND(OR(""3x3 FMC""=C32,""3x3 MBLD""=C32),COUNTIF($C$7:indirect(""C""&amp;row()),indirect(""C""&amp;row()))=1),"&amp;"""R1 -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C32),ROUNDUP((FILTER(Info!$H$2:H81,Info!$A$2:A81=C32)/FILTER(Info!$H$2:H81,Info!$A$2:A81=$K$2))*$I$2)&gt;99),3,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C32),ROUNDUP((FILTER(Info!$H$2:H81,Info!$A$2:A81=C32)/FILTER(Info!$H$2:H81,Info!$A$2:A81=$K$2))*$I$2)&gt;15),2,
AND(COUNTIF($C$7:indirect(""C""&amp;row()),indirect(""C""&amp;row()))=2,COUNTIF($C$7:$C$102,indirect(""C""&amp;row()))=COUNTIF($"&amp;"C$7:indirect(""C""&amp;row()),indirect(""C""&amp;row()))),""Final"",
COUNTIF($C$7:indirect(""C""&amp;row()),indirect(""C""&amp;row()))=1,1,
COUNTIF($C$7:indirect(""C""&amp;row()),indirect(""C""&amp;row()))=0,"""")"),"")</f>
        <v/>
      </c>
      <c r="F32" s="39" t="str">
        <f>IFERROR(__xludf.DUMMYFUNCTION("IFS(C32="""","""",
AND(C32=""3x3 FMC"",MOD(COUNTIF($C$7:indirect(""C""&amp;row()),indirect(""C""&amp;row())),3)=0),""Mean of 3"",
AND(C32=""3x3 MBLD"",MOD(COUNTIF($C$7:indirect(""C""&amp;row()),indirect(""C""&amp;row())),3)=0),""Best of 3"",
AND(C32=""3x3 FMC"",MOD(COUNT"&amp;"IF($C$7:indirect(""C""&amp;row()),indirect(""C""&amp;row())),3)=2,
COUNTIF($C$7:$C$102,indirect(""C""&amp;row()))&lt;=COUNTIF($C$7:indirect(""C""&amp;row()),indirect(""C""&amp;row()))),""Best of 2"",
AND(C32=""3x3 FMC"",MOD(COUNTIF($C$7:indirect(""C""&amp;row()),indirect(""C""&amp;row("&amp;"))),3)=2,
COUNTIF($C$7:$C$102,indirect(""C""&amp;row()))&gt;COUNTIF($C$7:indirect(""C""&amp;row()),indirect(""C""&amp;row()))),""Mean of 3"",
AND(C32=""3x3 MBLD"",MOD(COUNTIF($C$7:indirect(""C""&amp;row()),indirect(""C""&amp;row())),3)=2,
COUNTIF($C$7:$C$102,indirect(""C""&amp;row("&amp;")))&lt;=COUNTIF($C$7:indirect(""C""&amp;row()),indirect(""C""&amp;row()))),""Best of 2"",
AND(C32=""3x3 MBLD"",MOD(COUNTIF($C$7:indirect(""C""&amp;row()),indirect(""C""&amp;row())),3)=2,
COUNTIF($C$7:$C$102,indirect(""C""&amp;row()))&gt;COUNTIF($C$7:indirect(""C""&amp;row()),indirect("&amp;"""C""&amp;row()))),""Best of 3"",
AND(C32=""3x3 FMC"",MOD(COUNTIF($C$7:indirect(""C""&amp;row()),indirect(""C""&amp;row())),3)=1,
COUNTIF($C$7:$C$102,indirect(""C""&amp;row()))&lt;=COUNTIF($C$7:indirect(""C""&amp;row()),indirect(""C""&amp;row()))),""Best of 1"",
AND(C32=""3x3 FMC"""&amp;",MOD(COUNTIF($C$7:indirect(""C""&amp;row()),indirect(""C""&amp;row())),3)=1,
COUNTIF($C$7:$C$102,indirect(""C""&amp;row()))=COUNTIF($C$7:indirect(""C""&amp;row()),indirect(""C""&amp;row()))+1),""Best of 2"",
AND(C32=""3x3 FMC"",MOD(COUNTIF($C$7:indirect(""C""&amp;row()),indirect"&amp;"(""C""&amp;row())),3)=1,
COUNTIF($C$7:$C$102,indirect(""C""&amp;row()))&gt;COUNTIF($C$7:indirect(""C""&amp;row()),indirect(""C""&amp;row()))),""Mean of 3"",
AND(C32=""3x3 MBLD"",MOD(COUNTIF($C$7:indirect(""C""&amp;row()),indirect(""C""&amp;row())),3)=1,
COUNTIF($C$7:$C$102,indirect"&amp;"(""C""&amp;row()))&lt;=COUNTIF($C$7:indirect(""C""&amp;row()),indirect(""C""&amp;row()))),""Best of 1"",
AND(C32=""3x3 MBLD"",MOD(COUNTIF($C$7:indirect(""C""&amp;row()),indirect(""C""&amp;row())),3)=1,
COUNTIF($C$7:$C$102,indirect(""C""&amp;row()))=COUNTIF($C$7:indirect(""C""&amp;row()"&amp;"),indirect(""C""&amp;row()))+1),""Best of 2"",
AND(C32=""3x3 MBLD"",MOD(COUNTIF($C$7:indirect(""C""&amp;row()),indirect(""C""&amp;row())),3)=1,
COUNTIF($C$7:$C$102,indirect(""C""&amp;row()))&gt;COUNTIF($C$7:indirect(""C""&amp;row()),indirect(""C""&amp;row()))),""Best of 3"",
TRUE,("&amp;"IFERROR(FILTER(Info!$D$2:D81, Info!$A$2:A81 = C32), """")))"),"")</f>
        <v/>
      </c>
      <c r="G32" s="40" t="str">
        <f>IFERROR(__xludf.DUMMYFUNCTION("IFS(OR(COUNTIF(Info!$A$22:A81,C32)&gt;0,C32=""""),"""",
OR(""3x3 MBLD""=C32,""3x3 FMC""=C32),60,
AND(E32=1,FILTER(Info!$F$2:F81, Info!$A$2:A81 = C32) = ""No""),FILTER(Info!$P$2:P81, Info!$A$2:A81 = C32),
AND(E32=2,FILTER(Info!$F$2:F81, Info!$A$2:A81 = C32) ="&amp;" ""No""),FILTER(Info!$Q$2:Q81, Info!$A$2:A81 = C32),
AND(E32=3,FILTER(Info!$F$2:F81, Info!$A$2:A81 = C32) = ""No""),FILTER(Info!$R$2:R81, Info!$A$2:A81 = C32),
AND(E32=""Final"",FILTER(Info!$F$2:F81, Info!$A$2:A81 = C32) = ""No""),FILTER(Info!$S$2:S81, In"&amp;"fo!$A$2:A81 = C32),
FILTER(Info!$F$2:F81, Info!$A$2:A81 = C32) = ""Yes"","""")"),"")</f>
        <v/>
      </c>
      <c r="H32" s="40" t="str">
        <f>IFERROR(__xludf.DUMMYFUNCTION("IFS(OR(COUNTIF(Info!$A$22:A81,C32)&gt;0,C32=""""),"""",
OR(""3x3 MBLD""=C32,""3x3 FMC""=C32)=TRUE,"""",
FILTER(Info!$F$2:F81, Info!$A$2:A81 = C32) = ""Yes"",FILTER(Info!$O$2:O81, Info!$A$2:A81 = C32),
FILTER(Info!$F$2:F81, Info!$A$2:A81 = C32) = ""No"",IF(G3"&amp;"2="""",FILTER(Info!$O$2:O81, Info!$A$2:A81 = C32),""""))"),"")</f>
        <v/>
      </c>
      <c r="I32" s="40" t="str">
        <f>IFERROR(__xludf.DUMMYFUNCTION("IFS(OR(COUNTIF(Info!$A$22:A81,C32)&gt;0,C32="""",H32&lt;&gt;""""),"""",
AND(E32&lt;&gt;1,E32&lt;&gt;""R1 - A1"",E32&lt;&gt;""R1 - A2"",E32&lt;&gt;""R1 - A3""),"""",
FILTER(Info!$E$2:E81, Info!$A$2:A81 = C32) = ""Yes"",IF(H32="""",FILTER(Info!$L$2:L81, Info!$A$2:A81 = C32),""""),
FILTER(I"&amp;"nfo!$E$2:E81, Info!$A$2:A81 = C32) = ""No"","""")"),"")</f>
        <v/>
      </c>
      <c r="J32" s="40" t="str">
        <f>IFERROR(__xludf.DUMMYFUNCTION("IFS(OR(COUNTIF(Info!$A$22:A81,C32)&gt;0,C32="""",""3x3 MBLD""=C32,""3x3 FMC""=C32),"""",
AND(E32=1,FILTER(Info!$H$2:H81,Info!$A$2:A81 = C32)&lt;=FILTER(Info!$H$2:H81,Info!$A$2:A81=$K$2)),
ROUNDUP((FILTER(Info!$H$2:H81,Info!$A$2:A81 = C32)/FILTER(Info!$H$2:H81,I"&amp;"nfo!$A$2:A81=$K$2))*$I$2),
AND(E32=1,FILTER(Info!$H$2:H81,Info!$A$2:A81 = C32)&gt;FILTER(Info!$H$2:H81,Info!$A$2:A81=$K$2)),""K2 - Error"",
AND(E32=2,FILTER($J$7:indirect(""J""&amp;row()-1),$C$7:indirect(""C""&amp;row()-1)=C32)&lt;=7),""J - Error"",
E32=2,FLOOR(FILTER("&amp;"$J$7:indirect(""J""&amp;row()-1),$C$7:indirect(""C""&amp;row()-1)=C32)*Info!$T$32),
AND(E32=3,FILTER($J$7:indirect(""J""&amp;row()-1),$C$7:indirect(""C""&amp;row()-1)=C32)&lt;=15),""J - Error"",
E32=3,FLOOR(Info!$T$32*FLOOR(FILTER($J$7:indirect(""J""&amp;row()-1),$C$7:indirect("&amp;"""C""&amp;row()-1)=C32)*Info!$T$32)),
AND(E32=""Final"",COUNTIF($C$7:$C$102,C32)=2,FILTER($J$7:indirect(""J""&amp;row()-1),$C$7:indirect(""C""&amp;row()-1)=C32)&lt;=7),""J - Error"",
AND(E32=""Final"",COUNTIF($C$7:$C$102,C32)=2),
MIN(P32,FLOOR(FILTER($J$7:indirect(""J"""&amp;"&amp;row()-1),$C$7:indirect(""C""&amp;row()-1)=C32)*Info!$T$32)),
AND(E32=""Final"",COUNTIF($C$7:$C$102,C32)=3,FILTER($J$7:indirect(""J""&amp;row()-1),$C$7:indirect(""C""&amp;row()-1)=C32)&lt;=15),""J - Error"",
AND(E32=""Final"",COUNTIF($C$7:$C$102,C32)=3),
MIN(P32,FLOOR(I"&amp;"nfo!$T$32*FLOOR(FILTER($J$7:indirect(""J""&amp;row()-1),$C$7:indirect(""C""&amp;row()-1)=C32)*Info!$T$32))),
AND(E32=""Final"",COUNTIF($C$7:$C$102,C32)&gt;=4,FILTER($J$7:indirect(""J""&amp;row()-1),$C$7:indirect(""C""&amp;row()-1)=C32)&lt;=99),""J - Error"",
AND(E32=""Final"","&amp;"COUNTIF($C$7:$C$102,C32)&gt;=4),
MIN(P32,FLOOR(Info!$T$32*FLOOR(Info!$T$32*FLOOR(FILTER($J$7:indirect(""J""&amp;row()-1),$C$7:indirect(""C""&amp;row()-1)=C32)*Info!$T$32)))))"),"")</f>
        <v/>
      </c>
      <c r="K32" s="41" t="str">
        <f>IFERROR(__xludf.DUMMYFUNCTION("IFS(AND(indirect(""D""&amp;row()+2)&lt;&gt;$E$2,indirect(""D""&amp;row()+1)=""""),CONCATENATE(""Tom rad! Kopiera hela rad ""&amp;row()&amp;"" dit""),
AND(indirect(""D""&amp;row()-1)&lt;&gt;""Rum"",indirect(""D""&amp;row()-1)=""""),CONCATENATE(""Tom rad! Kopiera hela rad ""&amp;row()&amp;"" dit""),
"&amp;"C32="""","""",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OR(AND(D32&lt;&gt;$E$2,D32&lt;&gt;$E$4,D32&lt;&gt;$K$4,D32&lt;&gt;$Q$4),D32="&amp;"""""),CONCATENATE(""Rum: ""&amp;D32&amp;"" finns ej, byt i D""&amp;row()),
AND(indirect(""D""&amp;row()-1)=""Rum"",C32=""""),CONCATENATE(""För att börja: skriv i cell C""&amp;row()),
AND(C32=""Paus"",M32&lt;=0),CONCATENATE(""Skriv pausens längd i M""&amp;row()),
OR(COUNTIF(Info!$A$"&amp;"22:A81,C32)&gt;0,C32=""""),"""",
AND(D32&lt;&gt;$E$2,$O$2=""Yes"",A32=""=time(hh;mm;ss)""),CONCATENATE(""Skriv starttid för ""&amp;C32&amp;"" i A""&amp;row()),
E32=""E - Error"",CONCATENATE(""För många ""&amp;C32&amp;"" rundor!""),
AND(C32&lt;&gt;""3x3 FMC"",C32&lt;&gt;""3x3 MBLD"",E32&lt;&gt;1,E32&lt;&gt;"&amp;"""Final"",IFERROR(FILTER($E$7:indirect(""E""&amp;row()-1),
$E$7:indirect(""E""&amp;row()-1)=E32-1,$C$7:indirect(""C""&amp;row()-1)=C32))=FALSE),CONCATENATE(""Kan ej vara R""&amp;E32&amp;"", saknar R""&amp;(E32-1)),
AND(indirect(""E""&amp;row()-1)&lt;&gt;""Omgång"",IFERROR(FILTER($E$7:indi"&amp;"rect(""E""&amp;row()-1),
$E$7:indirect(""E""&amp;row()-1)=E32,$C$7:indirect(""C""&amp;row()-1)=C32)=E32)=TRUE),CONCATENATE(""Runda ""&amp;E32&amp;"" i ""&amp;C32&amp;"" finns redan""),
AND(C32&lt;&gt;""3x3 BLD"",C32&lt;&gt;""4x4 BLD"",C32&lt;&gt;""5x5 BLD"",C32&lt;&gt;""4x4 / 5x5 BLD"",OR(E32=2,E32=3,E32="&amp;"""Final""),H32&lt;&gt;""""),CONCATENATE(E32&amp;""-rundor brukar ej ha c.t.l.""),
AND(OR(E32=2,E32=3,E32=""Final""),I32&lt;&gt;""""),CONCATENATE(E32&amp;""-rundor brukar ej ha cutoff""),
AND(OR(C32=""3x3 FMC"",C32=""3x3 MBLD""),OR(E32=1,E32=2,E32=3,E32=""Final"")),CONCATENAT"&amp;"E(C32&amp;""s omgång är Rx - Ax""),
AND(C32&lt;&gt;""3x3 MBLD"",C32&lt;&gt;""3x3 FMC"",FILTER(Info!$D$2:D81, Info!$A$2:A81 = C32)&lt;&gt;F32),CONCATENATE(C32&amp;"" måste ha formatet ""&amp;FILTER(Info!$D$2:D81, Info!$A$2:A81 = C32)),
AND(C32=""3x3 MBLD"",OR(F32=""Avg of 5"",F32=""Mea"&amp;"n of 3"")),CONCATENATE(""Ogiltigt format för ""&amp;C32),
AND(C32=""3x3 FMC"",OR(F32=""Avg of 5"",F32=""Best of 3"")),CONCATENATE(""Ogiltigt format för ""&amp;C32),
AND(OR(F32=""Best of 1"",F32=""Best of 2"",F32=""Best of 3""),I32&lt;&gt;""""),CONCATENATE(F32&amp;""-rundor"&amp;" får ej ha cutoff""),
AND(OR(C32=""3x3 FMC"",C32=""3x3 MBLD""),G32&lt;&gt;60),CONCATENATE(C32&amp;"" måste ha time limit: 60""),
AND(OR(C32=""3x3 FMC"",C32=""3x3 MBLD""),H32&lt;&gt;""""),CONCATENATE(C32&amp;"" kan inte ha c.t.l.""),
AND(G32&lt;&gt;"""",H32&lt;&gt;""""),""Välj time limit"&amp;" ELLER c.t.l"",
AND(C32=""6x6 / 7x7"",G32="""",H32=""""),""Sätt time limit (x / y) eller c.t.l (z)"",
AND(G32="""",H32=""""),""Sätt en time limit eller c.t.l"",
AND(OR(C32=""6x6 / 7x7"",C32=""4x4 / 5x5 BLD""),G32&lt;&gt;"""",REGEXMATCH(TO_TEXT(G32),"" / "")=FAL"&amp;"SE),CONCATENATE(""Time limit måste vara x / y""),
AND(H32&lt;&gt;"""",I32&lt;&gt;""""),CONCATENATE(C32&amp;"" brukar ej ha cutoff OCH c.t.l""),
AND(E32=1,H32="""",I32="""",OR(FILTER(Info!$E$2:E81, Info!$A$2:A81 = C32) = ""Yes"",FILTER(Info!$F$2:F81, Info!$A$2:A81 = C32) "&amp;"= ""Yes""),OR(F32=""Avg of 5"",F32=""Mean of 3"")),CONCATENATE(C32&amp;"" bör ha cutoff eller c.t.l""),
AND(C32=""6x6 / 7x7"",I32&lt;&gt;"""",REGEXMATCH(TO_TEXT(I32),"" / "")=FALSE),CONCATENATE(""Cutoff måste vara x / y""),
AND(H32&lt;&gt;"""",ISNUMBER(H32)=FALSE),""C.t."&amp;"l. måste vara positivt tal (x)"",
AND(C32&lt;&gt;""6x6 / 7x7"",I32&lt;&gt;"""",ISNUMBER(I32)=FALSE),""Cutoff måste vara positivt tal (x)"",
AND(H32&lt;&gt;"""",FILTER(Info!$E$2:E81, Info!$A$2:A81 = C32) = ""No"",FILTER(Info!$F$2:F81, Info!$A$2:A81 = C32) = ""No""),CONCATEN"&amp;"ATE(C32&amp;"" brukar inte ha c.t.l.""),
AND(I32&lt;&gt;"""",FILTER(Info!$E$2:E81, Info!$A$2:A81 = C32) = ""No"",FILTER(Info!$F$2:F81, Info!$A$2:A81 = C32) = ""No""),CONCATENATE(C32&amp;"" brukar inte ha cutoff""),
AND(H32="""",FILTER(Info!$F$2:F81, Info!$A$2:A81 = C32"&amp;") = ""Yes""),CONCATENATE(C32&amp;"" brukar ha c.t.l.""),
AND(C32&lt;&gt;""6x6 / 7x7"",C32&lt;&gt;""4x4 / 5x5 BLD"",G32&lt;&gt;"""",ISNUMBER(G32)=FALSE),""Time limit måste vara positivt tal (x)"",
J32=""J - Error"",CONCATENATE(""För få deltagare i R1 för ""&amp;COUNTIF($C$7:$C$102,"&amp;"indirect(""C""&amp;row()))&amp;"" rundor""),
J32=""K2 - Error"",CONCATENATE(C32&amp;"" är mer populär - byt i K2!""),
AND(C32&lt;&gt;""6x6 / 7x7"",C32&lt;&gt;""4x4 / 5x5 BLD"",G32&lt;&gt;"""",I32&lt;&gt;"""",G32&lt;=I32),""Time limit måste vara &gt; cutoff"",
AND(C32&lt;&gt;""6x6 / 7x7"",C32&lt;&gt;""4x4 / 5"&amp;"x5 BLD"",H32&lt;&gt;"""",I32&lt;&gt;"""",H32&lt;=I32),""C.t.l. måste vara &gt; cutoff"",
AND(C32&lt;&gt;""3x3 FMC"",C32&lt;&gt;""3x3 MBLD"",J32=""""),CONCATENATE(""Fyll i antal deltagare i J""&amp;row()),
AND(C32="""",OR(E32&lt;&gt;"""",F32&lt;&gt;"""",G32&lt;&gt;"""",H32&lt;&gt;"""",I32&lt;&gt;"""",J32&lt;&gt;"""")),""Skri"&amp;"v ALLTID gren / aktivitet först"",
AND(I32="""",H32="""",J32&lt;&gt;""""),J32,
OR(""3x3 FMC""=C32,""3x3 MBLD""=C32),J32,
AND(I32&lt;&gt;"""",""6x6 / 7x7""=C32),
IFS(ArrayFormula(SUM(IFERROR(SPLIT(I32,"" / ""))))&lt;(Info!$J$6+Info!$J$7)*2/3,CONCATENATE(""Höj helst cutof"&amp;"fs i ""&amp;C32),
ArrayFormula(SUM(IFERROR(SPLIT(I32,"" / ""))))&lt;=(Info!$J$6+Info!$J$7),ROUNDUP(J32*Info!$J$22),
ArrayFormula(SUM(IFERROR(SPLIT(I32,"" / ""))))&lt;=Info!$J$6+Info!$J$7,ROUNDUP(J32*Info!$K$22),
ArrayFormula(SUM(IFERROR(SPLIT(I32,"" / ""))))&lt;=Info!"&amp;"$K$6+Info!$K$7,ROUNDUP(J32*Info!L$22),
ArrayFormula(SUM(IFERROR(SPLIT(I32,"" / ""))))&lt;=Info!$L$6+Info!$L$7,ROUNDUP(J32*Info!$M$22),
ArrayFormula(SUM(IFERROR(SPLIT(I32,"" / ""))))&lt;=Info!$M$6+Info!$M$7,ROUNDUP(J32*Info!$N$22),
ArrayFormula(SUM(IFERROR(SPLIT"&amp;"(I32,"" / ""))))&lt;=(Info!$N$6+Info!$N$7)*3/2,ROUNDUP(J32*Info!$J$26),
ArrayFormula(SUM(IFERROR(SPLIT(I32,"" / ""))))&gt;(Info!$N$6+Info!$N$7)*3/2,CONCATENATE(""Sänk helst cutoffs i ""&amp;C32)),
AND(I32&lt;&gt;"""",FILTER(Info!$E$2:E81, Info!$A$2:A81 = C32) = ""Yes""),"&amp;"
IFS(I32&lt;FILTER(Info!$J$2:J81, Info!$A$2:A81 = C32)*2/3,CONCATENATE(""Höj helst cutoff i ""&amp;C32),
I32&lt;=FILTER(Info!$J$2:J81, Info!$A$2:A81 = C32),ROUNDUP(J32*Info!$J$22),
I32&lt;=FILTER(Info!$K$2:K81, Info!$A$2:A81 = C32),ROUNDUP(J32*Info!$K$22),
I32&lt;=FILTER"&amp;"(Info!$L$2:L81, Info!$A$2:A81 = C32),ROUNDUP(J32*Info!L$22),
I32&lt;=FILTER(Info!$M$2:M81, Info!$A$2:A81 = C32),ROUNDUP(J32*Info!$M$22),
I32&lt;=FILTER(Info!$N$2:N81, Info!$A$2:A81 = C32),ROUNDUP(J32*Info!$N$22),
I32&lt;=FILTER(Info!$N$2:N81, Info!$A$2:A81 = C32)*"&amp;"3/2,ROUNDUP(J32*Info!$J$26),
I32&gt;FILTER(Info!$N$2:N81, Info!$A$2:A81 = C32)*3/2,CONCATENATE(""Sänk helst cutoff i ""&amp;C32)),
AND(H32&lt;&gt;"""",""6x6 / 7x7""=C32),
IFS(H32/3&lt;=(Info!$J$6+Info!$J$7)*2/3,""Höj helst cumulative time limit"",
H32/3&lt;=Info!$J$6+Info!$"&amp;"J$7,ROUNDUP(J32*Info!$J$24),
H32/3&lt;=Info!$K$6+Info!$K$7,ROUNDUP(J32*Info!$K$24),
H32/3&lt;=Info!$L$6+Info!$L$7,ROUNDUP(J32*Info!L$24),
H32/3&lt;=Info!$M$6+Info!$M$7,ROUNDUP(J32*Info!$M$24),
H32/3&lt;=Info!$N$6+Info!$N$7,ROUNDUP(J32*Info!$N$24),
H32/3&lt;=(Info!$N$6+I"&amp;"nfo!$N$7)*3/2,ROUNDUP(J32*Info!$L$26),
H32/3&gt;(Info!$J$6+Info!$J$7)*3/2,""Sänk helst cumulative time limit""),
AND(H32&lt;&gt;"""",FILTER(Info!$F$2:F81, Info!$A$2:A81 = C32) = ""Yes""),
IFS(H32&lt;=FILTER(Info!$J$2:J81, Info!$A$2:A81 = C32)*2/3,CONCATENATE(""Höj he"&amp;"lst c.t.l. i ""&amp;C32),
H32&lt;=FILTER(Info!$J$2:J81, Info!$A$2:A81 = C32),ROUNDUP(J32*Info!$J$24),
H32&lt;=FILTER(Info!$K$2:K81, Info!$A$2:A81 = C32),ROUNDUP(J32*Info!$K$24),
H32&lt;=FILTER(Info!$L$2:L81, Info!$A$2:A81 = C32),ROUNDUP(J32*Info!L$24),
H32&lt;=FILTER(Inf"&amp;"o!$M$2:M81, Info!$A$2:A81 = C32),ROUNDUP(J32*Info!$M$24),
H32&lt;=FILTER(Info!$N$2:N81, Info!$A$2:A81 = C32),ROUNDUP(J32*Info!$N$24),
H32&lt;=FILTER(Info!$N$2:N81, Info!$A$2:A81 = C32)*3/2,ROUNDUP(J32*Info!$L$26),
H32&gt;FILTER(Info!$N$2:N81, Info!$A$2:A81 = C32)*"&amp;"3/2,CONCATENATE(""Sänk helst c.t.l. i ""&amp;C32)),
AND(H32&lt;&gt;"""",FILTER(Info!$F$2:F81, Info!$A$2:A81 = C32) = ""No""),
IFS(H32/AA32&lt;=FILTER(Info!$J$2:J81, Info!$A$2:A81 = C32)*2/3,CONCATENATE(""Höj helst c.t.l. i ""&amp;C32),
H32/AA32&lt;=FILTER(Info!$J$2:J81, Info"&amp;"!$A$2:A81 = C32),ROUNDUP(J32*Info!$J$24),
H32/AA32&lt;=FILTER(Info!$K$2:K81, Info!$A$2:A81 = C32),ROUNDUP(J32*Info!$K$24),
H32/AA32&lt;=FILTER(Info!$L$2:L81, Info!$A$2:A81 = C32),ROUNDUP(J32*Info!L$24),
H32/AA32&lt;=FILTER(Info!$M$2:M81, Info!$A$2:A81 = C32),ROUND"&amp;"UP(J32*Info!$M$24),
H32/AA32&lt;=FILTER(Info!$N$2:N81, Info!$A$2:A81 = C32),ROUNDUP(J32*Info!$N$24),
H32/AA32&lt;=FILTER(Info!$N$2:N81, Info!$A$2:A81 = C32)*3/2,ROUNDUP(J32*Info!$L$26),
H32/AA32&gt;FILTER(Info!$N$2:N81, Info!$A$2:A81 = C32)*3/2,CONCATENATE(""Sänk "&amp;"helst c.t.l. i ""&amp;C32)),
AND(I32="""",H32&lt;&gt;"""",J32&lt;&gt;""""),ROUNDUP(J32*Info!$T$29),
AND(I32&lt;&gt;"""",H32="""",J32&lt;&gt;""""),ROUNDUP(J32*Info!$T$26))"),"")</f>
        <v/>
      </c>
      <c r="L32" s="42">
        <f>IFERROR(__xludf.DUMMYFUNCTION("IFS(C32="""",0,
C32=""3x3 FMC"",Info!$B$9*N32+M32, C32=""3x3 MBLD"",Info!$B$18*N32+M32,
COUNTIF(Info!$A$22:A81,C32)&gt;0,FILTER(Info!$B$22:B81,Info!$A$22:A81=C32)+M32,
AND(C32&lt;&gt;"""",E32=""""),CONCATENATE(""Fyll i E""&amp;row()),
AND(C32&lt;&gt;"""",E32&lt;&gt;"""",E32&lt;&gt;1,E3"&amp;"2&lt;&gt;2,E32&lt;&gt;3,E32&lt;&gt;""Final""),CONCATENATE(""Fel format på E""&amp;row()),
K32=CONCATENATE(""Runda ""&amp;E32&amp;"" i ""&amp;C32&amp;"" finns redan""),CONCATENATE(""Fel i E""&amp;row()),
AND(C32&lt;&gt;"""",F32=""""),CONCATENATE(""Fyll i F""&amp;row()),
K32=CONCATENATE(C32&amp;"" måste ha forma"&amp;"tet ""&amp;FILTER(Info!$D$2:D81, Info!$A$2:A81 = C32)),CONCATENATE(""Fel format på F""&amp;row()),
AND(C32&lt;&gt;"""",D32=1,H32="""",FILTER(Info!$F$2:F81, Info!$A$2:A81 = C32) = ""Yes""),CONCATENATE(""Fyll i H""&amp;row()),
AND(C32&lt;&gt;"""",D32=1,I32="""",FILTER(Info!$E$2:E8"&amp;"1, Info!$A$2:A81 = C32) = ""Yes""),CONCATENATE(""Fyll i I""&amp;row()),
AND(C32&lt;&gt;"""",J32=""""),CONCATENATE(""Fyll i J""&amp;row()),
AND(C32&lt;&gt;"""",K32="""",OR(H32&lt;&gt;"""",I32&lt;&gt;"""")),CONCATENATE(""Fyll i K""&amp;row()),
AND(C32&lt;&gt;"""",K32=""""),CONCATENATE(""Skriv samma"&amp;" i K""&amp;row()&amp;"" som i J""&amp;row()),
AND(OR(C32=""4x4 BLD"",C32=""5x5 BLD"",C32=""4x4 / 5x5 BLD"")=TRUE,V32&lt;=P32),
MROUND(H32*(Info!$T$20-((Info!$T$20-1)/2)*(1-V32/P32))*(1+((J32/K32)-1)*(1-Info!$J$24))*N32+(Info!$T$11/2)+(N32*Info!$T$11)+(N32*Info!$T$14*(O3"&amp;"2-1)),0.01)+M32,
AND(OR(C32=""4x4 BLD"",C32=""5x5 BLD"",C32=""4x4 / 5x5 BLD"")=TRUE,V32&gt;P32),
MROUND((((J32*Z32+K32*(AA32-Z32))*(H32*Info!$T$20/AA32))/X32)*(1+((J32/K32)-1)*(1-Info!$J$24))*(1+(X32-Info!$T$8)/100)+(Info!$T$11/2)+(N32*Info!$T$11)+(N32*Info!"&amp;"$T$14*(O32-1)),0.01)+M32,
AND(C32=""3x3 BLD"",V32&lt;=P32),
MROUND(H32*(Info!$T$23-((Info!$T$23-1)/2)*(1-V32/P32))*(1+((J32/K32)-1)*(1-Info!$J$24))*N32+(Info!$T$11/2)+(N32*Info!$T$11)+(N32*Info!$T$14*(O32-1)),0.01)+M32,
AND(C32=""3x3 BLD"",V32&gt;P32),
MROUND(("&amp;"((J32*Z32+K32*(AA32-Z32))*(H32*Info!$T$23/AA32))/X32)*(1+((J32/K32)-1)*(1-Info!$J$24))*(1+(X32-Info!$T$8)/100)+(Info!$T$11/2)+(N32*Info!$T$11)+(N32*Info!$T$14*(O32-1)),0.01)+M32,
E32=1,MROUND((((J32*Z32+K32*(AA32-Z32))*Y32)/X32)*(1+(X32-Info!$T$8)/100)+(N"&amp;"32*Info!$T$11)+(N32*Info!$T$14*(O32-1)),0.01)+M32,
AND(E32=""Final"",N32=1,FILTER(Info!$G$2:$G$20,Info!$A$2:$A$20=C32)=""Mycket svår""),
MROUND((((J32*Z32+K32*(AA32-Z32))*(Y32*Info!$T$38))/X32)*(1+(X32-Info!$T$8)/100)+(N32*Info!$T$11)+(N32*Info!$T$14*(O32"&amp;"-1)),0.01)+M32,
AND(E32=""Final"",N32=1,FILTER(Info!$G$2:$G$20,Info!$A$2:$A$20=C32)=""Svår""),
MROUND((((J32*Z32+K32*(AA32-Z32))*(Y32*Info!$T$35))/X32)*(1+(X32-Info!$T$8)/100)+(N32*Info!$T$11)+(N32*Info!$T$14*(O32-1)),0.01)+M32,
E32=""Final"",MROUND((((J3"&amp;"2*Z32+K32*(AA32-Z32))*(Y32*Info!$T$5))/X32)*(1+(X32-Info!$T$8)/100)+(N32*Info!$T$11)+(N32*Info!$T$14*(O32-1)),0.01)+M32,
OR(E32=2,E32=3),MROUND((((J32*Z32+K32*(AA32-Z32))*(Y32*Info!$T$2))/X32)*(1+(X32-Info!$T$8)/100)+(N32*Info!$T$11)+(N32*Info!$T$14*(O32-"&amp;"1)),0.01)+M32)"),0.0)</f>
        <v>0</v>
      </c>
      <c r="M32" s="43">
        <f t="shared" si="4"/>
        <v>0</v>
      </c>
      <c r="N32" s="43" t="str">
        <f>IFS(OR(COUNTIF(Info!$A$22:A81,C32)&gt;0,C32=""),"",
OR(C32="4x4 BLD",C32="5x5 BLD",C32="3x3 MBLD",C32="3x3 FMC",C32="4x4 / 5x5 BLD"),1,
AND(E32="Final",Q32="Yes",MAX(1,ROUNDUP(J32/P32))&gt;1),MAX(2,ROUNDUP(J32/P32)),
AND(E32="Final",Q32="No",MAX(1,ROUNDUP(J32/((P32*2)+2.625-Y32*1.5)))&gt;1),MAX(2,ROUNDUP(J32/((P32*2)+2.625-Y32*1.5))),
E32="Final",1,
Q32="Yes",MAX(2,ROUNDUP(J32/P32)),
TRUE,MAX(2,ROUNDUP(J32/((P32*2)+2.625-Y32*1.5))))</f>
        <v/>
      </c>
      <c r="O32" s="43" t="str">
        <f>IFS(OR(COUNTIF(Info!$A$22:A81,C32)&gt;0,C32=""),"",
OR("3x3 MBLD"=C32,"3x3 FMC"=C32)=TRUE,"",
D32=$E$4,$G$6,D32=$K$4,$M$6,D32=$Q$4,$S$6,D32=$W$4,$Y$6,
TRUE,$S$2)</f>
        <v/>
      </c>
      <c r="P32" s="43" t="str">
        <f>IFS(OR(COUNTIF(Info!$A$22:A81,C32)&gt;0,C32=""),"",
OR("3x3 MBLD"=C32,"3x3 FMC"=C32)=TRUE,"",
D32=$E$4,$E$6,D32=$K$4,$K$6,D32=$Q$4,$Q$6,D32=$W$4,$W$6,
TRUE,$Q$2)</f>
        <v/>
      </c>
      <c r="Q32" s="44" t="str">
        <f>IFS(OR(COUNTIF(Info!$A$22:A81,C32)&gt;0,C32=""),"",
OR("3x3 MBLD"=C32,"3x3 FMC"=C32)=TRUE,"",
D32=$E$4,$I$6,D32=$K$4,$O$6,D32=$Q$4,$U$6,D32=$W$4,$AA$6,
TRUE,$U$2)</f>
        <v/>
      </c>
      <c r="R32" s="45" t="str">
        <f>IFERROR(__xludf.DUMMYFUNCTION("IF(C32="""","""",IFERROR(FILTER(Info!$B$22:B81,Info!$A$22:A81=C32)+M32,""?""))"),"")</f>
        <v/>
      </c>
      <c r="S32" s="46" t="str">
        <f>IFS(OR(COUNTIF(Info!$A$22:A81,C32)&gt;0,C32=""),"",
AND(H32="",I32=""),J32,
TRUE,"?")</f>
        <v/>
      </c>
      <c r="T32" s="45" t="str">
        <f>IFS(OR(COUNTIF(Info!$A$22:A81,C32)&gt;0,C32=""),"",
AND(L32&lt;&gt;0,OR(R32="?",R32="")),"Fyll i R-kolumnen",
OR(C32="3x3 FMC",C32="3x3 MBLD"),R32,
AND(L32&lt;&gt;0,OR(S32="?",S32="")),"Fyll i S-kolumnen",
OR(COUNTIF(Info!$A$22:A81,C32)&gt;0,C32=""),"",
TRUE,Y32*R32/L32)</f>
        <v/>
      </c>
      <c r="U32" s="45"/>
      <c r="V32" s="47" t="str">
        <f>IFS(OR(COUNTIF(Info!$A$22:A81,C32)&gt;0,C32=""),"",
OR("3x3 MBLD"=C32,"3x3 FMC"=C32)=TRUE,"",
TRUE,MROUND((J32/N32),0.01))</f>
        <v/>
      </c>
      <c r="W32" s="48" t="str">
        <f>IFS(OR(COUNTIF(Info!$A$22:A81,C32)&gt;0,C32=""),"",
TRUE,L32/N32)</f>
        <v/>
      </c>
      <c r="X32" s="49" t="str">
        <f>IFS(OR(COUNTIF(Info!$A$22:A81,C32)&gt;0,C32=""),"",
OR("3x3 MBLD"=C32,"3x3 FMC"=C32)=TRUE,"",
OR(C32="4x4 BLD",C32="5x5 BLD",C32="4x4 / 5x5 BLD",AND(C32="3x3 BLD",H32&lt;&gt;""))=TRUE,MIN(V32,P32),
TRUE,MIN(P32,V32,MROUND(((V32*2/3)+((Y32-1.625)/2)),0.01)))</f>
        <v/>
      </c>
      <c r="Y32" s="48" t="str">
        <f>IFERROR(__xludf.DUMMYFUNCTION("IFS(OR(COUNTIF(Info!$A$22:A81,C32)&gt;0,C32=""""),"""",
FILTER(Info!$F$2:F81, Info!$A$2:A81 = C32) = ""Yes"",H32/AA32,
""3x3 FMC""=C32,Info!$B$9,""3x3 MBLD""=C32,Info!$B$18,
AND(E32=1,I32="""",H32="""",Q32=""No"",G32&gt;SUMIF(Info!$A$2:A81,C32,Info!$B$2:B81)*1."&amp;"5),
MIN(SUMIF(Info!$A$2:A81,C32,Info!$B$2:B81)*1.1,SUMIF(Info!$A$2:A81,C32,Info!$B$2:B81)*(1.15-(0.15*(SUMIF(Info!$A$2:A81,C32,Info!$B$2:B81)*1.5)/G32))),
AND(E32=1,I32="""",H32="""",Q32=""Yes"",G32&gt;SUMIF(Info!$A$2:A81,C32,Info!$C$2:C81)*1.5),
MIN(SUMIF(I"&amp;"nfo!$A$2:A81,C32,Info!$C$2:C81)*1.1,SUMIF(Info!$A$2:A81,C32,Info!$C$2:C81)*(1.15-(0.15*(SUMIF(Info!$A$2:A81,C32,Info!$C$2:C81)*1.5)/G32))),
Q32=""No"",SUMIF(Info!$A$2:A81,C32,Info!$B$2:B81),
Q32=""Yes"",SUMIF(Info!$A$2:A81,C32,Info!$C$2:C81))"),"")</f>
        <v/>
      </c>
      <c r="Z32" s="47" t="str">
        <f>IFS(OR(COUNTIF(Info!$A$22:A81,C32)&gt;0,C32=""),"",
AND(OR("3x3 FMC"=C32,"3x3 MBLD"=C32),I32&lt;&gt;""),1,
AND(OR(H32&lt;&gt;"",I32&lt;&gt;""),F32="Avg of 5"),2,
F32="Avg of 5",AA32,
AND(OR(H32&lt;&gt;"",I32&lt;&gt;""),F32="Mean of 3",C32="6x6 / 7x7"),2,
AND(OR(H32&lt;&gt;"",I32&lt;&gt;""),F32="Mean of 3"),1,
F32="Mean of 3",AA32,
AND(OR(H32&lt;&gt;"",I32&lt;&gt;""),F32="Best of 3",C32="4x4 / 5x5 BLD"),2,
AND(OR(H32&lt;&gt;"",I32&lt;&gt;""),F32="Best of 3"),1,
F32="Best of 2",AA32,
F32="Best of 1",AA32)</f>
        <v/>
      </c>
      <c r="AA32" s="47" t="str">
        <f>IFS(OR(COUNTIF(Info!$A$22:A81,C32)&gt;0,C32=""),"",
AND(OR("3x3 MBLD"=C32,"3x3 FMC"=C32),F32="Best of 1"=TRUE),1,
AND(OR("3x3 MBLD"=C32,"3x3 FMC"=C32),F32="Best of 2"=TRUE),2,
AND(OR("3x3 MBLD"=C32,"3x3 FMC"=C32),OR(F32="Best of 3",F32="Mean of 3")=TRUE),3,
AND(F32="Mean of 3",C32="6x6 / 7x7"),6,
AND(F32="Best of 3",C32="4x4 / 5x5 BLD"),6,
F32="Avg of 5",5,F32="Mean of 3",3,F32="Best of 3",3,F32="Best of 2",2,F32="Best of 1",1)</f>
        <v/>
      </c>
      <c r="AB32" s="50"/>
    </row>
    <row r="33" ht="15.75" customHeight="1">
      <c r="A33" s="35">
        <f>IFERROR(__xludf.DUMMYFUNCTION("IFS(indirect(""A""&amp;row()-1)=""Start"",TIME(indirect(""A""&amp;row()-2),indirect(""B""&amp;row()-2),0),
$O$2=""No"",TIME(0,($A$6*60+$B$6)+CEILING(SUM($L$7:indirect(""L""&amp;row()-1)),5),0),
D33=$E$2,TIME(0,($A$6*60+$B$6)+CEILING(SUM(IFERROR(FILTER($L$7:indirect(""L"""&amp;"&amp;row()-1),REGEXMATCH($D$7:indirect(""D""&amp;row()-1),$E$2)),0)),5),0),
TRUE,""=time(hh;mm;ss)"")"),0.375)</f>
        <v>0.375</v>
      </c>
      <c r="B33" s="36">
        <f>IFERROR(__xludf.DUMMYFUNCTION("IFS($O$2=""No"",TIME(0,($A$6*60+$B$6)+CEILING(SUM($L$7:indirect(""L""&amp;row())),5),0),
D33=$E$2,TIME(0,($A$6*60+$B$6)+CEILING(SUM(FILTER($L$7:indirect(""L""&amp;row()),REGEXMATCH($D$7:indirect(""D""&amp;row()),$E$2))),5),0),
A33=""=time(hh;mm;ss)"",CONCATENATE(""Sk"&amp;"riv tid i A""&amp;row()),
AND(A33&lt;&gt;"""",A33&lt;&gt;""=time(hh;mm;ss)""),A33+TIME(0,CEILING(indirect(""L""&amp;row()),5),0))"),0.375)</f>
        <v>0.375</v>
      </c>
      <c r="C33" s="37"/>
      <c r="D33" s="38" t="str">
        <f t="shared" si="3"/>
        <v>Stora salen</v>
      </c>
      <c r="E33" s="38" t="str">
        <f>IFERROR(__xludf.DUMMYFUNCTION("IFS(COUNTIF(Info!$A$22:A81,C33)&gt;0,"""",
AND(OR(""3x3 FMC""=C33,""3x3 MBLD""=C33),COUNTIF($C$7:indirect(""C""&amp;row()),indirect(""C""&amp;row()))&gt;=13),""E - Error"",
AND(OR(""3x3 FMC""=C33,""3x3 MBLD""=C33),COUNTIF($C$7:indirect(""C""&amp;row()),indirect(""C""&amp;row()"&amp;"))=12),""Final - A3"",
AND(OR(""3x3 FMC""=C33,""3x3 MBLD""=C33),COUNTIF($C$7:indirect(""C""&amp;row()),indirect(""C""&amp;row()))=11),""Final - A2"",
AND(OR(""3x3 FMC""=C33,""3x3 MBLD""=C33),COUNTIF($C$7:indirect(""C""&amp;row()),indirect(""C""&amp;row()))=10),""Final - "&amp;"A1"",
AND(OR(""3x3 FMC""=C33,""3x3 MBLD""=C33),COUNTIF($C$7:indirect(""C""&amp;row()),indirect(""C""&amp;row()))=9,
COUNTIF($C$7:$C$102,indirect(""C""&amp;row()))&gt;9),""R3 - A3"",
AND(OR(""3x3 FMC""=C33,""3x3 MBLD""=C33),COUNTIF($C$7:indirect(""C""&amp;row()),indirect(""C"&amp;"""&amp;row()))=9,
COUNTIF($C$7:$C$102,indirect(""C""&amp;row()))&lt;=9),""Final - A3"",
AND(OR(""3x3 FMC""=C33,""3x3 MBLD""=C33),COUNTIF($C$7:indirect(""C""&amp;row()),indirect(""C""&amp;row()))=8,
COUNTIF($C$7:$C$102,indirect(""C""&amp;row()))&gt;9),""R3 - A2"",
AND(OR(""3x3 FMC"&amp;"""=C33,""3x3 MBLD""=C33),COUNTIF($C$7:indirect(""C""&amp;row()),indirect(""C""&amp;row()))=8,
COUNTIF($C$7:$C$102,indirect(""C""&amp;row()))&lt;=9),""Final - A2"",
AND(OR(""3x3 FMC""=C33,""3x3 MBLD""=C33),COUNTIF($C$7:indirect(""C""&amp;row()),indirect(""C""&amp;row()))=7,
COUN"&amp;"TIF($C$7:$C$102,indirect(""C""&amp;row()))&gt;9),""R3 - A1"",
AND(OR(""3x3 FMC""=C33,""3x3 MBLD""=C33),COUNTIF($C$7:indirect(""C""&amp;row()),indirect(""C""&amp;row()))=7,
COUNTIF($C$7:$C$102,indirect(""C""&amp;row()))&lt;=9),""Final - A1"",
AND(OR(""3x3 FMC""=C33,""3x3 MBLD"""&amp;"=C33),COUNTIF($C$7:indirect(""C""&amp;row()),indirect(""C""&amp;row()))=6,
COUNTIF($C$7:$C$102,indirect(""C""&amp;row()))&gt;6),""R2 - A3"",
AND(OR(""3x3 FMC""=C33,""3x3 MBLD""=C33),COUNTIF($C$7:indirect(""C""&amp;row()),indirect(""C""&amp;row()))=6,
COUNTIF($C$7:$C$102,indirec"&amp;"t(""C""&amp;row()))&lt;=6),""Final - A3"",
AND(OR(""3x3 FMC""=C33,""3x3 MBLD""=C33),COUNTIF($C$7:indirect(""C""&amp;row()),indirect(""C""&amp;row()))=5,
COUNTIF($C$7:$C$102,indirect(""C""&amp;row()))&gt;6),""R2 - A2"",
AND(OR(""3x3 FMC""=C33,""3x3 MBLD""=C33),COUNTIF($C$7:indi"&amp;"rect(""C""&amp;row()),indirect(""C""&amp;row()))=5,
COUNTIF($C$7:$C$102,indirect(""C""&amp;row()))&lt;=6),""Final - A2"",
AND(OR(""3x3 FMC""=C33,""3x3 MBLD""=C33),COUNTIF($C$7:indirect(""C""&amp;row()),indirect(""C""&amp;row()))=4,
COUNTIF($C$7:$C$102,indirect(""C""&amp;row()))&gt;6),"&amp;"""R2 - A1"",
AND(OR(""3x3 FMC""=C33,""3x3 MBLD""=C33),COUNTIF($C$7:indirect(""C""&amp;row()),indirect(""C""&amp;row()))=4,
COUNTIF($C$7:$C$102,indirect(""C""&amp;row()))&lt;=6),""Final - A1"",
AND(OR(""3x3 FMC""=C33,""3x3 MBLD""=C33),COUNTIF($C$7:indirect(""C""&amp;row()),i"&amp;"ndirect(""C""&amp;row()))=3),""R1 - A3"",
AND(OR(""3x3 FMC""=C33,""3x3 MBLD""=C33),COUNTIF($C$7:indirect(""C""&amp;row()),indirect(""C""&amp;row()))=2),""R1 - A2"",
AND(OR(""3x3 FMC""=C33,""3x3 MBLD""=C33),COUNTIF($C$7:indirect(""C""&amp;row()),indirect(""C""&amp;row()))=1),"&amp;"""R1 -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C33),ROUNDUP((FILTER(Info!$H$2:H81,Info!$A$2:A81=C33)/FILTER(Info!$H$2:H81,Info!$A$2:A81=$K$2))*$I$2)&gt;99),3,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C33),ROUNDUP((FILTER(Info!$H$2:H81,Info!$A$2:A81=C33)/FILTER(Info!$H$2:H81,Info!$A$2:A81=$K$2))*$I$2)&gt;15),2,
AND(COUNTIF($C$7:indirect(""C""&amp;row()),indirect(""C""&amp;row()))=2,COUNTIF($C$7:$C$102,indirect(""C""&amp;row()))=COUNTIF($"&amp;"C$7:indirect(""C""&amp;row()),indirect(""C""&amp;row()))),""Final"",
COUNTIF($C$7:indirect(""C""&amp;row()),indirect(""C""&amp;row()))=1,1,
COUNTIF($C$7:indirect(""C""&amp;row()),indirect(""C""&amp;row()))=0,"""")"),"")</f>
        <v/>
      </c>
      <c r="F33" s="39" t="str">
        <f>IFERROR(__xludf.DUMMYFUNCTION("IFS(C33="""","""",
AND(C33=""3x3 FMC"",MOD(COUNTIF($C$7:indirect(""C""&amp;row()),indirect(""C""&amp;row())),3)=0),""Mean of 3"",
AND(C33=""3x3 MBLD"",MOD(COUNTIF($C$7:indirect(""C""&amp;row()),indirect(""C""&amp;row())),3)=0),""Best of 3"",
AND(C33=""3x3 FMC"",MOD(COUNT"&amp;"IF($C$7:indirect(""C""&amp;row()),indirect(""C""&amp;row())),3)=2,
COUNTIF($C$7:$C$102,indirect(""C""&amp;row()))&lt;=COUNTIF($C$7:indirect(""C""&amp;row()),indirect(""C""&amp;row()))),""Best of 2"",
AND(C33=""3x3 FMC"",MOD(COUNTIF($C$7:indirect(""C""&amp;row()),indirect(""C""&amp;row("&amp;"))),3)=2,
COUNTIF($C$7:$C$102,indirect(""C""&amp;row()))&gt;COUNTIF($C$7:indirect(""C""&amp;row()),indirect(""C""&amp;row()))),""Mean of 3"",
AND(C33=""3x3 MBLD"",MOD(COUNTIF($C$7:indirect(""C""&amp;row()),indirect(""C""&amp;row())),3)=2,
COUNTIF($C$7:$C$102,indirect(""C""&amp;row("&amp;")))&lt;=COUNTIF($C$7:indirect(""C""&amp;row()),indirect(""C""&amp;row()))),""Best of 2"",
AND(C33=""3x3 MBLD"",MOD(COUNTIF($C$7:indirect(""C""&amp;row()),indirect(""C""&amp;row())),3)=2,
COUNTIF($C$7:$C$102,indirect(""C""&amp;row()))&gt;COUNTIF($C$7:indirect(""C""&amp;row()),indirect("&amp;"""C""&amp;row()))),""Best of 3"",
AND(C33=""3x3 FMC"",MOD(COUNTIF($C$7:indirect(""C""&amp;row()),indirect(""C""&amp;row())),3)=1,
COUNTIF($C$7:$C$102,indirect(""C""&amp;row()))&lt;=COUNTIF($C$7:indirect(""C""&amp;row()),indirect(""C""&amp;row()))),""Best of 1"",
AND(C33=""3x3 FMC"""&amp;",MOD(COUNTIF($C$7:indirect(""C""&amp;row()),indirect(""C""&amp;row())),3)=1,
COUNTIF($C$7:$C$102,indirect(""C""&amp;row()))=COUNTIF($C$7:indirect(""C""&amp;row()),indirect(""C""&amp;row()))+1),""Best of 2"",
AND(C33=""3x3 FMC"",MOD(COUNTIF($C$7:indirect(""C""&amp;row()),indirect"&amp;"(""C""&amp;row())),3)=1,
COUNTIF($C$7:$C$102,indirect(""C""&amp;row()))&gt;COUNTIF($C$7:indirect(""C""&amp;row()),indirect(""C""&amp;row()))),""Mean of 3"",
AND(C33=""3x3 MBLD"",MOD(COUNTIF($C$7:indirect(""C""&amp;row()),indirect(""C""&amp;row())),3)=1,
COUNTIF($C$7:$C$102,indirect"&amp;"(""C""&amp;row()))&lt;=COUNTIF($C$7:indirect(""C""&amp;row()),indirect(""C""&amp;row()))),""Best of 1"",
AND(C33=""3x3 MBLD"",MOD(COUNTIF($C$7:indirect(""C""&amp;row()),indirect(""C""&amp;row())),3)=1,
COUNTIF($C$7:$C$102,indirect(""C""&amp;row()))=COUNTIF($C$7:indirect(""C""&amp;row()"&amp;"),indirect(""C""&amp;row()))+1),""Best of 2"",
AND(C33=""3x3 MBLD"",MOD(COUNTIF($C$7:indirect(""C""&amp;row()),indirect(""C""&amp;row())),3)=1,
COUNTIF($C$7:$C$102,indirect(""C""&amp;row()))&gt;COUNTIF($C$7:indirect(""C""&amp;row()),indirect(""C""&amp;row()))),""Best of 3"",
TRUE,("&amp;"IFERROR(FILTER(Info!$D$2:D81, Info!$A$2:A81 = C33), """")))"),"")</f>
        <v/>
      </c>
      <c r="G33" s="40" t="str">
        <f>IFERROR(__xludf.DUMMYFUNCTION("IFS(OR(COUNTIF(Info!$A$22:A81,C33)&gt;0,C33=""""),"""",
OR(""3x3 MBLD""=C33,""3x3 FMC""=C33),60,
AND(E33=1,FILTER(Info!$F$2:F81, Info!$A$2:A81 = C33) = ""No""),FILTER(Info!$P$2:P81, Info!$A$2:A81 = C33),
AND(E33=2,FILTER(Info!$F$2:F81, Info!$A$2:A81 = C33) ="&amp;" ""No""),FILTER(Info!$Q$2:Q81, Info!$A$2:A81 = C33),
AND(E33=3,FILTER(Info!$F$2:F81, Info!$A$2:A81 = C33) = ""No""),FILTER(Info!$R$2:R81, Info!$A$2:A81 = C33),
AND(E33=""Final"",FILTER(Info!$F$2:F81, Info!$A$2:A81 = C33) = ""No""),FILTER(Info!$S$2:S81, In"&amp;"fo!$A$2:A81 = C33),
FILTER(Info!$F$2:F81, Info!$A$2:A81 = C33) = ""Yes"","""")"),"")</f>
        <v/>
      </c>
      <c r="H33" s="40" t="str">
        <f>IFERROR(__xludf.DUMMYFUNCTION("IFS(OR(COUNTIF(Info!$A$22:A81,C33)&gt;0,C33=""""),"""",
OR(""3x3 MBLD""=C33,""3x3 FMC""=C33)=TRUE,"""",
FILTER(Info!$F$2:F81, Info!$A$2:A81 = C33) = ""Yes"",FILTER(Info!$O$2:O81, Info!$A$2:A81 = C33),
FILTER(Info!$F$2:F81, Info!$A$2:A81 = C33) = ""No"",IF(G3"&amp;"3="""",FILTER(Info!$O$2:O81, Info!$A$2:A81 = C33),""""))"),"")</f>
        <v/>
      </c>
      <c r="I33" s="40" t="str">
        <f>IFERROR(__xludf.DUMMYFUNCTION("IFS(OR(COUNTIF(Info!$A$22:A81,C33)&gt;0,C33="""",H33&lt;&gt;""""),"""",
AND(E33&lt;&gt;1,E33&lt;&gt;""R1 - A1"",E33&lt;&gt;""R1 - A2"",E33&lt;&gt;""R1 - A3""),"""",
FILTER(Info!$E$2:E81, Info!$A$2:A81 = C33) = ""Yes"",IF(H33="""",FILTER(Info!$L$2:L81, Info!$A$2:A81 = C33),""""),
FILTER(I"&amp;"nfo!$E$2:E81, Info!$A$2:A81 = C33) = ""No"","""")"),"")</f>
        <v/>
      </c>
      <c r="J33" s="40" t="str">
        <f>IFERROR(__xludf.DUMMYFUNCTION("IFS(OR(COUNTIF(Info!$A$22:A81,C33)&gt;0,C33="""",""3x3 MBLD""=C33,""3x3 FMC""=C33),"""",
AND(E33=1,FILTER(Info!$H$2:H81,Info!$A$2:A81 = C33)&lt;=FILTER(Info!$H$2:H81,Info!$A$2:A81=$K$2)),
ROUNDUP((FILTER(Info!$H$2:H81,Info!$A$2:A81 = C33)/FILTER(Info!$H$2:H81,I"&amp;"nfo!$A$2:A81=$K$2))*$I$2),
AND(E33=1,FILTER(Info!$H$2:H81,Info!$A$2:A81 = C33)&gt;FILTER(Info!$H$2:H81,Info!$A$2:A81=$K$2)),""K2 - Error"",
AND(E33=2,FILTER($J$7:indirect(""J""&amp;row()-1),$C$7:indirect(""C""&amp;row()-1)=C33)&lt;=7),""J - Error"",
E33=2,FLOOR(FILTER("&amp;"$J$7:indirect(""J""&amp;row()-1),$C$7:indirect(""C""&amp;row()-1)=C33)*Info!$T$32),
AND(E33=3,FILTER($J$7:indirect(""J""&amp;row()-1),$C$7:indirect(""C""&amp;row()-1)=C33)&lt;=15),""J - Error"",
E33=3,FLOOR(Info!$T$32*FLOOR(FILTER($J$7:indirect(""J""&amp;row()-1),$C$7:indirect("&amp;"""C""&amp;row()-1)=C33)*Info!$T$32)),
AND(E33=""Final"",COUNTIF($C$7:$C$102,C33)=2,FILTER($J$7:indirect(""J""&amp;row()-1),$C$7:indirect(""C""&amp;row()-1)=C33)&lt;=7),""J - Error"",
AND(E33=""Final"",COUNTIF($C$7:$C$102,C33)=2),
MIN(P33,FLOOR(FILTER($J$7:indirect(""J"""&amp;"&amp;row()-1),$C$7:indirect(""C""&amp;row()-1)=C33)*Info!$T$32)),
AND(E33=""Final"",COUNTIF($C$7:$C$102,C33)=3,FILTER($J$7:indirect(""J""&amp;row()-1),$C$7:indirect(""C""&amp;row()-1)=C33)&lt;=15),""J - Error"",
AND(E33=""Final"",COUNTIF($C$7:$C$102,C33)=3),
MIN(P33,FLOOR(I"&amp;"nfo!$T$32*FLOOR(FILTER($J$7:indirect(""J""&amp;row()-1),$C$7:indirect(""C""&amp;row()-1)=C33)*Info!$T$32))),
AND(E33=""Final"",COUNTIF($C$7:$C$102,C33)&gt;=4,FILTER($J$7:indirect(""J""&amp;row()-1),$C$7:indirect(""C""&amp;row()-1)=C33)&lt;=99),""J - Error"",
AND(E33=""Final"","&amp;"COUNTIF($C$7:$C$102,C33)&gt;=4),
MIN(P33,FLOOR(Info!$T$32*FLOOR(Info!$T$32*FLOOR(FILTER($J$7:indirect(""J""&amp;row()-1),$C$7:indirect(""C""&amp;row()-1)=C33)*Info!$T$32)))))"),"")</f>
        <v/>
      </c>
      <c r="K33" s="41" t="str">
        <f>IFERROR(__xludf.DUMMYFUNCTION("IFS(AND(indirect(""D""&amp;row()+2)&lt;&gt;$E$2,indirect(""D""&amp;row()+1)=""""),CONCATENATE(""Tom rad! Kopiera hela rad ""&amp;row()&amp;"" dit""),
AND(indirect(""D""&amp;row()-1)&lt;&gt;""Rum"",indirect(""D""&amp;row()-1)=""""),CONCATENATE(""Tom rad! Kopiera hela rad ""&amp;row()&amp;"" dit""),
"&amp;"C33="""","""",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OR(AND(D33&lt;&gt;$E$2,D33&lt;&gt;$E$4,D33&lt;&gt;$K$4,D33&lt;&gt;$Q$4),D33="&amp;"""""),CONCATENATE(""Rum: ""&amp;D33&amp;"" finns ej, byt i D""&amp;row()),
AND(indirect(""D""&amp;row()-1)=""Rum"",C33=""""),CONCATENATE(""För att börja: skriv i cell C""&amp;row()),
AND(C33=""Paus"",M33&lt;=0),CONCATENATE(""Skriv pausens längd i M""&amp;row()),
OR(COUNTIF(Info!$A$"&amp;"22:A81,C33)&gt;0,C33=""""),"""",
AND(D33&lt;&gt;$E$2,$O$2=""Yes"",A33=""=time(hh;mm;ss)""),CONCATENATE(""Skriv starttid för ""&amp;C33&amp;"" i A""&amp;row()),
E33=""E - Error"",CONCATENATE(""För många ""&amp;C33&amp;"" rundor!""),
AND(C33&lt;&gt;""3x3 FMC"",C33&lt;&gt;""3x3 MBLD"",E33&lt;&gt;1,E33&lt;&gt;"&amp;"""Final"",IFERROR(FILTER($E$7:indirect(""E""&amp;row()-1),
$E$7:indirect(""E""&amp;row()-1)=E33-1,$C$7:indirect(""C""&amp;row()-1)=C33))=FALSE),CONCATENATE(""Kan ej vara R""&amp;E33&amp;"", saknar R""&amp;(E33-1)),
AND(indirect(""E""&amp;row()-1)&lt;&gt;""Omgång"",IFERROR(FILTER($E$7:indi"&amp;"rect(""E""&amp;row()-1),
$E$7:indirect(""E""&amp;row()-1)=E33,$C$7:indirect(""C""&amp;row()-1)=C33)=E33)=TRUE),CONCATENATE(""Runda ""&amp;E33&amp;"" i ""&amp;C33&amp;"" finns redan""),
AND(C33&lt;&gt;""3x3 BLD"",C33&lt;&gt;""4x4 BLD"",C33&lt;&gt;""5x5 BLD"",C33&lt;&gt;""4x4 / 5x5 BLD"",OR(E33=2,E33=3,E33="&amp;"""Final""),H33&lt;&gt;""""),CONCATENATE(E33&amp;""-rundor brukar ej ha c.t.l.""),
AND(OR(E33=2,E33=3,E33=""Final""),I33&lt;&gt;""""),CONCATENATE(E33&amp;""-rundor brukar ej ha cutoff""),
AND(OR(C33=""3x3 FMC"",C33=""3x3 MBLD""),OR(E33=1,E33=2,E33=3,E33=""Final"")),CONCATENAT"&amp;"E(C33&amp;""s omgång är Rx - Ax""),
AND(C33&lt;&gt;""3x3 MBLD"",C33&lt;&gt;""3x3 FMC"",FILTER(Info!$D$2:D81, Info!$A$2:A81 = C33)&lt;&gt;F33),CONCATENATE(C33&amp;"" måste ha formatet ""&amp;FILTER(Info!$D$2:D81, Info!$A$2:A81 = C33)),
AND(C33=""3x3 MBLD"",OR(F33=""Avg of 5"",F33=""Mea"&amp;"n of 3"")),CONCATENATE(""Ogiltigt format för ""&amp;C33),
AND(C33=""3x3 FMC"",OR(F33=""Avg of 5"",F33=""Best of 3"")),CONCATENATE(""Ogiltigt format för ""&amp;C33),
AND(OR(F33=""Best of 1"",F33=""Best of 2"",F33=""Best of 3""),I33&lt;&gt;""""),CONCATENATE(F33&amp;""-rundor"&amp;" får ej ha cutoff""),
AND(OR(C33=""3x3 FMC"",C33=""3x3 MBLD""),G33&lt;&gt;60),CONCATENATE(C33&amp;"" måste ha time limit: 60""),
AND(OR(C33=""3x3 FMC"",C33=""3x3 MBLD""),H33&lt;&gt;""""),CONCATENATE(C33&amp;"" kan inte ha c.t.l.""),
AND(G33&lt;&gt;"""",H33&lt;&gt;""""),""Välj time limit"&amp;" ELLER c.t.l"",
AND(C33=""6x6 / 7x7"",G33="""",H33=""""),""Sätt time limit (x / y) eller c.t.l (z)"",
AND(G33="""",H33=""""),""Sätt en time limit eller c.t.l"",
AND(OR(C33=""6x6 / 7x7"",C33=""4x4 / 5x5 BLD""),G33&lt;&gt;"""",REGEXMATCH(TO_TEXT(G33),"" / "")=FAL"&amp;"SE),CONCATENATE(""Time limit måste vara x / y""),
AND(H33&lt;&gt;"""",I33&lt;&gt;""""),CONCATENATE(C33&amp;"" brukar ej ha cutoff OCH c.t.l""),
AND(E33=1,H33="""",I33="""",OR(FILTER(Info!$E$2:E81, Info!$A$2:A81 = C33) = ""Yes"",FILTER(Info!$F$2:F81, Info!$A$2:A81 = C33) "&amp;"= ""Yes""),OR(F33=""Avg of 5"",F33=""Mean of 3"")),CONCATENATE(C33&amp;"" bör ha cutoff eller c.t.l""),
AND(C33=""6x6 / 7x7"",I33&lt;&gt;"""",REGEXMATCH(TO_TEXT(I33),"" / "")=FALSE),CONCATENATE(""Cutoff måste vara x / y""),
AND(H33&lt;&gt;"""",ISNUMBER(H33)=FALSE),""C.t."&amp;"l. måste vara positivt tal (x)"",
AND(C33&lt;&gt;""6x6 / 7x7"",I33&lt;&gt;"""",ISNUMBER(I33)=FALSE),""Cutoff måste vara positivt tal (x)"",
AND(H33&lt;&gt;"""",FILTER(Info!$E$2:E81, Info!$A$2:A81 = C33) = ""No"",FILTER(Info!$F$2:F81, Info!$A$2:A81 = C33) = ""No""),CONCATEN"&amp;"ATE(C33&amp;"" brukar inte ha c.t.l.""),
AND(I33&lt;&gt;"""",FILTER(Info!$E$2:E81, Info!$A$2:A81 = C33) = ""No"",FILTER(Info!$F$2:F81, Info!$A$2:A81 = C33) = ""No""),CONCATENATE(C33&amp;"" brukar inte ha cutoff""),
AND(H33="""",FILTER(Info!$F$2:F81, Info!$A$2:A81 = C33"&amp;") = ""Yes""),CONCATENATE(C33&amp;"" brukar ha c.t.l.""),
AND(C33&lt;&gt;""6x6 / 7x7"",C33&lt;&gt;""4x4 / 5x5 BLD"",G33&lt;&gt;"""",ISNUMBER(G33)=FALSE),""Time limit måste vara positivt tal (x)"",
J33=""J - Error"",CONCATENATE(""För få deltagare i R1 för ""&amp;COUNTIF($C$7:$C$102,"&amp;"indirect(""C""&amp;row()))&amp;"" rundor""),
J33=""K2 - Error"",CONCATENATE(C33&amp;"" är mer populär - byt i K2!""),
AND(C33&lt;&gt;""6x6 / 7x7"",C33&lt;&gt;""4x4 / 5x5 BLD"",G33&lt;&gt;"""",I33&lt;&gt;"""",G33&lt;=I33),""Time limit måste vara &gt; cutoff"",
AND(C33&lt;&gt;""6x6 / 7x7"",C33&lt;&gt;""4x4 / 5"&amp;"x5 BLD"",H33&lt;&gt;"""",I33&lt;&gt;"""",H33&lt;=I33),""C.t.l. måste vara &gt; cutoff"",
AND(C33&lt;&gt;""3x3 FMC"",C33&lt;&gt;""3x3 MBLD"",J33=""""),CONCATENATE(""Fyll i antal deltagare i J""&amp;row()),
AND(C33="""",OR(E33&lt;&gt;"""",F33&lt;&gt;"""",G33&lt;&gt;"""",H33&lt;&gt;"""",I33&lt;&gt;"""",J33&lt;&gt;"""")),""Skri"&amp;"v ALLTID gren / aktivitet först"",
AND(I33="""",H33="""",J33&lt;&gt;""""),J33,
OR(""3x3 FMC""=C33,""3x3 MBLD""=C33),J33,
AND(I33&lt;&gt;"""",""6x6 / 7x7""=C33),
IFS(ArrayFormula(SUM(IFERROR(SPLIT(I33,"" / ""))))&lt;(Info!$J$6+Info!$J$7)*2/3,CONCATENATE(""Höj helst cutof"&amp;"fs i ""&amp;C33),
ArrayFormula(SUM(IFERROR(SPLIT(I33,"" / ""))))&lt;=(Info!$J$6+Info!$J$7),ROUNDUP(J33*Info!$J$22),
ArrayFormula(SUM(IFERROR(SPLIT(I33,"" / ""))))&lt;=Info!$J$6+Info!$J$7,ROUNDUP(J33*Info!$K$22),
ArrayFormula(SUM(IFERROR(SPLIT(I33,"" / ""))))&lt;=Info!"&amp;"$K$6+Info!$K$7,ROUNDUP(J33*Info!L$22),
ArrayFormula(SUM(IFERROR(SPLIT(I33,"" / ""))))&lt;=Info!$L$6+Info!$L$7,ROUNDUP(J33*Info!$M$22),
ArrayFormula(SUM(IFERROR(SPLIT(I33,"" / ""))))&lt;=Info!$M$6+Info!$M$7,ROUNDUP(J33*Info!$N$22),
ArrayFormula(SUM(IFERROR(SPLIT"&amp;"(I33,"" / ""))))&lt;=(Info!$N$6+Info!$N$7)*3/2,ROUNDUP(J33*Info!$J$26),
ArrayFormula(SUM(IFERROR(SPLIT(I33,"" / ""))))&gt;(Info!$N$6+Info!$N$7)*3/2,CONCATENATE(""Sänk helst cutoffs i ""&amp;C33)),
AND(I33&lt;&gt;"""",FILTER(Info!$E$2:E81, Info!$A$2:A81 = C33) = ""Yes""),"&amp;"
IFS(I33&lt;FILTER(Info!$J$2:J81, Info!$A$2:A81 = C33)*2/3,CONCATENATE(""Höj helst cutoff i ""&amp;C33),
I33&lt;=FILTER(Info!$J$2:J81, Info!$A$2:A81 = C33),ROUNDUP(J33*Info!$J$22),
I33&lt;=FILTER(Info!$K$2:K81, Info!$A$2:A81 = C33),ROUNDUP(J33*Info!$K$22),
I33&lt;=FILTER"&amp;"(Info!$L$2:L81, Info!$A$2:A81 = C33),ROUNDUP(J33*Info!L$22),
I33&lt;=FILTER(Info!$M$2:M81, Info!$A$2:A81 = C33),ROUNDUP(J33*Info!$M$22),
I33&lt;=FILTER(Info!$N$2:N81, Info!$A$2:A81 = C33),ROUNDUP(J33*Info!$N$22),
I33&lt;=FILTER(Info!$N$2:N81, Info!$A$2:A81 = C33)*"&amp;"3/2,ROUNDUP(J33*Info!$J$26),
I33&gt;FILTER(Info!$N$2:N81, Info!$A$2:A81 = C33)*3/2,CONCATENATE(""Sänk helst cutoff i ""&amp;C33)),
AND(H33&lt;&gt;"""",""6x6 / 7x7""=C33),
IFS(H33/3&lt;=(Info!$J$6+Info!$J$7)*2/3,""Höj helst cumulative time limit"",
H33/3&lt;=Info!$J$6+Info!$"&amp;"J$7,ROUNDUP(J33*Info!$J$24),
H33/3&lt;=Info!$K$6+Info!$K$7,ROUNDUP(J33*Info!$K$24),
H33/3&lt;=Info!$L$6+Info!$L$7,ROUNDUP(J33*Info!L$24),
H33/3&lt;=Info!$M$6+Info!$M$7,ROUNDUP(J33*Info!$M$24),
H33/3&lt;=Info!$N$6+Info!$N$7,ROUNDUP(J33*Info!$N$24),
H33/3&lt;=(Info!$N$6+I"&amp;"nfo!$N$7)*3/2,ROUNDUP(J33*Info!$L$26),
H33/3&gt;(Info!$J$6+Info!$J$7)*3/2,""Sänk helst cumulative time limit""),
AND(H33&lt;&gt;"""",FILTER(Info!$F$2:F81, Info!$A$2:A81 = C33) = ""Yes""),
IFS(H33&lt;=FILTER(Info!$J$2:J81, Info!$A$2:A81 = C33)*2/3,CONCATENATE(""Höj he"&amp;"lst c.t.l. i ""&amp;C33),
H33&lt;=FILTER(Info!$J$2:J81, Info!$A$2:A81 = C33),ROUNDUP(J33*Info!$J$24),
H33&lt;=FILTER(Info!$K$2:K81, Info!$A$2:A81 = C33),ROUNDUP(J33*Info!$K$24),
H33&lt;=FILTER(Info!$L$2:L81, Info!$A$2:A81 = C33),ROUNDUP(J33*Info!L$24),
H33&lt;=FILTER(Inf"&amp;"o!$M$2:M81, Info!$A$2:A81 = C33),ROUNDUP(J33*Info!$M$24),
H33&lt;=FILTER(Info!$N$2:N81, Info!$A$2:A81 = C33),ROUNDUP(J33*Info!$N$24),
H33&lt;=FILTER(Info!$N$2:N81, Info!$A$2:A81 = C33)*3/2,ROUNDUP(J33*Info!$L$26),
H33&gt;FILTER(Info!$N$2:N81, Info!$A$2:A81 = C33)*"&amp;"3/2,CONCATENATE(""Sänk helst c.t.l. i ""&amp;C33)),
AND(H33&lt;&gt;"""",FILTER(Info!$F$2:F81, Info!$A$2:A81 = C33) = ""No""),
IFS(H33/AA33&lt;=FILTER(Info!$J$2:J81, Info!$A$2:A81 = C33)*2/3,CONCATENATE(""Höj helst c.t.l. i ""&amp;C33),
H33/AA33&lt;=FILTER(Info!$J$2:J81, Info"&amp;"!$A$2:A81 = C33),ROUNDUP(J33*Info!$J$24),
H33/AA33&lt;=FILTER(Info!$K$2:K81, Info!$A$2:A81 = C33),ROUNDUP(J33*Info!$K$24),
H33/AA33&lt;=FILTER(Info!$L$2:L81, Info!$A$2:A81 = C33),ROUNDUP(J33*Info!L$24),
H33/AA33&lt;=FILTER(Info!$M$2:M81, Info!$A$2:A81 = C33),ROUND"&amp;"UP(J33*Info!$M$24),
H33/AA33&lt;=FILTER(Info!$N$2:N81, Info!$A$2:A81 = C33),ROUNDUP(J33*Info!$N$24),
H33/AA33&lt;=FILTER(Info!$N$2:N81, Info!$A$2:A81 = C33)*3/2,ROUNDUP(J33*Info!$L$26),
H33/AA33&gt;FILTER(Info!$N$2:N81, Info!$A$2:A81 = C33)*3/2,CONCATENATE(""Sänk "&amp;"helst c.t.l. i ""&amp;C33)),
AND(I33="""",H33&lt;&gt;"""",J33&lt;&gt;""""),ROUNDUP(J33*Info!$T$29),
AND(I33&lt;&gt;"""",H33="""",J33&lt;&gt;""""),ROUNDUP(J33*Info!$T$26))"),"")</f>
        <v/>
      </c>
      <c r="L33" s="42">
        <f>IFERROR(__xludf.DUMMYFUNCTION("IFS(C33="""",0,
C33=""3x3 FMC"",Info!$B$9*N33+M33, C33=""3x3 MBLD"",Info!$B$18*N33+M33,
COUNTIF(Info!$A$22:A81,C33)&gt;0,FILTER(Info!$B$22:B81,Info!$A$22:A81=C33)+M33,
AND(C33&lt;&gt;"""",E33=""""),CONCATENATE(""Fyll i E""&amp;row()),
AND(C33&lt;&gt;"""",E33&lt;&gt;"""",E33&lt;&gt;1,E3"&amp;"3&lt;&gt;2,E33&lt;&gt;3,E33&lt;&gt;""Final""),CONCATENATE(""Fel format på E""&amp;row()),
K33=CONCATENATE(""Runda ""&amp;E33&amp;"" i ""&amp;C33&amp;"" finns redan""),CONCATENATE(""Fel i E""&amp;row()),
AND(C33&lt;&gt;"""",F33=""""),CONCATENATE(""Fyll i F""&amp;row()),
K33=CONCATENATE(C33&amp;"" måste ha forma"&amp;"tet ""&amp;FILTER(Info!$D$2:D81, Info!$A$2:A81 = C33)),CONCATENATE(""Fel format på F""&amp;row()),
AND(C33&lt;&gt;"""",D33=1,H33="""",FILTER(Info!$F$2:F81, Info!$A$2:A81 = C33) = ""Yes""),CONCATENATE(""Fyll i H""&amp;row()),
AND(C33&lt;&gt;"""",D33=1,I33="""",FILTER(Info!$E$2:E8"&amp;"1, Info!$A$2:A81 = C33) = ""Yes""),CONCATENATE(""Fyll i I""&amp;row()),
AND(C33&lt;&gt;"""",J33=""""),CONCATENATE(""Fyll i J""&amp;row()),
AND(C33&lt;&gt;"""",K33="""",OR(H33&lt;&gt;"""",I33&lt;&gt;"""")),CONCATENATE(""Fyll i K""&amp;row()),
AND(C33&lt;&gt;"""",K33=""""),CONCATENATE(""Skriv samma"&amp;" i K""&amp;row()&amp;"" som i J""&amp;row()),
AND(OR(C33=""4x4 BLD"",C33=""5x5 BLD"",C33=""4x4 / 5x5 BLD"")=TRUE,V33&lt;=P33),
MROUND(H33*(Info!$T$20-((Info!$T$20-1)/2)*(1-V33/P33))*(1+((J33/K33)-1)*(1-Info!$J$24))*N33+(Info!$T$11/2)+(N33*Info!$T$11)+(N33*Info!$T$14*(O3"&amp;"3-1)),0.01)+M33,
AND(OR(C33=""4x4 BLD"",C33=""5x5 BLD"",C33=""4x4 / 5x5 BLD"")=TRUE,V33&gt;P33),
MROUND((((J33*Z33+K33*(AA33-Z33))*(H33*Info!$T$20/AA33))/X33)*(1+((J33/K33)-1)*(1-Info!$J$24))*(1+(X33-Info!$T$8)/100)+(Info!$T$11/2)+(N33*Info!$T$11)+(N33*Info!"&amp;"$T$14*(O33-1)),0.01)+M33,
AND(C33=""3x3 BLD"",V33&lt;=P33),
MROUND(H33*(Info!$T$23-((Info!$T$23-1)/2)*(1-V33/P33))*(1+((J33/K33)-1)*(1-Info!$J$24))*N33+(Info!$T$11/2)+(N33*Info!$T$11)+(N33*Info!$T$14*(O33-1)),0.01)+M33,
AND(C33=""3x3 BLD"",V33&gt;P33),
MROUND(("&amp;"((J33*Z33+K33*(AA33-Z33))*(H33*Info!$T$23/AA33))/X33)*(1+((J33/K33)-1)*(1-Info!$J$24))*(1+(X33-Info!$T$8)/100)+(Info!$T$11/2)+(N33*Info!$T$11)+(N33*Info!$T$14*(O33-1)),0.01)+M33,
E33=1,MROUND((((J33*Z33+K33*(AA33-Z33))*Y33)/X33)*(1+(X33-Info!$T$8)/100)+(N"&amp;"33*Info!$T$11)+(N33*Info!$T$14*(O33-1)),0.01)+M33,
AND(E33=""Final"",N33=1,FILTER(Info!$G$2:$G$20,Info!$A$2:$A$20=C33)=""Mycket svår""),
MROUND((((J33*Z33+K33*(AA33-Z33))*(Y33*Info!$T$38))/X33)*(1+(X33-Info!$T$8)/100)+(N33*Info!$T$11)+(N33*Info!$T$14*(O33"&amp;"-1)),0.01)+M33,
AND(E33=""Final"",N33=1,FILTER(Info!$G$2:$G$20,Info!$A$2:$A$20=C33)=""Svår""),
MROUND((((J33*Z33+K33*(AA33-Z33))*(Y33*Info!$T$35))/X33)*(1+(X33-Info!$T$8)/100)+(N33*Info!$T$11)+(N33*Info!$T$14*(O33-1)),0.01)+M33,
E33=""Final"",MROUND((((J3"&amp;"3*Z33+K33*(AA33-Z33))*(Y33*Info!$T$5))/X33)*(1+(X33-Info!$T$8)/100)+(N33*Info!$T$11)+(N33*Info!$T$14*(O33-1)),0.01)+M33,
OR(E33=2,E33=3),MROUND((((J33*Z33+K33*(AA33-Z33))*(Y33*Info!$T$2))/X33)*(1+(X33-Info!$T$8)/100)+(N33*Info!$T$11)+(N33*Info!$T$14*(O33-"&amp;"1)),0.01)+M33)"),0.0)</f>
        <v>0</v>
      </c>
      <c r="M33" s="43">
        <f t="shared" si="4"/>
        <v>0</v>
      </c>
      <c r="N33" s="43" t="str">
        <f>IFS(OR(COUNTIF(Info!$A$22:A81,C33)&gt;0,C33=""),"",
OR(C33="4x4 BLD",C33="5x5 BLD",C33="3x3 MBLD",C33="3x3 FMC",C33="4x4 / 5x5 BLD"),1,
AND(E33="Final",Q33="Yes",MAX(1,ROUNDUP(J33/P33))&gt;1),MAX(2,ROUNDUP(J33/P33)),
AND(E33="Final",Q33="No",MAX(1,ROUNDUP(J33/((P33*2)+2.625-Y33*1.5)))&gt;1),MAX(2,ROUNDUP(J33/((P33*2)+2.625-Y33*1.5))),
E33="Final",1,
Q33="Yes",MAX(2,ROUNDUP(J33/P33)),
TRUE,MAX(2,ROUNDUP(J33/((P33*2)+2.625-Y33*1.5))))</f>
        <v/>
      </c>
      <c r="O33" s="43" t="str">
        <f>IFS(OR(COUNTIF(Info!$A$22:A81,C33)&gt;0,C33=""),"",
OR("3x3 MBLD"=C33,"3x3 FMC"=C33)=TRUE,"",
D33=$E$4,$G$6,D33=$K$4,$M$6,D33=$Q$4,$S$6,D33=$W$4,$Y$6,
TRUE,$S$2)</f>
        <v/>
      </c>
      <c r="P33" s="43" t="str">
        <f>IFS(OR(COUNTIF(Info!$A$22:A81,C33)&gt;0,C33=""),"",
OR("3x3 MBLD"=C33,"3x3 FMC"=C33)=TRUE,"",
D33=$E$4,$E$6,D33=$K$4,$K$6,D33=$Q$4,$Q$6,D33=$W$4,$W$6,
TRUE,$Q$2)</f>
        <v/>
      </c>
      <c r="Q33" s="44" t="str">
        <f>IFS(OR(COUNTIF(Info!$A$22:A81,C33)&gt;0,C33=""),"",
OR("3x3 MBLD"=C33,"3x3 FMC"=C33)=TRUE,"",
D33=$E$4,$I$6,D33=$K$4,$O$6,D33=$Q$4,$U$6,D33=$W$4,$AA$6,
TRUE,$U$2)</f>
        <v/>
      </c>
      <c r="R33" s="45" t="str">
        <f>IFERROR(__xludf.DUMMYFUNCTION("IF(C33="""","""",IFERROR(FILTER(Info!$B$22:B81,Info!$A$22:A81=C33)+M33,""?""))"),"")</f>
        <v/>
      </c>
      <c r="S33" s="46" t="str">
        <f>IFS(OR(COUNTIF(Info!$A$22:A81,C33)&gt;0,C33=""),"",
AND(H33="",I33=""),J33,
TRUE,"?")</f>
        <v/>
      </c>
      <c r="T33" s="45" t="str">
        <f>IFS(OR(COUNTIF(Info!$A$22:A81,C33)&gt;0,C33=""),"",
AND(L33&lt;&gt;0,OR(R33="?",R33="")),"Fyll i R-kolumnen",
OR(C33="3x3 FMC",C33="3x3 MBLD"),R33,
AND(L33&lt;&gt;0,OR(S33="?",S33="")),"Fyll i S-kolumnen",
OR(COUNTIF(Info!$A$22:A81,C33)&gt;0,C33=""),"",
TRUE,Y33*R33/L33)</f>
        <v/>
      </c>
      <c r="U33" s="45"/>
      <c r="V33" s="47" t="str">
        <f>IFS(OR(COUNTIF(Info!$A$22:A81,C33)&gt;0,C33=""),"",
OR("3x3 MBLD"=C33,"3x3 FMC"=C33)=TRUE,"",
TRUE,MROUND((J33/N33),0.01))</f>
        <v/>
      </c>
      <c r="W33" s="48" t="str">
        <f>IFS(OR(COUNTIF(Info!$A$22:A81,C33)&gt;0,C33=""),"",
TRUE,L33/N33)</f>
        <v/>
      </c>
      <c r="X33" s="49" t="str">
        <f>IFS(OR(COUNTIF(Info!$A$22:A81,C33)&gt;0,C33=""),"",
OR("3x3 MBLD"=C33,"3x3 FMC"=C33)=TRUE,"",
OR(C33="4x4 BLD",C33="5x5 BLD",C33="4x4 / 5x5 BLD",AND(C33="3x3 BLD",H33&lt;&gt;""))=TRUE,MIN(V33,P33),
TRUE,MIN(P33,V33,MROUND(((V33*2/3)+((Y33-1.625)/2)),0.01)))</f>
        <v/>
      </c>
      <c r="Y33" s="48" t="str">
        <f>IFERROR(__xludf.DUMMYFUNCTION("IFS(OR(COUNTIF(Info!$A$22:A81,C33)&gt;0,C33=""""),"""",
FILTER(Info!$F$2:F81, Info!$A$2:A81 = C33) = ""Yes"",H33/AA33,
""3x3 FMC""=C33,Info!$B$9,""3x3 MBLD""=C33,Info!$B$18,
AND(E33=1,I33="""",H33="""",Q33=""No"",G33&gt;SUMIF(Info!$A$2:A81,C33,Info!$B$2:B81)*1."&amp;"5),
MIN(SUMIF(Info!$A$2:A81,C33,Info!$B$2:B81)*1.1,SUMIF(Info!$A$2:A81,C33,Info!$B$2:B81)*(1.15-(0.15*(SUMIF(Info!$A$2:A81,C33,Info!$B$2:B81)*1.5)/G33))),
AND(E33=1,I33="""",H33="""",Q33=""Yes"",G33&gt;SUMIF(Info!$A$2:A81,C33,Info!$C$2:C81)*1.5),
MIN(SUMIF(I"&amp;"nfo!$A$2:A81,C33,Info!$C$2:C81)*1.1,SUMIF(Info!$A$2:A81,C33,Info!$C$2:C81)*(1.15-(0.15*(SUMIF(Info!$A$2:A81,C33,Info!$C$2:C81)*1.5)/G33))),
Q33=""No"",SUMIF(Info!$A$2:A81,C33,Info!$B$2:B81),
Q33=""Yes"",SUMIF(Info!$A$2:A81,C33,Info!$C$2:C81))"),"")</f>
        <v/>
      </c>
      <c r="Z33" s="47" t="str">
        <f>IFS(OR(COUNTIF(Info!$A$22:A81,C33)&gt;0,C33=""),"",
AND(OR("3x3 FMC"=C33,"3x3 MBLD"=C33),I33&lt;&gt;""),1,
AND(OR(H33&lt;&gt;"",I33&lt;&gt;""),F33="Avg of 5"),2,
F33="Avg of 5",AA33,
AND(OR(H33&lt;&gt;"",I33&lt;&gt;""),F33="Mean of 3",C33="6x6 / 7x7"),2,
AND(OR(H33&lt;&gt;"",I33&lt;&gt;""),F33="Mean of 3"),1,
F33="Mean of 3",AA33,
AND(OR(H33&lt;&gt;"",I33&lt;&gt;""),F33="Best of 3",C33="4x4 / 5x5 BLD"),2,
AND(OR(H33&lt;&gt;"",I33&lt;&gt;""),F33="Best of 3"),1,
F33="Best of 2",AA33,
F33="Best of 1",AA33)</f>
        <v/>
      </c>
      <c r="AA33" s="47" t="str">
        <f>IFS(OR(COUNTIF(Info!$A$22:A81,C33)&gt;0,C33=""),"",
AND(OR("3x3 MBLD"=C33,"3x3 FMC"=C33),F33="Best of 1"=TRUE),1,
AND(OR("3x3 MBLD"=C33,"3x3 FMC"=C33),F33="Best of 2"=TRUE),2,
AND(OR("3x3 MBLD"=C33,"3x3 FMC"=C33),OR(F33="Best of 3",F33="Mean of 3")=TRUE),3,
AND(F33="Mean of 3",C33="6x6 / 7x7"),6,
AND(F33="Best of 3",C33="4x4 / 5x5 BLD"),6,
F33="Avg of 5",5,F33="Mean of 3",3,F33="Best of 3",3,F33="Best of 2",2,F33="Best of 1",1)</f>
        <v/>
      </c>
      <c r="AB33" s="50"/>
    </row>
    <row r="34" ht="15.75" customHeight="1">
      <c r="A34" s="35">
        <f>IFERROR(__xludf.DUMMYFUNCTION("IFS(indirect(""A""&amp;row()-1)=""Start"",TIME(indirect(""A""&amp;row()-2),indirect(""B""&amp;row()-2),0),
$O$2=""No"",TIME(0,($A$6*60+$B$6)+CEILING(SUM($L$7:indirect(""L""&amp;row()-1)),5),0),
D34=$E$2,TIME(0,($A$6*60+$B$6)+CEILING(SUM(IFERROR(FILTER($L$7:indirect(""L"""&amp;"&amp;row()-1),REGEXMATCH($D$7:indirect(""D""&amp;row()-1),$E$2)),0)),5),0),
TRUE,""=time(hh;mm;ss)"")"),0.375)</f>
        <v>0.375</v>
      </c>
      <c r="B34" s="36">
        <f>IFERROR(__xludf.DUMMYFUNCTION("IFS($O$2=""No"",TIME(0,($A$6*60+$B$6)+CEILING(SUM($L$7:indirect(""L""&amp;row())),5),0),
D34=$E$2,TIME(0,($A$6*60+$B$6)+CEILING(SUM(FILTER($L$7:indirect(""L""&amp;row()),REGEXMATCH($D$7:indirect(""D""&amp;row()),$E$2))),5),0),
A34=""=time(hh;mm;ss)"",CONCATENATE(""Sk"&amp;"riv tid i A""&amp;row()),
AND(A34&lt;&gt;"""",A34&lt;&gt;""=time(hh;mm;ss)""),A34+TIME(0,CEILING(indirect(""L""&amp;row()),5),0))"),0.375)</f>
        <v>0.375</v>
      </c>
      <c r="C34" s="37"/>
      <c r="D34" s="38" t="str">
        <f t="shared" si="3"/>
        <v>Stora salen</v>
      </c>
      <c r="E34" s="38" t="str">
        <f>IFERROR(__xludf.DUMMYFUNCTION("IFS(COUNTIF(Info!$A$22:A81,C34)&gt;0,"""",
AND(OR(""3x3 FMC""=C34,""3x3 MBLD""=C34),COUNTIF($C$7:indirect(""C""&amp;row()),indirect(""C""&amp;row()))&gt;=13),""E - Error"",
AND(OR(""3x3 FMC""=C34,""3x3 MBLD""=C34),COUNTIF($C$7:indirect(""C""&amp;row()),indirect(""C""&amp;row()"&amp;"))=12),""Final - A3"",
AND(OR(""3x3 FMC""=C34,""3x3 MBLD""=C34),COUNTIF($C$7:indirect(""C""&amp;row()),indirect(""C""&amp;row()))=11),""Final - A2"",
AND(OR(""3x3 FMC""=C34,""3x3 MBLD""=C34),COUNTIF($C$7:indirect(""C""&amp;row()),indirect(""C""&amp;row()))=10),""Final - "&amp;"A1"",
AND(OR(""3x3 FMC""=C34,""3x3 MBLD""=C34),COUNTIF($C$7:indirect(""C""&amp;row()),indirect(""C""&amp;row()))=9,
COUNTIF($C$7:$C$102,indirect(""C""&amp;row()))&gt;9),""R3 - A3"",
AND(OR(""3x3 FMC""=C34,""3x3 MBLD""=C34),COUNTIF($C$7:indirect(""C""&amp;row()),indirect(""C"&amp;"""&amp;row()))=9,
COUNTIF($C$7:$C$102,indirect(""C""&amp;row()))&lt;=9),""Final - A3"",
AND(OR(""3x3 FMC""=C34,""3x3 MBLD""=C34),COUNTIF($C$7:indirect(""C""&amp;row()),indirect(""C""&amp;row()))=8,
COUNTIF($C$7:$C$102,indirect(""C""&amp;row()))&gt;9),""R3 - A2"",
AND(OR(""3x3 FMC"&amp;"""=C34,""3x3 MBLD""=C34),COUNTIF($C$7:indirect(""C""&amp;row()),indirect(""C""&amp;row()))=8,
COUNTIF($C$7:$C$102,indirect(""C""&amp;row()))&lt;=9),""Final - A2"",
AND(OR(""3x3 FMC""=C34,""3x3 MBLD""=C34),COUNTIF($C$7:indirect(""C""&amp;row()),indirect(""C""&amp;row()))=7,
COUN"&amp;"TIF($C$7:$C$102,indirect(""C""&amp;row()))&gt;9),""R3 - A1"",
AND(OR(""3x3 FMC""=C34,""3x3 MBLD""=C34),COUNTIF($C$7:indirect(""C""&amp;row()),indirect(""C""&amp;row()))=7,
COUNTIF($C$7:$C$102,indirect(""C""&amp;row()))&lt;=9),""Final - A1"",
AND(OR(""3x3 FMC""=C34,""3x3 MBLD"""&amp;"=C34),COUNTIF($C$7:indirect(""C""&amp;row()),indirect(""C""&amp;row()))=6,
COUNTIF($C$7:$C$102,indirect(""C""&amp;row()))&gt;6),""R2 - A3"",
AND(OR(""3x3 FMC""=C34,""3x3 MBLD""=C34),COUNTIF($C$7:indirect(""C""&amp;row()),indirect(""C""&amp;row()))=6,
COUNTIF($C$7:$C$102,indirec"&amp;"t(""C""&amp;row()))&lt;=6),""Final - A3"",
AND(OR(""3x3 FMC""=C34,""3x3 MBLD""=C34),COUNTIF($C$7:indirect(""C""&amp;row()),indirect(""C""&amp;row()))=5,
COUNTIF($C$7:$C$102,indirect(""C""&amp;row()))&gt;6),""R2 - A2"",
AND(OR(""3x3 FMC""=C34,""3x3 MBLD""=C34),COUNTIF($C$7:indi"&amp;"rect(""C""&amp;row()),indirect(""C""&amp;row()))=5,
COUNTIF($C$7:$C$102,indirect(""C""&amp;row()))&lt;=6),""Final - A2"",
AND(OR(""3x3 FMC""=C34,""3x3 MBLD""=C34),COUNTIF($C$7:indirect(""C""&amp;row()),indirect(""C""&amp;row()))=4,
COUNTIF($C$7:$C$102,indirect(""C""&amp;row()))&gt;6),"&amp;"""R2 - A1"",
AND(OR(""3x3 FMC""=C34,""3x3 MBLD""=C34),COUNTIF($C$7:indirect(""C""&amp;row()),indirect(""C""&amp;row()))=4,
COUNTIF($C$7:$C$102,indirect(""C""&amp;row()))&lt;=6),""Final - A1"",
AND(OR(""3x3 FMC""=C34,""3x3 MBLD""=C34),COUNTIF($C$7:indirect(""C""&amp;row()),i"&amp;"ndirect(""C""&amp;row()))=3),""R1 - A3"",
AND(OR(""3x3 FMC""=C34,""3x3 MBLD""=C34),COUNTIF($C$7:indirect(""C""&amp;row()),indirect(""C""&amp;row()))=2),""R1 - A2"",
AND(OR(""3x3 FMC""=C34,""3x3 MBLD""=C34),COUNTIF($C$7:indirect(""C""&amp;row()),indirect(""C""&amp;row()))=1),"&amp;"""R1 -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C34),ROUNDUP((FILTER(Info!$H$2:H81,Info!$A$2:A81=C34)/FILTER(Info!$H$2:H81,Info!$A$2:A81=$K$2))*$I$2)&gt;99),3,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C34),ROUNDUP((FILTER(Info!$H$2:H81,Info!$A$2:A81=C34)/FILTER(Info!$H$2:H81,Info!$A$2:A81=$K$2))*$I$2)&gt;15),2,
AND(COUNTIF($C$7:indirect(""C""&amp;row()),indirect(""C""&amp;row()))=2,COUNTIF($C$7:$C$102,indirect(""C""&amp;row()))=COUNTIF($"&amp;"C$7:indirect(""C""&amp;row()),indirect(""C""&amp;row()))),""Final"",
COUNTIF($C$7:indirect(""C""&amp;row()),indirect(""C""&amp;row()))=1,1,
COUNTIF($C$7:indirect(""C""&amp;row()),indirect(""C""&amp;row()))=0,"""")"),"")</f>
        <v/>
      </c>
      <c r="F34" s="39" t="str">
        <f>IFERROR(__xludf.DUMMYFUNCTION("IFS(C34="""","""",
AND(C34=""3x3 FMC"",MOD(COUNTIF($C$7:indirect(""C""&amp;row()),indirect(""C""&amp;row())),3)=0),""Mean of 3"",
AND(C34=""3x3 MBLD"",MOD(COUNTIF($C$7:indirect(""C""&amp;row()),indirect(""C""&amp;row())),3)=0),""Best of 3"",
AND(C34=""3x3 FMC"",MOD(COUNT"&amp;"IF($C$7:indirect(""C""&amp;row()),indirect(""C""&amp;row())),3)=2,
COUNTIF($C$7:$C$102,indirect(""C""&amp;row()))&lt;=COUNTIF($C$7:indirect(""C""&amp;row()),indirect(""C""&amp;row()))),""Best of 2"",
AND(C34=""3x3 FMC"",MOD(COUNTIF($C$7:indirect(""C""&amp;row()),indirect(""C""&amp;row("&amp;"))),3)=2,
COUNTIF($C$7:$C$102,indirect(""C""&amp;row()))&gt;COUNTIF($C$7:indirect(""C""&amp;row()),indirect(""C""&amp;row()))),""Mean of 3"",
AND(C34=""3x3 MBLD"",MOD(COUNTIF($C$7:indirect(""C""&amp;row()),indirect(""C""&amp;row())),3)=2,
COUNTIF($C$7:$C$102,indirect(""C""&amp;row("&amp;")))&lt;=COUNTIF($C$7:indirect(""C""&amp;row()),indirect(""C""&amp;row()))),""Best of 2"",
AND(C34=""3x3 MBLD"",MOD(COUNTIF($C$7:indirect(""C""&amp;row()),indirect(""C""&amp;row())),3)=2,
COUNTIF($C$7:$C$102,indirect(""C""&amp;row()))&gt;COUNTIF($C$7:indirect(""C""&amp;row()),indirect("&amp;"""C""&amp;row()))),""Best of 3"",
AND(C34=""3x3 FMC"",MOD(COUNTIF($C$7:indirect(""C""&amp;row()),indirect(""C""&amp;row())),3)=1,
COUNTIF($C$7:$C$102,indirect(""C""&amp;row()))&lt;=COUNTIF($C$7:indirect(""C""&amp;row()),indirect(""C""&amp;row()))),""Best of 1"",
AND(C34=""3x3 FMC"""&amp;",MOD(COUNTIF($C$7:indirect(""C""&amp;row()),indirect(""C""&amp;row())),3)=1,
COUNTIF($C$7:$C$102,indirect(""C""&amp;row()))=COUNTIF($C$7:indirect(""C""&amp;row()),indirect(""C""&amp;row()))+1),""Best of 2"",
AND(C34=""3x3 FMC"",MOD(COUNTIF($C$7:indirect(""C""&amp;row()),indirect"&amp;"(""C""&amp;row())),3)=1,
COUNTIF($C$7:$C$102,indirect(""C""&amp;row()))&gt;COUNTIF($C$7:indirect(""C""&amp;row()),indirect(""C""&amp;row()))),""Mean of 3"",
AND(C34=""3x3 MBLD"",MOD(COUNTIF($C$7:indirect(""C""&amp;row()),indirect(""C""&amp;row())),3)=1,
COUNTIF($C$7:$C$102,indirect"&amp;"(""C""&amp;row()))&lt;=COUNTIF($C$7:indirect(""C""&amp;row()),indirect(""C""&amp;row()))),""Best of 1"",
AND(C34=""3x3 MBLD"",MOD(COUNTIF($C$7:indirect(""C""&amp;row()),indirect(""C""&amp;row())),3)=1,
COUNTIF($C$7:$C$102,indirect(""C""&amp;row()))=COUNTIF($C$7:indirect(""C""&amp;row()"&amp;"),indirect(""C""&amp;row()))+1),""Best of 2"",
AND(C34=""3x3 MBLD"",MOD(COUNTIF($C$7:indirect(""C""&amp;row()),indirect(""C""&amp;row())),3)=1,
COUNTIF($C$7:$C$102,indirect(""C""&amp;row()))&gt;COUNTIF($C$7:indirect(""C""&amp;row()),indirect(""C""&amp;row()))),""Best of 3"",
TRUE,("&amp;"IFERROR(FILTER(Info!$D$2:D81, Info!$A$2:A81 = C34), """")))"),"")</f>
        <v/>
      </c>
      <c r="G34" s="40" t="str">
        <f>IFERROR(__xludf.DUMMYFUNCTION("IFS(OR(COUNTIF(Info!$A$22:A81,C34)&gt;0,C34=""""),"""",
OR(""3x3 MBLD""=C34,""3x3 FMC""=C34),60,
AND(E34=1,FILTER(Info!$F$2:F81, Info!$A$2:A81 = C34) = ""No""),FILTER(Info!$P$2:P81, Info!$A$2:A81 = C34),
AND(E34=2,FILTER(Info!$F$2:F81, Info!$A$2:A81 = C34) ="&amp;" ""No""),FILTER(Info!$Q$2:Q81, Info!$A$2:A81 = C34),
AND(E34=3,FILTER(Info!$F$2:F81, Info!$A$2:A81 = C34) = ""No""),FILTER(Info!$R$2:R81, Info!$A$2:A81 = C34),
AND(E34=""Final"",FILTER(Info!$F$2:F81, Info!$A$2:A81 = C34) = ""No""),FILTER(Info!$S$2:S81, In"&amp;"fo!$A$2:A81 = C34),
FILTER(Info!$F$2:F81, Info!$A$2:A81 = C34) = ""Yes"","""")"),"")</f>
        <v/>
      </c>
      <c r="H34" s="40" t="str">
        <f>IFERROR(__xludf.DUMMYFUNCTION("IFS(OR(COUNTIF(Info!$A$22:A81,C34)&gt;0,C34=""""),"""",
OR(""3x3 MBLD""=C34,""3x3 FMC""=C34)=TRUE,"""",
FILTER(Info!$F$2:F81, Info!$A$2:A81 = C34) = ""Yes"",FILTER(Info!$O$2:O81, Info!$A$2:A81 = C34),
FILTER(Info!$F$2:F81, Info!$A$2:A81 = C34) = ""No"",IF(G3"&amp;"4="""",FILTER(Info!$O$2:O81, Info!$A$2:A81 = C34),""""))"),"")</f>
        <v/>
      </c>
      <c r="I34" s="40" t="str">
        <f>IFERROR(__xludf.DUMMYFUNCTION("IFS(OR(COUNTIF(Info!$A$22:A81,C34)&gt;0,C34="""",H34&lt;&gt;""""),"""",
AND(E34&lt;&gt;1,E34&lt;&gt;""R1 - A1"",E34&lt;&gt;""R1 - A2"",E34&lt;&gt;""R1 - A3""),"""",
FILTER(Info!$E$2:E81, Info!$A$2:A81 = C34) = ""Yes"",IF(H34="""",FILTER(Info!$L$2:L81, Info!$A$2:A81 = C34),""""),
FILTER(I"&amp;"nfo!$E$2:E81, Info!$A$2:A81 = C34) = ""No"","""")"),"")</f>
        <v/>
      </c>
      <c r="J34" s="40" t="str">
        <f>IFERROR(__xludf.DUMMYFUNCTION("IFS(OR(COUNTIF(Info!$A$22:A81,C34)&gt;0,C34="""",""3x3 MBLD""=C34,""3x3 FMC""=C34),"""",
AND(E34=1,FILTER(Info!$H$2:H81,Info!$A$2:A81 = C34)&lt;=FILTER(Info!$H$2:H81,Info!$A$2:A81=$K$2)),
ROUNDUP((FILTER(Info!$H$2:H81,Info!$A$2:A81 = C34)/FILTER(Info!$H$2:H81,I"&amp;"nfo!$A$2:A81=$K$2))*$I$2),
AND(E34=1,FILTER(Info!$H$2:H81,Info!$A$2:A81 = C34)&gt;FILTER(Info!$H$2:H81,Info!$A$2:A81=$K$2)),""K2 - Error"",
AND(E34=2,FILTER($J$7:indirect(""J""&amp;row()-1),$C$7:indirect(""C""&amp;row()-1)=C34)&lt;=7),""J - Error"",
E34=2,FLOOR(FILTER("&amp;"$J$7:indirect(""J""&amp;row()-1),$C$7:indirect(""C""&amp;row()-1)=C34)*Info!$T$32),
AND(E34=3,FILTER($J$7:indirect(""J""&amp;row()-1),$C$7:indirect(""C""&amp;row()-1)=C34)&lt;=15),""J - Error"",
E34=3,FLOOR(Info!$T$32*FLOOR(FILTER($J$7:indirect(""J""&amp;row()-1),$C$7:indirect("&amp;"""C""&amp;row()-1)=C34)*Info!$T$32)),
AND(E34=""Final"",COUNTIF($C$7:$C$102,C34)=2,FILTER($J$7:indirect(""J""&amp;row()-1),$C$7:indirect(""C""&amp;row()-1)=C34)&lt;=7),""J - Error"",
AND(E34=""Final"",COUNTIF($C$7:$C$102,C34)=2),
MIN(P34,FLOOR(FILTER($J$7:indirect(""J"""&amp;"&amp;row()-1),$C$7:indirect(""C""&amp;row()-1)=C34)*Info!$T$32)),
AND(E34=""Final"",COUNTIF($C$7:$C$102,C34)=3,FILTER($J$7:indirect(""J""&amp;row()-1),$C$7:indirect(""C""&amp;row()-1)=C34)&lt;=15),""J - Error"",
AND(E34=""Final"",COUNTIF($C$7:$C$102,C34)=3),
MIN(P34,FLOOR(I"&amp;"nfo!$T$32*FLOOR(FILTER($J$7:indirect(""J""&amp;row()-1),$C$7:indirect(""C""&amp;row()-1)=C34)*Info!$T$32))),
AND(E34=""Final"",COUNTIF($C$7:$C$102,C34)&gt;=4,FILTER($J$7:indirect(""J""&amp;row()-1),$C$7:indirect(""C""&amp;row()-1)=C34)&lt;=99),""J - Error"",
AND(E34=""Final"","&amp;"COUNTIF($C$7:$C$102,C34)&gt;=4),
MIN(P34,FLOOR(Info!$T$32*FLOOR(Info!$T$32*FLOOR(FILTER($J$7:indirect(""J""&amp;row()-1),$C$7:indirect(""C""&amp;row()-1)=C34)*Info!$T$32)))))"),"")</f>
        <v/>
      </c>
      <c r="K34" s="41" t="str">
        <f>IFERROR(__xludf.DUMMYFUNCTION("IFS(AND(indirect(""D""&amp;row()+2)&lt;&gt;$E$2,indirect(""D""&amp;row()+1)=""""),CONCATENATE(""Tom rad! Kopiera hela rad ""&amp;row()&amp;"" dit""),
AND(indirect(""D""&amp;row()-1)&lt;&gt;""Rum"",indirect(""D""&amp;row()-1)=""""),CONCATENATE(""Tom rad! Kopiera hela rad ""&amp;row()&amp;"" dit""),
"&amp;"C34="""","""",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OR(AND(D34&lt;&gt;$E$2,D34&lt;&gt;$E$4,D34&lt;&gt;$K$4,D34&lt;&gt;$Q$4),D34="&amp;"""""),CONCATENATE(""Rum: ""&amp;D34&amp;"" finns ej, byt i D""&amp;row()),
AND(indirect(""D""&amp;row()-1)=""Rum"",C34=""""),CONCATENATE(""För att börja: skriv i cell C""&amp;row()),
AND(C34=""Paus"",M34&lt;=0),CONCATENATE(""Skriv pausens längd i M""&amp;row()),
OR(COUNTIF(Info!$A$"&amp;"22:A81,C34)&gt;0,C34=""""),"""",
AND(D34&lt;&gt;$E$2,$O$2=""Yes"",A34=""=time(hh;mm;ss)""),CONCATENATE(""Skriv starttid för ""&amp;C34&amp;"" i A""&amp;row()),
E34=""E - Error"",CONCATENATE(""För många ""&amp;C34&amp;"" rundor!""),
AND(C34&lt;&gt;""3x3 FMC"",C34&lt;&gt;""3x3 MBLD"",E34&lt;&gt;1,E34&lt;&gt;"&amp;"""Final"",IFERROR(FILTER($E$7:indirect(""E""&amp;row()-1),
$E$7:indirect(""E""&amp;row()-1)=E34-1,$C$7:indirect(""C""&amp;row()-1)=C34))=FALSE),CONCATENATE(""Kan ej vara R""&amp;E34&amp;"", saknar R""&amp;(E34-1)),
AND(indirect(""E""&amp;row()-1)&lt;&gt;""Omgång"",IFERROR(FILTER($E$7:indi"&amp;"rect(""E""&amp;row()-1),
$E$7:indirect(""E""&amp;row()-1)=E34,$C$7:indirect(""C""&amp;row()-1)=C34)=E34)=TRUE),CONCATENATE(""Runda ""&amp;E34&amp;"" i ""&amp;C34&amp;"" finns redan""),
AND(C34&lt;&gt;""3x3 BLD"",C34&lt;&gt;""4x4 BLD"",C34&lt;&gt;""5x5 BLD"",C34&lt;&gt;""4x4 / 5x5 BLD"",OR(E34=2,E34=3,E34="&amp;"""Final""),H34&lt;&gt;""""),CONCATENATE(E34&amp;""-rundor brukar ej ha c.t.l.""),
AND(OR(E34=2,E34=3,E34=""Final""),I34&lt;&gt;""""),CONCATENATE(E34&amp;""-rundor brukar ej ha cutoff""),
AND(OR(C34=""3x3 FMC"",C34=""3x3 MBLD""),OR(E34=1,E34=2,E34=3,E34=""Final"")),CONCATENAT"&amp;"E(C34&amp;""s omgång är Rx - Ax""),
AND(C34&lt;&gt;""3x3 MBLD"",C34&lt;&gt;""3x3 FMC"",FILTER(Info!$D$2:D81, Info!$A$2:A81 = C34)&lt;&gt;F34),CONCATENATE(C34&amp;"" måste ha formatet ""&amp;FILTER(Info!$D$2:D81, Info!$A$2:A81 = C34)),
AND(C34=""3x3 MBLD"",OR(F34=""Avg of 5"",F34=""Mea"&amp;"n of 3"")),CONCATENATE(""Ogiltigt format för ""&amp;C34),
AND(C34=""3x3 FMC"",OR(F34=""Avg of 5"",F34=""Best of 3"")),CONCATENATE(""Ogiltigt format för ""&amp;C34),
AND(OR(F34=""Best of 1"",F34=""Best of 2"",F34=""Best of 3""),I34&lt;&gt;""""),CONCATENATE(F34&amp;""-rundor"&amp;" får ej ha cutoff""),
AND(OR(C34=""3x3 FMC"",C34=""3x3 MBLD""),G34&lt;&gt;60),CONCATENATE(C34&amp;"" måste ha time limit: 60""),
AND(OR(C34=""3x3 FMC"",C34=""3x3 MBLD""),H34&lt;&gt;""""),CONCATENATE(C34&amp;"" kan inte ha c.t.l.""),
AND(G34&lt;&gt;"""",H34&lt;&gt;""""),""Välj time limit"&amp;" ELLER c.t.l"",
AND(C34=""6x6 / 7x7"",G34="""",H34=""""),""Sätt time limit (x / y) eller c.t.l (z)"",
AND(G34="""",H34=""""),""Sätt en time limit eller c.t.l"",
AND(OR(C34=""6x6 / 7x7"",C34=""4x4 / 5x5 BLD""),G34&lt;&gt;"""",REGEXMATCH(TO_TEXT(G34),"" / "")=FAL"&amp;"SE),CONCATENATE(""Time limit måste vara x / y""),
AND(H34&lt;&gt;"""",I34&lt;&gt;""""),CONCATENATE(C34&amp;"" brukar ej ha cutoff OCH c.t.l""),
AND(E34=1,H34="""",I34="""",OR(FILTER(Info!$E$2:E81, Info!$A$2:A81 = C34) = ""Yes"",FILTER(Info!$F$2:F81, Info!$A$2:A81 = C34) "&amp;"= ""Yes""),OR(F34=""Avg of 5"",F34=""Mean of 3"")),CONCATENATE(C34&amp;"" bör ha cutoff eller c.t.l""),
AND(C34=""6x6 / 7x7"",I34&lt;&gt;"""",REGEXMATCH(TO_TEXT(I34),"" / "")=FALSE),CONCATENATE(""Cutoff måste vara x / y""),
AND(H34&lt;&gt;"""",ISNUMBER(H34)=FALSE),""C.t."&amp;"l. måste vara positivt tal (x)"",
AND(C34&lt;&gt;""6x6 / 7x7"",I34&lt;&gt;"""",ISNUMBER(I34)=FALSE),""Cutoff måste vara positivt tal (x)"",
AND(H34&lt;&gt;"""",FILTER(Info!$E$2:E81, Info!$A$2:A81 = C34) = ""No"",FILTER(Info!$F$2:F81, Info!$A$2:A81 = C34) = ""No""),CONCATEN"&amp;"ATE(C34&amp;"" brukar inte ha c.t.l.""),
AND(I34&lt;&gt;"""",FILTER(Info!$E$2:E81, Info!$A$2:A81 = C34) = ""No"",FILTER(Info!$F$2:F81, Info!$A$2:A81 = C34) = ""No""),CONCATENATE(C34&amp;"" brukar inte ha cutoff""),
AND(H34="""",FILTER(Info!$F$2:F81, Info!$A$2:A81 = C34"&amp;") = ""Yes""),CONCATENATE(C34&amp;"" brukar ha c.t.l.""),
AND(C34&lt;&gt;""6x6 / 7x7"",C34&lt;&gt;""4x4 / 5x5 BLD"",G34&lt;&gt;"""",ISNUMBER(G34)=FALSE),""Time limit måste vara positivt tal (x)"",
J34=""J - Error"",CONCATENATE(""För få deltagare i R1 för ""&amp;COUNTIF($C$7:$C$102,"&amp;"indirect(""C""&amp;row()))&amp;"" rundor""),
J34=""K2 - Error"",CONCATENATE(C34&amp;"" är mer populär - byt i K2!""),
AND(C34&lt;&gt;""6x6 / 7x7"",C34&lt;&gt;""4x4 / 5x5 BLD"",G34&lt;&gt;"""",I34&lt;&gt;"""",G34&lt;=I34),""Time limit måste vara &gt; cutoff"",
AND(C34&lt;&gt;""6x6 / 7x7"",C34&lt;&gt;""4x4 / 5"&amp;"x5 BLD"",H34&lt;&gt;"""",I34&lt;&gt;"""",H34&lt;=I34),""C.t.l. måste vara &gt; cutoff"",
AND(C34&lt;&gt;""3x3 FMC"",C34&lt;&gt;""3x3 MBLD"",J34=""""),CONCATENATE(""Fyll i antal deltagare i J""&amp;row()),
AND(C34="""",OR(E34&lt;&gt;"""",F34&lt;&gt;"""",G34&lt;&gt;"""",H34&lt;&gt;"""",I34&lt;&gt;"""",J34&lt;&gt;"""")),""Skri"&amp;"v ALLTID gren / aktivitet först"",
AND(I34="""",H34="""",J34&lt;&gt;""""),J34,
OR(""3x3 FMC""=C34,""3x3 MBLD""=C34),J34,
AND(I34&lt;&gt;"""",""6x6 / 7x7""=C34),
IFS(ArrayFormula(SUM(IFERROR(SPLIT(I34,"" / ""))))&lt;(Info!$J$6+Info!$J$7)*2/3,CONCATENATE(""Höj helst cutof"&amp;"fs i ""&amp;C34),
ArrayFormula(SUM(IFERROR(SPLIT(I34,"" / ""))))&lt;=(Info!$J$6+Info!$J$7),ROUNDUP(J34*Info!$J$22),
ArrayFormula(SUM(IFERROR(SPLIT(I34,"" / ""))))&lt;=Info!$J$6+Info!$J$7,ROUNDUP(J34*Info!$K$22),
ArrayFormula(SUM(IFERROR(SPLIT(I34,"" / ""))))&lt;=Info!"&amp;"$K$6+Info!$K$7,ROUNDUP(J34*Info!L$22),
ArrayFormula(SUM(IFERROR(SPLIT(I34,"" / ""))))&lt;=Info!$L$6+Info!$L$7,ROUNDUP(J34*Info!$M$22),
ArrayFormula(SUM(IFERROR(SPLIT(I34,"" / ""))))&lt;=Info!$M$6+Info!$M$7,ROUNDUP(J34*Info!$N$22),
ArrayFormula(SUM(IFERROR(SPLIT"&amp;"(I34,"" / ""))))&lt;=(Info!$N$6+Info!$N$7)*3/2,ROUNDUP(J34*Info!$J$26),
ArrayFormula(SUM(IFERROR(SPLIT(I34,"" / ""))))&gt;(Info!$N$6+Info!$N$7)*3/2,CONCATENATE(""Sänk helst cutoffs i ""&amp;C34)),
AND(I34&lt;&gt;"""",FILTER(Info!$E$2:E81, Info!$A$2:A81 = C34) = ""Yes""),"&amp;"
IFS(I34&lt;FILTER(Info!$J$2:J81, Info!$A$2:A81 = C34)*2/3,CONCATENATE(""Höj helst cutoff i ""&amp;C34),
I34&lt;=FILTER(Info!$J$2:J81, Info!$A$2:A81 = C34),ROUNDUP(J34*Info!$J$22),
I34&lt;=FILTER(Info!$K$2:K81, Info!$A$2:A81 = C34),ROUNDUP(J34*Info!$K$22),
I34&lt;=FILTER"&amp;"(Info!$L$2:L81, Info!$A$2:A81 = C34),ROUNDUP(J34*Info!L$22),
I34&lt;=FILTER(Info!$M$2:M81, Info!$A$2:A81 = C34),ROUNDUP(J34*Info!$M$22),
I34&lt;=FILTER(Info!$N$2:N81, Info!$A$2:A81 = C34),ROUNDUP(J34*Info!$N$22),
I34&lt;=FILTER(Info!$N$2:N81, Info!$A$2:A81 = C34)*"&amp;"3/2,ROUNDUP(J34*Info!$J$26),
I34&gt;FILTER(Info!$N$2:N81, Info!$A$2:A81 = C34)*3/2,CONCATENATE(""Sänk helst cutoff i ""&amp;C34)),
AND(H34&lt;&gt;"""",""6x6 / 7x7""=C34),
IFS(H34/3&lt;=(Info!$J$6+Info!$J$7)*2/3,""Höj helst cumulative time limit"",
H34/3&lt;=Info!$J$6+Info!$"&amp;"J$7,ROUNDUP(J34*Info!$J$24),
H34/3&lt;=Info!$K$6+Info!$K$7,ROUNDUP(J34*Info!$K$24),
H34/3&lt;=Info!$L$6+Info!$L$7,ROUNDUP(J34*Info!L$24),
H34/3&lt;=Info!$M$6+Info!$M$7,ROUNDUP(J34*Info!$M$24),
H34/3&lt;=Info!$N$6+Info!$N$7,ROUNDUP(J34*Info!$N$24),
H34/3&lt;=(Info!$N$6+I"&amp;"nfo!$N$7)*3/2,ROUNDUP(J34*Info!$L$26),
H34/3&gt;(Info!$J$6+Info!$J$7)*3/2,""Sänk helst cumulative time limit""),
AND(H34&lt;&gt;"""",FILTER(Info!$F$2:F81, Info!$A$2:A81 = C34) = ""Yes""),
IFS(H34&lt;=FILTER(Info!$J$2:J81, Info!$A$2:A81 = C34)*2/3,CONCATENATE(""Höj he"&amp;"lst c.t.l. i ""&amp;C34),
H34&lt;=FILTER(Info!$J$2:J81, Info!$A$2:A81 = C34),ROUNDUP(J34*Info!$J$24),
H34&lt;=FILTER(Info!$K$2:K81, Info!$A$2:A81 = C34),ROUNDUP(J34*Info!$K$24),
H34&lt;=FILTER(Info!$L$2:L81, Info!$A$2:A81 = C34),ROUNDUP(J34*Info!L$24),
H34&lt;=FILTER(Inf"&amp;"o!$M$2:M81, Info!$A$2:A81 = C34),ROUNDUP(J34*Info!$M$24),
H34&lt;=FILTER(Info!$N$2:N81, Info!$A$2:A81 = C34),ROUNDUP(J34*Info!$N$24),
H34&lt;=FILTER(Info!$N$2:N81, Info!$A$2:A81 = C34)*3/2,ROUNDUP(J34*Info!$L$26),
H34&gt;FILTER(Info!$N$2:N81, Info!$A$2:A81 = C34)*"&amp;"3/2,CONCATENATE(""Sänk helst c.t.l. i ""&amp;C34)),
AND(H34&lt;&gt;"""",FILTER(Info!$F$2:F81, Info!$A$2:A81 = C34) = ""No""),
IFS(H34/AA34&lt;=FILTER(Info!$J$2:J81, Info!$A$2:A81 = C34)*2/3,CONCATENATE(""Höj helst c.t.l. i ""&amp;C34),
H34/AA34&lt;=FILTER(Info!$J$2:J81, Info"&amp;"!$A$2:A81 = C34),ROUNDUP(J34*Info!$J$24),
H34/AA34&lt;=FILTER(Info!$K$2:K81, Info!$A$2:A81 = C34),ROUNDUP(J34*Info!$K$24),
H34/AA34&lt;=FILTER(Info!$L$2:L81, Info!$A$2:A81 = C34),ROUNDUP(J34*Info!L$24),
H34/AA34&lt;=FILTER(Info!$M$2:M81, Info!$A$2:A81 = C34),ROUND"&amp;"UP(J34*Info!$M$24),
H34/AA34&lt;=FILTER(Info!$N$2:N81, Info!$A$2:A81 = C34),ROUNDUP(J34*Info!$N$24),
H34/AA34&lt;=FILTER(Info!$N$2:N81, Info!$A$2:A81 = C34)*3/2,ROUNDUP(J34*Info!$L$26),
H34/AA34&gt;FILTER(Info!$N$2:N81, Info!$A$2:A81 = C34)*3/2,CONCATENATE(""Sänk "&amp;"helst c.t.l. i ""&amp;C34)),
AND(I34="""",H34&lt;&gt;"""",J34&lt;&gt;""""),ROUNDUP(J34*Info!$T$29),
AND(I34&lt;&gt;"""",H34="""",J34&lt;&gt;""""),ROUNDUP(J34*Info!$T$26))"),"")</f>
        <v/>
      </c>
      <c r="L34" s="42">
        <f>IFERROR(__xludf.DUMMYFUNCTION("IFS(C34="""",0,
C34=""3x3 FMC"",Info!$B$9*N34+M34, C34=""3x3 MBLD"",Info!$B$18*N34+M34,
COUNTIF(Info!$A$22:A81,C34)&gt;0,FILTER(Info!$B$22:B81,Info!$A$22:A81=C34)+M34,
AND(C34&lt;&gt;"""",E34=""""),CONCATENATE(""Fyll i E""&amp;row()),
AND(C34&lt;&gt;"""",E34&lt;&gt;"""",E34&lt;&gt;1,E3"&amp;"4&lt;&gt;2,E34&lt;&gt;3,E34&lt;&gt;""Final""),CONCATENATE(""Fel format på E""&amp;row()),
K34=CONCATENATE(""Runda ""&amp;E34&amp;"" i ""&amp;C34&amp;"" finns redan""),CONCATENATE(""Fel i E""&amp;row()),
AND(C34&lt;&gt;"""",F34=""""),CONCATENATE(""Fyll i F""&amp;row()),
K34=CONCATENATE(C34&amp;"" måste ha forma"&amp;"tet ""&amp;FILTER(Info!$D$2:D81, Info!$A$2:A81 = C34)),CONCATENATE(""Fel format på F""&amp;row()),
AND(C34&lt;&gt;"""",D34=1,H34="""",FILTER(Info!$F$2:F81, Info!$A$2:A81 = C34) = ""Yes""),CONCATENATE(""Fyll i H""&amp;row()),
AND(C34&lt;&gt;"""",D34=1,I34="""",FILTER(Info!$E$2:E8"&amp;"1, Info!$A$2:A81 = C34) = ""Yes""),CONCATENATE(""Fyll i I""&amp;row()),
AND(C34&lt;&gt;"""",J34=""""),CONCATENATE(""Fyll i J""&amp;row()),
AND(C34&lt;&gt;"""",K34="""",OR(H34&lt;&gt;"""",I34&lt;&gt;"""")),CONCATENATE(""Fyll i K""&amp;row()),
AND(C34&lt;&gt;"""",K34=""""),CONCATENATE(""Skriv samma"&amp;" i K""&amp;row()&amp;"" som i J""&amp;row()),
AND(OR(C34=""4x4 BLD"",C34=""5x5 BLD"",C34=""4x4 / 5x5 BLD"")=TRUE,V34&lt;=P34),
MROUND(H34*(Info!$T$20-((Info!$T$20-1)/2)*(1-V34/P34))*(1+((J34/K34)-1)*(1-Info!$J$24))*N34+(Info!$T$11/2)+(N34*Info!$T$11)+(N34*Info!$T$14*(O3"&amp;"4-1)),0.01)+M34,
AND(OR(C34=""4x4 BLD"",C34=""5x5 BLD"",C34=""4x4 / 5x5 BLD"")=TRUE,V34&gt;P34),
MROUND((((J34*Z34+K34*(AA34-Z34))*(H34*Info!$T$20/AA34))/X34)*(1+((J34/K34)-1)*(1-Info!$J$24))*(1+(X34-Info!$T$8)/100)+(Info!$T$11/2)+(N34*Info!$T$11)+(N34*Info!"&amp;"$T$14*(O34-1)),0.01)+M34,
AND(C34=""3x3 BLD"",V34&lt;=P34),
MROUND(H34*(Info!$T$23-((Info!$T$23-1)/2)*(1-V34/P34))*(1+((J34/K34)-1)*(1-Info!$J$24))*N34+(Info!$T$11/2)+(N34*Info!$T$11)+(N34*Info!$T$14*(O34-1)),0.01)+M34,
AND(C34=""3x3 BLD"",V34&gt;P34),
MROUND(("&amp;"((J34*Z34+K34*(AA34-Z34))*(H34*Info!$T$23/AA34))/X34)*(1+((J34/K34)-1)*(1-Info!$J$24))*(1+(X34-Info!$T$8)/100)+(Info!$T$11/2)+(N34*Info!$T$11)+(N34*Info!$T$14*(O34-1)),0.01)+M34,
E34=1,MROUND((((J34*Z34+K34*(AA34-Z34))*Y34)/X34)*(1+(X34-Info!$T$8)/100)+(N"&amp;"34*Info!$T$11)+(N34*Info!$T$14*(O34-1)),0.01)+M34,
AND(E34=""Final"",N34=1,FILTER(Info!$G$2:$G$20,Info!$A$2:$A$20=C34)=""Mycket svår""),
MROUND((((J34*Z34+K34*(AA34-Z34))*(Y34*Info!$T$38))/X34)*(1+(X34-Info!$T$8)/100)+(N34*Info!$T$11)+(N34*Info!$T$14*(O34"&amp;"-1)),0.01)+M34,
AND(E34=""Final"",N34=1,FILTER(Info!$G$2:$G$20,Info!$A$2:$A$20=C34)=""Svår""),
MROUND((((J34*Z34+K34*(AA34-Z34))*(Y34*Info!$T$35))/X34)*(1+(X34-Info!$T$8)/100)+(N34*Info!$T$11)+(N34*Info!$T$14*(O34-1)),0.01)+M34,
E34=""Final"",MROUND((((J3"&amp;"4*Z34+K34*(AA34-Z34))*(Y34*Info!$T$5))/X34)*(1+(X34-Info!$T$8)/100)+(N34*Info!$T$11)+(N34*Info!$T$14*(O34-1)),0.01)+M34,
OR(E34=2,E34=3),MROUND((((J34*Z34+K34*(AA34-Z34))*(Y34*Info!$T$2))/X34)*(1+(X34-Info!$T$8)/100)+(N34*Info!$T$11)+(N34*Info!$T$14*(O34-"&amp;"1)),0.01)+M34)"),0.0)</f>
        <v>0</v>
      </c>
      <c r="M34" s="43">
        <f t="shared" si="4"/>
        <v>0</v>
      </c>
      <c r="N34" s="43" t="str">
        <f>IFS(OR(COUNTIF(Info!$A$22:A81,C34)&gt;0,C34=""),"",
OR(C34="4x4 BLD",C34="5x5 BLD",C34="3x3 MBLD",C34="3x3 FMC",C34="4x4 / 5x5 BLD"),1,
AND(E34="Final",Q34="Yes",MAX(1,ROUNDUP(J34/P34))&gt;1),MAX(2,ROUNDUP(J34/P34)),
AND(E34="Final",Q34="No",MAX(1,ROUNDUP(J34/((P34*2)+2.625-Y34*1.5)))&gt;1),MAX(2,ROUNDUP(J34/((P34*2)+2.625-Y34*1.5))),
E34="Final",1,
Q34="Yes",MAX(2,ROUNDUP(J34/P34)),
TRUE,MAX(2,ROUNDUP(J34/((P34*2)+2.625-Y34*1.5))))</f>
        <v/>
      </c>
      <c r="O34" s="43" t="str">
        <f>IFS(OR(COUNTIF(Info!$A$22:A81,C34)&gt;0,C34=""),"",
OR("3x3 MBLD"=C34,"3x3 FMC"=C34)=TRUE,"",
D34=$E$4,$G$6,D34=$K$4,$M$6,D34=$Q$4,$S$6,D34=$W$4,$Y$6,
TRUE,$S$2)</f>
        <v/>
      </c>
      <c r="P34" s="43" t="str">
        <f>IFS(OR(COUNTIF(Info!$A$22:A81,C34)&gt;0,C34=""),"",
OR("3x3 MBLD"=C34,"3x3 FMC"=C34)=TRUE,"",
D34=$E$4,$E$6,D34=$K$4,$K$6,D34=$Q$4,$Q$6,D34=$W$4,$W$6,
TRUE,$Q$2)</f>
        <v/>
      </c>
      <c r="Q34" s="44" t="str">
        <f>IFS(OR(COUNTIF(Info!$A$22:A81,C34)&gt;0,C34=""),"",
OR("3x3 MBLD"=C34,"3x3 FMC"=C34)=TRUE,"",
D34=$E$4,$I$6,D34=$K$4,$O$6,D34=$Q$4,$U$6,D34=$W$4,$AA$6,
TRUE,$U$2)</f>
        <v/>
      </c>
      <c r="R34" s="45" t="str">
        <f>IFERROR(__xludf.DUMMYFUNCTION("IF(C34="""","""",IFERROR(FILTER(Info!$B$22:B81,Info!$A$22:A81=C34)+M34,""?""))"),"")</f>
        <v/>
      </c>
      <c r="S34" s="46" t="str">
        <f>IFS(OR(COUNTIF(Info!$A$22:A81,C34)&gt;0,C34=""),"",
AND(H34="",I34=""),J34,
TRUE,"?")</f>
        <v/>
      </c>
      <c r="T34" s="45" t="str">
        <f>IFS(OR(COUNTIF(Info!$A$22:A81,C34)&gt;0,C34=""),"",
AND(L34&lt;&gt;0,OR(R34="?",R34="")),"Fyll i R-kolumnen",
OR(C34="3x3 FMC",C34="3x3 MBLD"),R34,
AND(L34&lt;&gt;0,OR(S34="?",S34="")),"Fyll i S-kolumnen",
OR(COUNTIF(Info!$A$22:A81,C34)&gt;0,C34=""),"",
TRUE,Y34*R34/L34)</f>
        <v/>
      </c>
      <c r="U34" s="45"/>
      <c r="V34" s="47" t="str">
        <f>IFS(OR(COUNTIF(Info!$A$22:A81,C34)&gt;0,C34=""),"",
OR("3x3 MBLD"=C34,"3x3 FMC"=C34)=TRUE,"",
TRUE,MROUND((J34/N34),0.01))</f>
        <v/>
      </c>
      <c r="W34" s="48" t="str">
        <f>IFS(OR(COUNTIF(Info!$A$22:A81,C34)&gt;0,C34=""),"",
TRUE,L34/N34)</f>
        <v/>
      </c>
      <c r="X34" s="49" t="str">
        <f>IFS(OR(COUNTIF(Info!$A$22:A81,C34)&gt;0,C34=""),"",
OR("3x3 MBLD"=C34,"3x3 FMC"=C34)=TRUE,"",
OR(C34="4x4 BLD",C34="5x5 BLD",C34="4x4 / 5x5 BLD",AND(C34="3x3 BLD",H34&lt;&gt;""))=TRUE,MIN(V34,P34),
TRUE,MIN(P34,V34,MROUND(((V34*2/3)+((Y34-1.625)/2)),0.01)))</f>
        <v/>
      </c>
      <c r="Y34" s="48" t="str">
        <f>IFERROR(__xludf.DUMMYFUNCTION("IFS(OR(COUNTIF(Info!$A$22:A81,C34)&gt;0,C34=""""),"""",
FILTER(Info!$F$2:F81, Info!$A$2:A81 = C34) = ""Yes"",H34/AA34,
""3x3 FMC""=C34,Info!$B$9,""3x3 MBLD""=C34,Info!$B$18,
AND(E34=1,I34="""",H34="""",Q34=""No"",G34&gt;SUMIF(Info!$A$2:A81,C34,Info!$B$2:B81)*1."&amp;"5),
MIN(SUMIF(Info!$A$2:A81,C34,Info!$B$2:B81)*1.1,SUMIF(Info!$A$2:A81,C34,Info!$B$2:B81)*(1.15-(0.15*(SUMIF(Info!$A$2:A81,C34,Info!$B$2:B81)*1.5)/G34))),
AND(E34=1,I34="""",H34="""",Q34=""Yes"",G34&gt;SUMIF(Info!$A$2:A81,C34,Info!$C$2:C81)*1.5),
MIN(SUMIF(I"&amp;"nfo!$A$2:A81,C34,Info!$C$2:C81)*1.1,SUMIF(Info!$A$2:A81,C34,Info!$C$2:C81)*(1.15-(0.15*(SUMIF(Info!$A$2:A81,C34,Info!$C$2:C81)*1.5)/G34))),
Q34=""No"",SUMIF(Info!$A$2:A81,C34,Info!$B$2:B81),
Q34=""Yes"",SUMIF(Info!$A$2:A81,C34,Info!$C$2:C81))"),"")</f>
        <v/>
      </c>
      <c r="Z34" s="47" t="str">
        <f>IFS(OR(COUNTIF(Info!$A$22:A81,C34)&gt;0,C34=""),"",
AND(OR("3x3 FMC"=C34,"3x3 MBLD"=C34),I34&lt;&gt;""),1,
AND(OR(H34&lt;&gt;"",I34&lt;&gt;""),F34="Avg of 5"),2,
F34="Avg of 5",AA34,
AND(OR(H34&lt;&gt;"",I34&lt;&gt;""),F34="Mean of 3",C34="6x6 / 7x7"),2,
AND(OR(H34&lt;&gt;"",I34&lt;&gt;""),F34="Mean of 3"),1,
F34="Mean of 3",AA34,
AND(OR(H34&lt;&gt;"",I34&lt;&gt;""),F34="Best of 3",C34="4x4 / 5x5 BLD"),2,
AND(OR(H34&lt;&gt;"",I34&lt;&gt;""),F34="Best of 3"),1,
F34="Best of 2",AA34,
F34="Best of 1",AA34)</f>
        <v/>
      </c>
      <c r="AA34" s="47" t="str">
        <f>IFS(OR(COUNTIF(Info!$A$22:A81,C34)&gt;0,C34=""),"",
AND(OR("3x3 MBLD"=C34,"3x3 FMC"=C34),F34="Best of 1"=TRUE),1,
AND(OR("3x3 MBLD"=C34,"3x3 FMC"=C34),F34="Best of 2"=TRUE),2,
AND(OR("3x3 MBLD"=C34,"3x3 FMC"=C34),OR(F34="Best of 3",F34="Mean of 3")=TRUE),3,
AND(F34="Mean of 3",C34="6x6 / 7x7"),6,
AND(F34="Best of 3",C34="4x4 / 5x5 BLD"),6,
F34="Avg of 5",5,F34="Mean of 3",3,F34="Best of 3",3,F34="Best of 2",2,F34="Best of 1",1)</f>
        <v/>
      </c>
      <c r="AB34" s="50"/>
    </row>
    <row r="35" ht="15.75" customHeight="1">
      <c r="A35" s="35">
        <f>IFERROR(__xludf.DUMMYFUNCTION("IFS(indirect(""A""&amp;row()-1)=""Start"",TIME(indirect(""A""&amp;row()-2),indirect(""B""&amp;row()-2),0),
$O$2=""No"",TIME(0,($A$6*60+$B$6)+CEILING(SUM($L$7:indirect(""L""&amp;row()-1)),5),0),
D35=$E$2,TIME(0,($A$6*60+$B$6)+CEILING(SUM(IFERROR(FILTER($L$7:indirect(""L"""&amp;"&amp;row()-1),REGEXMATCH($D$7:indirect(""D""&amp;row()-1),$E$2)),0)),5),0),
TRUE,""=time(hh;mm;ss)"")"),0.375)</f>
        <v>0.375</v>
      </c>
      <c r="B35" s="36">
        <f>IFERROR(__xludf.DUMMYFUNCTION("IFS($O$2=""No"",TIME(0,($A$6*60+$B$6)+CEILING(SUM($L$7:indirect(""L""&amp;row())),5),0),
D35=$E$2,TIME(0,($A$6*60+$B$6)+CEILING(SUM(FILTER($L$7:indirect(""L""&amp;row()),REGEXMATCH($D$7:indirect(""D""&amp;row()),$E$2))),5),0),
A35=""=time(hh;mm;ss)"",CONCATENATE(""Sk"&amp;"riv tid i A""&amp;row()),
AND(A35&lt;&gt;"""",A35&lt;&gt;""=time(hh;mm;ss)""),A35+TIME(0,CEILING(indirect(""L""&amp;row()),5),0))"),0.375)</f>
        <v>0.375</v>
      </c>
      <c r="C35" s="37"/>
      <c r="D35" s="38" t="str">
        <f t="shared" si="3"/>
        <v>Stora salen</v>
      </c>
      <c r="E35" s="38" t="str">
        <f>IFERROR(__xludf.DUMMYFUNCTION("IFS(COUNTIF(Info!$A$22:A81,C35)&gt;0,"""",
AND(OR(""3x3 FMC""=C35,""3x3 MBLD""=C35),COUNTIF($C$7:indirect(""C""&amp;row()),indirect(""C""&amp;row()))&gt;=13),""E - Error"",
AND(OR(""3x3 FMC""=C35,""3x3 MBLD""=C35),COUNTIF($C$7:indirect(""C""&amp;row()),indirect(""C""&amp;row()"&amp;"))=12),""Final - A3"",
AND(OR(""3x3 FMC""=C35,""3x3 MBLD""=C35),COUNTIF($C$7:indirect(""C""&amp;row()),indirect(""C""&amp;row()))=11),""Final - A2"",
AND(OR(""3x3 FMC""=C35,""3x3 MBLD""=C35),COUNTIF($C$7:indirect(""C""&amp;row()),indirect(""C""&amp;row()))=10),""Final - "&amp;"A1"",
AND(OR(""3x3 FMC""=C35,""3x3 MBLD""=C35),COUNTIF($C$7:indirect(""C""&amp;row()),indirect(""C""&amp;row()))=9,
COUNTIF($C$7:$C$102,indirect(""C""&amp;row()))&gt;9),""R3 - A3"",
AND(OR(""3x3 FMC""=C35,""3x3 MBLD""=C35),COUNTIF($C$7:indirect(""C""&amp;row()),indirect(""C"&amp;"""&amp;row()))=9,
COUNTIF($C$7:$C$102,indirect(""C""&amp;row()))&lt;=9),""Final - A3"",
AND(OR(""3x3 FMC""=C35,""3x3 MBLD""=C35),COUNTIF($C$7:indirect(""C""&amp;row()),indirect(""C""&amp;row()))=8,
COUNTIF($C$7:$C$102,indirect(""C""&amp;row()))&gt;9),""R3 - A2"",
AND(OR(""3x3 FMC"&amp;"""=C35,""3x3 MBLD""=C35),COUNTIF($C$7:indirect(""C""&amp;row()),indirect(""C""&amp;row()))=8,
COUNTIF($C$7:$C$102,indirect(""C""&amp;row()))&lt;=9),""Final - A2"",
AND(OR(""3x3 FMC""=C35,""3x3 MBLD""=C35),COUNTIF($C$7:indirect(""C""&amp;row()),indirect(""C""&amp;row()))=7,
COUN"&amp;"TIF($C$7:$C$102,indirect(""C""&amp;row()))&gt;9),""R3 - A1"",
AND(OR(""3x3 FMC""=C35,""3x3 MBLD""=C35),COUNTIF($C$7:indirect(""C""&amp;row()),indirect(""C""&amp;row()))=7,
COUNTIF($C$7:$C$102,indirect(""C""&amp;row()))&lt;=9),""Final - A1"",
AND(OR(""3x3 FMC""=C35,""3x3 MBLD"""&amp;"=C35),COUNTIF($C$7:indirect(""C""&amp;row()),indirect(""C""&amp;row()))=6,
COUNTIF($C$7:$C$102,indirect(""C""&amp;row()))&gt;6),""R2 - A3"",
AND(OR(""3x3 FMC""=C35,""3x3 MBLD""=C35),COUNTIF($C$7:indirect(""C""&amp;row()),indirect(""C""&amp;row()))=6,
COUNTIF($C$7:$C$102,indirec"&amp;"t(""C""&amp;row()))&lt;=6),""Final - A3"",
AND(OR(""3x3 FMC""=C35,""3x3 MBLD""=C35),COUNTIF($C$7:indirect(""C""&amp;row()),indirect(""C""&amp;row()))=5,
COUNTIF($C$7:$C$102,indirect(""C""&amp;row()))&gt;6),""R2 - A2"",
AND(OR(""3x3 FMC""=C35,""3x3 MBLD""=C35),COUNTIF($C$7:indi"&amp;"rect(""C""&amp;row()),indirect(""C""&amp;row()))=5,
COUNTIF($C$7:$C$102,indirect(""C""&amp;row()))&lt;=6),""Final - A2"",
AND(OR(""3x3 FMC""=C35,""3x3 MBLD""=C35),COUNTIF($C$7:indirect(""C""&amp;row()),indirect(""C""&amp;row()))=4,
COUNTIF($C$7:$C$102,indirect(""C""&amp;row()))&gt;6),"&amp;"""R2 - A1"",
AND(OR(""3x3 FMC""=C35,""3x3 MBLD""=C35),COUNTIF($C$7:indirect(""C""&amp;row()),indirect(""C""&amp;row()))=4,
COUNTIF($C$7:$C$102,indirect(""C""&amp;row()))&lt;=6),""Final - A1"",
AND(OR(""3x3 FMC""=C35,""3x3 MBLD""=C35),COUNTIF($C$7:indirect(""C""&amp;row()),i"&amp;"ndirect(""C""&amp;row()))=3),""R1 - A3"",
AND(OR(""3x3 FMC""=C35,""3x3 MBLD""=C35),COUNTIF($C$7:indirect(""C""&amp;row()),indirect(""C""&amp;row()))=2),""R1 - A2"",
AND(OR(""3x3 FMC""=C35,""3x3 MBLD""=C35),COUNTIF($C$7:indirect(""C""&amp;row()),indirect(""C""&amp;row()))=1),"&amp;"""R1 -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C35),ROUNDUP((FILTER(Info!$H$2:H81,Info!$A$2:A81=C35)/FILTER(Info!$H$2:H81,Info!$A$2:A81=$K$2))*$I$2)&gt;99),3,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C35),ROUNDUP((FILTER(Info!$H$2:H81,Info!$A$2:A81=C35)/FILTER(Info!$H$2:H81,Info!$A$2:A81=$K$2))*$I$2)&gt;15),2,
AND(COUNTIF($C$7:indirect(""C""&amp;row()),indirect(""C""&amp;row()))=2,COUNTIF($C$7:$C$102,indirect(""C""&amp;row()))=COUNTIF($"&amp;"C$7:indirect(""C""&amp;row()),indirect(""C""&amp;row()))),""Final"",
COUNTIF($C$7:indirect(""C""&amp;row()),indirect(""C""&amp;row()))=1,1,
COUNTIF($C$7:indirect(""C""&amp;row()),indirect(""C""&amp;row()))=0,"""")"),"")</f>
        <v/>
      </c>
      <c r="F35" s="39" t="str">
        <f>IFERROR(__xludf.DUMMYFUNCTION("IFS(C35="""","""",
AND(C35=""3x3 FMC"",MOD(COUNTIF($C$7:indirect(""C""&amp;row()),indirect(""C""&amp;row())),3)=0),""Mean of 3"",
AND(C35=""3x3 MBLD"",MOD(COUNTIF($C$7:indirect(""C""&amp;row()),indirect(""C""&amp;row())),3)=0),""Best of 3"",
AND(C35=""3x3 FMC"",MOD(COUNT"&amp;"IF($C$7:indirect(""C""&amp;row()),indirect(""C""&amp;row())),3)=2,
COUNTIF($C$7:$C$102,indirect(""C""&amp;row()))&lt;=COUNTIF($C$7:indirect(""C""&amp;row()),indirect(""C""&amp;row()))),""Best of 2"",
AND(C35=""3x3 FMC"",MOD(COUNTIF($C$7:indirect(""C""&amp;row()),indirect(""C""&amp;row("&amp;"))),3)=2,
COUNTIF($C$7:$C$102,indirect(""C""&amp;row()))&gt;COUNTIF($C$7:indirect(""C""&amp;row()),indirect(""C""&amp;row()))),""Mean of 3"",
AND(C35=""3x3 MBLD"",MOD(COUNTIF($C$7:indirect(""C""&amp;row()),indirect(""C""&amp;row())),3)=2,
COUNTIF($C$7:$C$102,indirect(""C""&amp;row("&amp;")))&lt;=COUNTIF($C$7:indirect(""C""&amp;row()),indirect(""C""&amp;row()))),""Best of 2"",
AND(C35=""3x3 MBLD"",MOD(COUNTIF($C$7:indirect(""C""&amp;row()),indirect(""C""&amp;row())),3)=2,
COUNTIF($C$7:$C$102,indirect(""C""&amp;row()))&gt;COUNTIF($C$7:indirect(""C""&amp;row()),indirect("&amp;"""C""&amp;row()))),""Best of 3"",
AND(C35=""3x3 FMC"",MOD(COUNTIF($C$7:indirect(""C""&amp;row()),indirect(""C""&amp;row())),3)=1,
COUNTIF($C$7:$C$102,indirect(""C""&amp;row()))&lt;=COUNTIF($C$7:indirect(""C""&amp;row()),indirect(""C""&amp;row()))),""Best of 1"",
AND(C35=""3x3 FMC"""&amp;",MOD(COUNTIF($C$7:indirect(""C""&amp;row()),indirect(""C""&amp;row())),3)=1,
COUNTIF($C$7:$C$102,indirect(""C""&amp;row()))=COUNTIF($C$7:indirect(""C""&amp;row()),indirect(""C""&amp;row()))+1),""Best of 2"",
AND(C35=""3x3 FMC"",MOD(COUNTIF($C$7:indirect(""C""&amp;row()),indirect"&amp;"(""C""&amp;row())),3)=1,
COUNTIF($C$7:$C$102,indirect(""C""&amp;row()))&gt;COUNTIF($C$7:indirect(""C""&amp;row()),indirect(""C""&amp;row()))),""Mean of 3"",
AND(C35=""3x3 MBLD"",MOD(COUNTIF($C$7:indirect(""C""&amp;row()),indirect(""C""&amp;row())),3)=1,
COUNTIF($C$7:$C$102,indirect"&amp;"(""C""&amp;row()))&lt;=COUNTIF($C$7:indirect(""C""&amp;row()),indirect(""C""&amp;row()))),""Best of 1"",
AND(C35=""3x3 MBLD"",MOD(COUNTIF($C$7:indirect(""C""&amp;row()),indirect(""C""&amp;row())),3)=1,
COUNTIF($C$7:$C$102,indirect(""C""&amp;row()))=COUNTIF($C$7:indirect(""C""&amp;row()"&amp;"),indirect(""C""&amp;row()))+1),""Best of 2"",
AND(C35=""3x3 MBLD"",MOD(COUNTIF($C$7:indirect(""C""&amp;row()),indirect(""C""&amp;row())),3)=1,
COUNTIF($C$7:$C$102,indirect(""C""&amp;row()))&gt;COUNTIF($C$7:indirect(""C""&amp;row()),indirect(""C""&amp;row()))),""Best of 3"",
TRUE,("&amp;"IFERROR(FILTER(Info!$D$2:D81, Info!$A$2:A81 = C35), """")))"),"")</f>
        <v/>
      </c>
      <c r="G35" s="40" t="str">
        <f>IFERROR(__xludf.DUMMYFUNCTION("IFS(OR(COUNTIF(Info!$A$22:A81,C35)&gt;0,C35=""""),"""",
OR(""3x3 MBLD""=C35,""3x3 FMC""=C35),60,
AND(E35=1,FILTER(Info!$F$2:F81, Info!$A$2:A81 = C35) = ""No""),FILTER(Info!$P$2:P81, Info!$A$2:A81 = C35),
AND(E35=2,FILTER(Info!$F$2:F81, Info!$A$2:A81 = C35) ="&amp;" ""No""),FILTER(Info!$Q$2:Q81, Info!$A$2:A81 = C35),
AND(E35=3,FILTER(Info!$F$2:F81, Info!$A$2:A81 = C35) = ""No""),FILTER(Info!$R$2:R81, Info!$A$2:A81 = C35),
AND(E35=""Final"",FILTER(Info!$F$2:F81, Info!$A$2:A81 = C35) = ""No""),FILTER(Info!$S$2:S81, In"&amp;"fo!$A$2:A81 = C35),
FILTER(Info!$F$2:F81, Info!$A$2:A81 = C35) = ""Yes"","""")"),"")</f>
        <v/>
      </c>
      <c r="H35" s="40" t="str">
        <f>IFERROR(__xludf.DUMMYFUNCTION("IFS(OR(COUNTIF(Info!$A$22:A81,C35)&gt;0,C35=""""),"""",
OR(""3x3 MBLD""=C35,""3x3 FMC""=C35)=TRUE,"""",
FILTER(Info!$F$2:F81, Info!$A$2:A81 = C35) = ""Yes"",FILTER(Info!$O$2:O81, Info!$A$2:A81 = C35),
FILTER(Info!$F$2:F81, Info!$A$2:A81 = C35) = ""No"",IF(G3"&amp;"5="""",FILTER(Info!$O$2:O81, Info!$A$2:A81 = C35),""""))"),"")</f>
        <v/>
      </c>
      <c r="I35" s="40" t="str">
        <f>IFERROR(__xludf.DUMMYFUNCTION("IFS(OR(COUNTIF(Info!$A$22:A81,C35)&gt;0,C35="""",H35&lt;&gt;""""),"""",
AND(E35&lt;&gt;1,E35&lt;&gt;""R1 - A1"",E35&lt;&gt;""R1 - A2"",E35&lt;&gt;""R1 - A3""),"""",
FILTER(Info!$E$2:E81, Info!$A$2:A81 = C35) = ""Yes"",IF(H35="""",FILTER(Info!$L$2:L81, Info!$A$2:A81 = C35),""""),
FILTER(I"&amp;"nfo!$E$2:E81, Info!$A$2:A81 = C35) = ""No"","""")"),"")</f>
        <v/>
      </c>
      <c r="J35" s="40" t="str">
        <f>IFERROR(__xludf.DUMMYFUNCTION("IFS(OR(COUNTIF(Info!$A$22:A81,C35)&gt;0,C35="""",""3x3 MBLD""=C35,""3x3 FMC""=C35),"""",
AND(E35=1,FILTER(Info!$H$2:H81,Info!$A$2:A81 = C35)&lt;=FILTER(Info!$H$2:H81,Info!$A$2:A81=$K$2)),
ROUNDUP((FILTER(Info!$H$2:H81,Info!$A$2:A81 = C35)/FILTER(Info!$H$2:H81,I"&amp;"nfo!$A$2:A81=$K$2))*$I$2),
AND(E35=1,FILTER(Info!$H$2:H81,Info!$A$2:A81 = C35)&gt;FILTER(Info!$H$2:H81,Info!$A$2:A81=$K$2)),""K2 - Error"",
AND(E35=2,FILTER($J$7:indirect(""J""&amp;row()-1),$C$7:indirect(""C""&amp;row()-1)=C35)&lt;=7),""J - Error"",
E35=2,FLOOR(FILTER("&amp;"$J$7:indirect(""J""&amp;row()-1),$C$7:indirect(""C""&amp;row()-1)=C35)*Info!$T$32),
AND(E35=3,FILTER($J$7:indirect(""J""&amp;row()-1),$C$7:indirect(""C""&amp;row()-1)=C35)&lt;=15),""J - Error"",
E35=3,FLOOR(Info!$T$32*FLOOR(FILTER($J$7:indirect(""J""&amp;row()-1),$C$7:indirect("&amp;"""C""&amp;row()-1)=C35)*Info!$T$32)),
AND(E35=""Final"",COUNTIF($C$7:$C$102,C35)=2,FILTER($J$7:indirect(""J""&amp;row()-1),$C$7:indirect(""C""&amp;row()-1)=C35)&lt;=7),""J - Error"",
AND(E35=""Final"",COUNTIF($C$7:$C$102,C35)=2),
MIN(P35,FLOOR(FILTER($J$7:indirect(""J"""&amp;"&amp;row()-1),$C$7:indirect(""C""&amp;row()-1)=C35)*Info!$T$32)),
AND(E35=""Final"",COUNTIF($C$7:$C$102,C35)=3,FILTER($J$7:indirect(""J""&amp;row()-1),$C$7:indirect(""C""&amp;row()-1)=C35)&lt;=15),""J - Error"",
AND(E35=""Final"",COUNTIF($C$7:$C$102,C35)=3),
MIN(P35,FLOOR(I"&amp;"nfo!$T$32*FLOOR(FILTER($J$7:indirect(""J""&amp;row()-1),$C$7:indirect(""C""&amp;row()-1)=C35)*Info!$T$32))),
AND(E35=""Final"",COUNTIF($C$7:$C$102,C35)&gt;=4,FILTER($J$7:indirect(""J""&amp;row()-1),$C$7:indirect(""C""&amp;row()-1)=C35)&lt;=99),""J - Error"",
AND(E35=""Final"","&amp;"COUNTIF($C$7:$C$102,C35)&gt;=4),
MIN(P35,FLOOR(Info!$T$32*FLOOR(Info!$T$32*FLOOR(FILTER($J$7:indirect(""J""&amp;row()-1),$C$7:indirect(""C""&amp;row()-1)=C35)*Info!$T$32)))))"),"")</f>
        <v/>
      </c>
      <c r="K35" s="41" t="str">
        <f>IFERROR(__xludf.DUMMYFUNCTION("IFS(AND(indirect(""D""&amp;row()+2)&lt;&gt;$E$2,indirect(""D""&amp;row()+1)=""""),CONCATENATE(""Tom rad! Kopiera hela rad ""&amp;row()&amp;"" dit""),
AND(indirect(""D""&amp;row()-1)&lt;&gt;""Rum"",indirect(""D""&amp;row()-1)=""""),CONCATENATE(""Tom rad! Kopiera hela rad ""&amp;row()&amp;"" dit""),
"&amp;"C35="""","""",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OR(AND(D35&lt;&gt;$E$2,D35&lt;&gt;$E$4,D35&lt;&gt;$K$4,D35&lt;&gt;$Q$4),D35="&amp;"""""),CONCATENATE(""Rum: ""&amp;D35&amp;"" finns ej, byt i D""&amp;row()),
AND(indirect(""D""&amp;row()-1)=""Rum"",C35=""""),CONCATENATE(""För att börja: skriv i cell C""&amp;row()),
AND(C35=""Paus"",M35&lt;=0),CONCATENATE(""Skriv pausens längd i M""&amp;row()),
OR(COUNTIF(Info!$A$"&amp;"22:A81,C35)&gt;0,C35=""""),"""",
AND(D35&lt;&gt;$E$2,$O$2=""Yes"",A35=""=time(hh;mm;ss)""),CONCATENATE(""Skriv starttid för ""&amp;C35&amp;"" i A""&amp;row()),
E35=""E - Error"",CONCATENATE(""För många ""&amp;C35&amp;"" rundor!""),
AND(C35&lt;&gt;""3x3 FMC"",C35&lt;&gt;""3x3 MBLD"",E35&lt;&gt;1,E35&lt;&gt;"&amp;"""Final"",IFERROR(FILTER($E$7:indirect(""E""&amp;row()-1),
$E$7:indirect(""E""&amp;row()-1)=E35-1,$C$7:indirect(""C""&amp;row()-1)=C35))=FALSE),CONCATENATE(""Kan ej vara R""&amp;E35&amp;"", saknar R""&amp;(E35-1)),
AND(indirect(""E""&amp;row()-1)&lt;&gt;""Omgång"",IFERROR(FILTER($E$7:indi"&amp;"rect(""E""&amp;row()-1),
$E$7:indirect(""E""&amp;row()-1)=E35,$C$7:indirect(""C""&amp;row()-1)=C35)=E35)=TRUE),CONCATENATE(""Runda ""&amp;E35&amp;"" i ""&amp;C35&amp;"" finns redan""),
AND(C35&lt;&gt;""3x3 BLD"",C35&lt;&gt;""4x4 BLD"",C35&lt;&gt;""5x5 BLD"",C35&lt;&gt;""4x4 / 5x5 BLD"",OR(E35=2,E35=3,E35="&amp;"""Final""),H35&lt;&gt;""""),CONCATENATE(E35&amp;""-rundor brukar ej ha c.t.l.""),
AND(OR(E35=2,E35=3,E35=""Final""),I35&lt;&gt;""""),CONCATENATE(E35&amp;""-rundor brukar ej ha cutoff""),
AND(OR(C35=""3x3 FMC"",C35=""3x3 MBLD""),OR(E35=1,E35=2,E35=3,E35=""Final"")),CONCATENAT"&amp;"E(C35&amp;""s omgång är Rx - Ax""),
AND(C35&lt;&gt;""3x3 MBLD"",C35&lt;&gt;""3x3 FMC"",FILTER(Info!$D$2:D81, Info!$A$2:A81 = C35)&lt;&gt;F35),CONCATENATE(C35&amp;"" måste ha formatet ""&amp;FILTER(Info!$D$2:D81, Info!$A$2:A81 = C35)),
AND(C35=""3x3 MBLD"",OR(F35=""Avg of 5"",F35=""Mea"&amp;"n of 3"")),CONCATENATE(""Ogiltigt format för ""&amp;C35),
AND(C35=""3x3 FMC"",OR(F35=""Avg of 5"",F35=""Best of 3"")),CONCATENATE(""Ogiltigt format för ""&amp;C35),
AND(OR(F35=""Best of 1"",F35=""Best of 2"",F35=""Best of 3""),I35&lt;&gt;""""),CONCATENATE(F35&amp;""-rundor"&amp;" får ej ha cutoff""),
AND(OR(C35=""3x3 FMC"",C35=""3x3 MBLD""),G35&lt;&gt;60),CONCATENATE(C35&amp;"" måste ha time limit: 60""),
AND(OR(C35=""3x3 FMC"",C35=""3x3 MBLD""),H35&lt;&gt;""""),CONCATENATE(C35&amp;"" kan inte ha c.t.l.""),
AND(G35&lt;&gt;"""",H35&lt;&gt;""""),""Välj time limit"&amp;" ELLER c.t.l"",
AND(C35=""6x6 / 7x7"",G35="""",H35=""""),""Sätt time limit (x / y) eller c.t.l (z)"",
AND(G35="""",H35=""""),""Sätt en time limit eller c.t.l"",
AND(OR(C35=""6x6 / 7x7"",C35=""4x4 / 5x5 BLD""),G35&lt;&gt;"""",REGEXMATCH(TO_TEXT(G35),"" / "")=FAL"&amp;"SE),CONCATENATE(""Time limit måste vara x / y""),
AND(H35&lt;&gt;"""",I35&lt;&gt;""""),CONCATENATE(C35&amp;"" brukar ej ha cutoff OCH c.t.l""),
AND(E35=1,H35="""",I35="""",OR(FILTER(Info!$E$2:E81, Info!$A$2:A81 = C35) = ""Yes"",FILTER(Info!$F$2:F81, Info!$A$2:A81 = C35) "&amp;"= ""Yes""),OR(F35=""Avg of 5"",F35=""Mean of 3"")),CONCATENATE(C35&amp;"" bör ha cutoff eller c.t.l""),
AND(C35=""6x6 / 7x7"",I35&lt;&gt;"""",REGEXMATCH(TO_TEXT(I35),"" / "")=FALSE),CONCATENATE(""Cutoff måste vara x / y""),
AND(H35&lt;&gt;"""",ISNUMBER(H35)=FALSE),""C.t."&amp;"l. måste vara positivt tal (x)"",
AND(C35&lt;&gt;""6x6 / 7x7"",I35&lt;&gt;"""",ISNUMBER(I35)=FALSE),""Cutoff måste vara positivt tal (x)"",
AND(H35&lt;&gt;"""",FILTER(Info!$E$2:E81, Info!$A$2:A81 = C35) = ""No"",FILTER(Info!$F$2:F81, Info!$A$2:A81 = C35) = ""No""),CONCATEN"&amp;"ATE(C35&amp;"" brukar inte ha c.t.l.""),
AND(I35&lt;&gt;"""",FILTER(Info!$E$2:E81, Info!$A$2:A81 = C35) = ""No"",FILTER(Info!$F$2:F81, Info!$A$2:A81 = C35) = ""No""),CONCATENATE(C35&amp;"" brukar inte ha cutoff""),
AND(H35="""",FILTER(Info!$F$2:F81, Info!$A$2:A81 = C35"&amp;") = ""Yes""),CONCATENATE(C35&amp;"" brukar ha c.t.l.""),
AND(C35&lt;&gt;""6x6 / 7x7"",C35&lt;&gt;""4x4 / 5x5 BLD"",G35&lt;&gt;"""",ISNUMBER(G35)=FALSE),""Time limit måste vara positivt tal (x)"",
J35=""J - Error"",CONCATENATE(""För få deltagare i R1 för ""&amp;COUNTIF($C$7:$C$102,"&amp;"indirect(""C""&amp;row()))&amp;"" rundor""),
J35=""K2 - Error"",CONCATENATE(C35&amp;"" är mer populär - byt i K2!""),
AND(C35&lt;&gt;""6x6 / 7x7"",C35&lt;&gt;""4x4 / 5x5 BLD"",G35&lt;&gt;"""",I35&lt;&gt;"""",G35&lt;=I35),""Time limit måste vara &gt; cutoff"",
AND(C35&lt;&gt;""6x6 / 7x7"",C35&lt;&gt;""4x4 / 5"&amp;"x5 BLD"",H35&lt;&gt;"""",I35&lt;&gt;"""",H35&lt;=I35),""C.t.l. måste vara &gt; cutoff"",
AND(C35&lt;&gt;""3x3 FMC"",C35&lt;&gt;""3x3 MBLD"",J35=""""),CONCATENATE(""Fyll i antal deltagare i J""&amp;row()),
AND(C35="""",OR(E35&lt;&gt;"""",F35&lt;&gt;"""",G35&lt;&gt;"""",H35&lt;&gt;"""",I35&lt;&gt;"""",J35&lt;&gt;"""")),""Skri"&amp;"v ALLTID gren / aktivitet först"",
AND(I35="""",H35="""",J35&lt;&gt;""""),J35,
OR(""3x3 FMC""=C35,""3x3 MBLD""=C35),J35,
AND(I35&lt;&gt;"""",""6x6 / 7x7""=C35),
IFS(ArrayFormula(SUM(IFERROR(SPLIT(I35,"" / ""))))&lt;(Info!$J$6+Info!$J$7)*2/3,CONCATENATE(""Höj helst cutof"&amp;"fs i ""&amp;C35),
ArrayFormula(SUM(IFERROR(SPLIT(I35,"" / ""))))&lt;=(Info!$J$6+Info!$J$7),ROUNDUP(J35*Info!$J$22),
ArrayFormula(SUM(IFERROR(SPLIT(I35,"" / ""))))&lt;=Info!$J$6+Info!$J$7,ROUNDUP(J35*Info!$K$22),
ArrayFormula(SUM(IFERROR(SPLIT(I35,"" / ""))))&lt;=Info!"&amp;"$K$6+Info!$K$7,ROUNDUP(J35*Info!L$22),
ArrayFormula(SUM(IFERROR(SPLIT(I35,"" / ""))))&lt;=Info!$L$6+Info!$L$7,ROUNDUP(J35*Info!$M$22),
ArrayFormula(SUM(IFERROR(SPLIT(I35,"" / ""))))&lt;=Info!$M$6+Info!$M$7,ROUNDUP(J35*Info!$N$22),
ArrayFormula(SUM(IFERROR(SPLIT"&amp;"(I35,"" / ""))))&lt;=(Info!$N$6+Info!$N$7)*3/2,ROUNDUP(J35*Info!$J$26),
ArrayFormula(SUM(IFERROR(SPLIT(I35,"" / ""))))&gt;(Info!$N$6+Info!$N$7)*3/2,CONCATENATE(""Sänk helst cutoffs i ""&amp;C35)),
AND(I35&lt;&gt;"""",FILTER(Info!$E$2:E81, Info!$A$2:A81 = C35) = ""Yes""),"&amp;"
IFS(I35&lt;FILTER(Info!$J$2:J81, Info!$A$2:A81 = C35)*2/3,CONCATENATE(""Höj helst cutoff i ""&amp;C35),
I35&lt;=FILTER(Info!$J$2:J81, Info!$A$2:A81 = C35),ROUNDUP(J35*Info!$J$22),
I35&lt;=FILTER(Info!$K$2:K81, Info!$A$2:A81 = C35),ROUNDUP(J35*Info!$K$22),
I35&lt;=FILTER"&amp;"(Info!$L$2:L81, Info!$A$2:A81 = C35),ROUNDUP(J35*Info!L$22),
I35&lt;=FILTER(Info!$M$2:M81, Info!$A$2:A81 = C35),ROUNDUP(J35*Info!$M$22),
I35&lt;=FILTER(Info!$N$2:N81, Info!$A$2:A81 = C35),ROUNDUP(J35*Info!$N$22),
I35&lt;=FILTER(Info!$N$2:N81, Info!$A$2:A81 = C35)*"&amp;"3/2,ROUNDUP(J35*Info!$J$26),
I35&gt;FILTER(Info!$N$2:N81, Info!$A$2:A81 = C35)*3/2,CONCATENATE(""Sänk helst cutoff i ""&amp;C35)),
AND(H35&lt;&gt;"""",""6x6 / 7x7""=C35),
IFS(H35/3&lt;=(Info!$J$6+Info!$J$7)*2/3,""Höj helst cumulative time limit"",
H35/3&lt;=Info!$J$6+Info!$"&amp;"J$7,ROUNDUP(J35*Info!$J$24),
H35/3&lt;=Info!$K$6+Info!$K$7,ROUNDUP(J35*Info!$K$24),
H35/3&lt;=Info!$L$6+Info!$L$7,ROUNDUP(J35*Info!L$24),
H35/3&lt;=Info!$M$6+Info!$M$7,ROUNDUP(J35*Info!$M$24),
H35/3&lt;=Info!$N$6+Info!$N$7,ROUNDUP(J35*Info!$N$24),
H35/3&lt;=(Info!$N$6+I"&amp;"nfo!$N$7)*3/2,ROUNDUP(J35*Info!$L$26),
H35/3&gt;(Info!$J$6+Info!$J$7)*3/2,""Sänk helst cumulative time limit""),
AND(H35&lt;&gt;"""",FILTER(Info!$F$2:F81, Info!$A$2:A81 = C35) = ""Yes""),
IFS(H35&lt;=FILTER(Info!$J$2:J81, Info!$A$2:A81 = C35)*2/3,CONCATENATE(""Höj he"&amp;"lst c.t.l. i ""&amp;C35),
H35&lt;=FILTER(Info!$J$2:J81, Info!$A$2:A81 = C35),ROUNDUP(J35*Info!$J$24),
H35&lt;=FILTER(Info!$K$2:K81, Info!$A$2:A81 = C35),ROUNDUP(J35*Info!$K$24),
H35&lt;=FILTER(Info!$L$2:L81, Info!$A$2:A81 = C35),ROUNDUP(J35*Info!L$24),
H35&lt;=FILTER(Inf"&amp;"o!$M$2:M81, Info!$A$2:A81 = C35),ROUNDUP(J35*Info!$M$24),
H35&lt;=FILTER(Info!$N$2:N81, Info!$A$2:A81 = C35),ROUNDUP(J35*Info!$N$24),
H35&lt;=FILTER(Info!$N$2:N81, Info!$A$2:A81 = C35)*3/2,ROUNDUP(J35*Info!$L$26),
H35&gt;FILTER(Info!$N$2:N81, Info!$A$2:A81 = C35)*"&amp;"3/2,CONCATENATE(""Sänk helst c.t.l. i ""&amp;C35)),
AND(H35&lt;&gt;"""",FILTER(Info!$F$2:F81, Info!$A$2:A81 = C35) = ""No""),
IFS(H35/AA35&lt;=FILTER(Info!$J$2:J81, Info!$A$2:A81 = C35)*2/3,CONCATENATE(""Höj helst c.t.l. i ""&amp;C35),
H35/AA35&lt;=FILTER(Info!$J$2:J81, Info"&amp;"!$A$2:A81 = C35),ROUNDUP(J35*Info!$J$24),
H35/AA35&lt;=FILTER(Info!$K$2:K81, Info!$A$2:A81 = C35),ROUNDUP(J35*Info!$K$24),
H35/AA35&lt;=FILTER(Info!$L$2:L81, Info!$A$2:A81 = C35),ROUNDUP(J35*Info!L$24),
H35/AA35&lt;=FILTER(Info!$M$2:M81, Info!$A$2:A81 = C35),ROUND"&amp;"UP(J35*Info!$M$24),
H35/AA35&lt;=FILTER(Info!$N$2:N81, Info!$A$2:A81 = C35),ROUNDUP(J35*Info!$N$24),
H35/AA35&lt;=FILTER(Info!$N$2:N81, Info!$A$2:A81 = C35)*3/2,ROUNDUP(J35*Info!$L$26),
H35/AA35&gt;FILTER(Info!$N$2:N81, Info!$A$2:A81 = C35)*3/2,CONCATENATE(""Sänk "&amp;"helst c.t.l. i ""&amp;C35)),
AND(I35="""",H35&lt;&gt;"""",J35&lt;&gt;""""),ROUNDUP(J35*Info!$T$29),
AND(I35&lt;&gt;"""",H35="""",J35&lt;&gt;""""),ROUNDUP(J35*Info!$T$26))"),"")</f>
        <v/>
      </c>
      <c r="L35" s="42">
        <f>IFERROR(__xludf.DUMMYFUNCTION("IFS(C35="""",0,
C35=""3x3 FMC"",Info!$B$9*N35+M35, C35=""3x3 MBLD"",Info!$B$18*N35+M35,
COUNTIF(Info!$A$22:A81,C35)&gt;0,FILTER(Info!$B$22:B81,Info!$A$22:A81=C35)+M35,
AND(C35&lt;&gt;"""",E35=""""),CONCATENATE(""Fyll i E""&amp;row()),
AND(C35&lt;&gt;"""",E35&lt;&gt;"""",E35&lt;&gt;1,E3"&amp;"5&lt;&gt;2,E35&lt;&gt;3,E35&lt;&gt;""Final""),CONCATENATE(""Fel format på E""&amp;row()),
K35=CONCATENATE(""Runda ""&amp;E35&amp;"" i ""&amp;C35&amp;"" finns redan""),CONCATENATE(""Fel i E""&amp;row()),
AND(C35&lt;&gt;"""",F35=""""),CONCATENATE(""Fyll i F""&amp;row()),
K35=CONCATENATE(C35&amp;"" måste ha forma"&amp;"tet ""&amp;FILTER(Info!$D$2:D81, Info!$A$2:A81 = C35)),CONCATENATE(""Fel format på F""&amp;row()),
AND(C35&lt;&gt;"""",D35=1,H35="""",FILTER(Info!$F$2:F81, Info!$A$2:A81 = C35) = ""Yes""),CONCATENATE(""Fyll i H""&amp;row()),
AND(C35&lt;&gt;"""",D35=1,I35="""",FILTER(Info!$E$2:E8"&amp;"1, Info!$A$2:A81 = C35) = ""Yes""),CONCATENATE(""Fyll i I""&amp;row()),
AND(C35&lt;&gt;"""",J35=""""),CONCATENATE(""Fyll i J""&amp;row()),
AND(C35&lt;&gt;"""",K35="""",OR(H35&lt;&gt;"""",I35&lt;&gt;"""")),CONCATENATE(""Fyll i K""&amp;row()),
AND(C35&lt;&gt;"""",K35=""""),CONCATENATE(""Skriv samma"&amp;" i K""&amp;row()&amp;"" som i J""&amp;row()),
AND(OR(C35=""4x4 BLD"",C35=""5x5 BLD"",C35=""4x4 / 5x5 BLD"")=TRUE,V35&lt;=P35),
MROUND(H35*(Info!$T$20-((Info!$T$20-1)/2)*(1-V35/P35))*(1+((J35/K35)-1)*(1-Info!$J$24))*N35+(Info!$T$11/2)+(N35*Info!$T$11)+(N35*Info!$T$14*(O3"&amp;"5-1)),0.01)+M35,
AND(OR(C35=""4x4 BLD"",C35=""5x5 BLD"",C35=""4x4 / 5x5 BLD"")=TRUE,V35&gt;P35),
MROUND((((J35*Z35+K35*(AA35-Z35))*(H35*Info!$T$20/AA35))/X35)*(1+((J35/K35)-1)*(1-Info!$J$24))*(1+(X35-Info!$T$8)/100)+(Info!$T$11/2)+(N35*Info!$T$11)+(N35*Info!"&amp;"$T$14*(O35-1)),0.01)+M35,
AND(C35=""3x3 BLD"",V35&lt;=P35),
MROUND(H35*(Info!$T$23-((Info!$T$23-1)/2)*(1-V35/P35))*(1+((J35/K35)-1)*(1-Info!$J$24))*N35+(Info!$T$11/2)+(N35*Info!$T$11)+(N35*Info!$T$14*(O35-1)),0.01)+M35,
AND(C35=""3x3 BLD"",V35&gt;P35),
MROUND(("&amp;"((J35*Z35+K35*(AA35-Z35))*(H35*Info!$T$23/AA35))/X35)*(1+((J35/K35)-1)*(1-Info!$J$24))*(1+(X35-Info!$T$8)/100)+(Info!$T$11/2)+(N35*Info!$T$11)+(N35*Info!$T$14*(O35-1)),0.01)+M35,
E35=1,MROUND((((J35*Z35+K35*(AA35-Z35))*Y35)/X35)*(1+(X35-Info!$T$8)/100)+(N"&amp;"35*Info!$T$11)+(N35*Info!$T$14*(O35-1)),0.01)+M35,
AND(E35=""Final"",N35=1,FILTER(Info!$G$2:$G$20,Info!$A$2:$A$20=C35)=""Mycket svår""),
MROUND((((J35*Z35+K35*(AA35-Z35))*(Y35*Info!$T$38))/X35)*(1+(X35-Info!$T$8)/100)+(N35*Info!$T$11)+(N35*Info!$T$14*(O35"&amp;"-1)),0.01)+M35,
AND(E35=""Final"",N35=1,FILTER(Info!$G$2:$G$20,Info!$A$2:$A$20=C35)=""Svår""),
MROUND((((J35*Z35+K35*(AA35-Z35))*(Y35*Info!$T$35))/X35)*(1+(X35-Info!$T$8)/100)+(N35*Info!$T$11)+(N35*Info!$T$14*(O35-1)),0.01)+M35,
E35=""Final"",MROUND((((J3"&amp;"5*Z35+K35*(AA35-Z35))*(Y35*Info!$T$5))/X35)*(1+(X35-Info!$T$8)/100)+(N35*Info!$T$11)+(N35*Info!$T$14*(O35-1)),0.01)+M35,
OR(E35=2,E35=3),MROUND((((J35*Z35+K35*(AA35-Z35))*(Y35*Info!$T$2))/X35)*(1+(X35-Info!$T$8)/100)+(N35*Info!$T$11)+(N35*Info!$T$14*(O35-"&amp;"1)),0.01)+M35)"),0.0)</f>
        <v>0</v>
      </c>
      <c r="M35" s="43">
        <f t="shared" si="4"/>
        <v>0</v>
      </c>
      <c r="N35" s="43" t="str">
        <f>IFS(OR(COUNTIF(Info!$A$22:A81,C35)&gt;0,C35=""),"",
OR(C35="4x4 BLD",C35="5x5 BLD",C35="3x3 MBLD",C35="3x3 FMC",C35="4x4 / 5x5 BLD"),1,
AND(E35="Final",Q35="Yes",MAX(1,ROUNDUP(J35/P35))&gt;1),MAX(2,ROUNDUP(J35/P35)),
AND(E35="Final",Q35="No",MAX(1,ROUNDUP(J35/((P35*2)+2.625-Y35*1.5)))&gt;1),MAX(2,ROUNDUP(J35/((P35*2)+2.625-Y35*1.5))),
E35="Final",1,
Q35="Yes",MAX(2,ROUNDUP(J35/P35)),
TRUE,MAX(2,ROUNDUP(J35/((P35*2)+2.625-Y35*1.5))))</f>
        <v/>
      </c>
      <c r="O35" s="43" t="str">
        <f>IFS(OR(COUNTIF(Info!$A$22:A81,C35)&gt;0,C35=""),"",
OR("3x3 MBLD"=C35,"3x3 FMC"=C35)=TRUE,"",
D35=$E$4,$G$6,D35=$K$4,$M$6,D35=$Q$4,$S$6,D35=$W$4,$Y$6,
TRUE,$S$2)</f>
        <v/>
      </c>
      <c r="P35" s="43" t="str">
        <f>IFS(OR(COUNTIF(Info!$A$22:A81,C35)&gt;0,C35=""),"",
OR("3x3 MBLD"=C35,"3x3 FMC"=C35)=TRUE,"",
D35=$E$4,$E$6,D35=$K$4,$K$6,D35=$Q$4,$Q$6,D35=$W$4,$W$6,
TRUE,$Q$2)</f>
        <v/>
      </c>
      <c r="Q35" s="44" t="str">
        <f>IFS(OR(COUNTIF(Info!$A$22:A81,C35)&gt;0,C35=""),"",
OR("3x3 MBLD"=C35,"3x3 FMC"=C35)=TRUE,"",
D35=$E$4,$I$6,D35=$K$4,$O$6,D35=$Q$4,$U$6,D35=$W$4,$AA$6,
TRUE,$U$2)</f>
        <v/>
      </c>
      <c r="R35" s="45" t="str">
        <f>IFERROR(__xludf.DUMMYFUNCTION("IF(C35="""","""",IFERROR(FILTER(Info!$B$22:B81,Info!$A$22:A81=C35)+M35,""?""))"),"")</f>
        <v/>
      </c>
      <c r="S35" s="46" t="str">
        <f>IFS(OR(COUNTIF(Info!$A$22:A81,C35)&gt;0,C35=""),"",
AND(H35="",I35=""),J35,
TRUE,"?")</f>
        <v/>
      </c>
      <c r="T35" s="45" t="str">
        <f>IFS(OR(COUNTIF(Info!$A$22:A81,C35)&gt;0,C35=""),"",
AND(L35&lt;&gt;0,OR(R35="?",R35="")),"Fyll i R-kolumnen",
OR(C35="3x3 FMC",C35="3x3 MBLD"),R35,
AND(L35&lt;&gt;0,OR(S35="?",S35="")),"Fyll i S-kolumnen",
OR(COUNTIF(Info!$A$22:A81,C35)&gt;0,C35=""),"",
TRUE,Y35*R35/L35)</f>
        <v/>
      </c>
      <c r="U35" s="45"/>
      <c r="V35" s="47" t="str">
        <f>IFS(OR(COUNTIF(Info!$A$22:A81,C35)&gt;0,C35=""),"",
OR("3x3 MBLD"=C35,"3x3 FMC"=C35)=TRUE,"",
TRUE,MROUND((J35/N35),0.01))</f>
        <v/>
      </c>
      <c r="W35" s="48" t="str">
        <f>IFS(OR(COUNTIF(Info!$A$22:A81,C35)&gt;0,C35=""),"",
TRUE,L35/N35)</f>
        <v/>
      </c>
      <c r="X35" s="49" t="str">
        <f>IFS(OR(COUNTIF(Info!$A$22:A81,C35)&gt;0,C35=""),"",
OR("3x3 MBLD"=C35,"3x3 FMC"=C35)=TRUE,"",
OR(C35="4x4 BLD",C35="5x5 BLD",C35="4x4 / 5x5 BLD",AND(C35="3x3 BLD",H35&lt;&gt;""))=TRUE,MIN(V35,P35),
TRUE,MIN(P35,V35,MROUND(((V35*2/3)+((Y35-1.625)/2)),0.01)))</f>
        <v/>
      </c>
      <c r="Y35" s="48" t="str">
        <f>IFERROR(__xludf.DUMMYFUNCTION("IFS(OR(COUNTIF(Info!$A$22:A81,C35)&gt;0,C35=""""),"""",
FILTER(Info!$F$2:F81, Info!$A$2:A81 = C35) = ""Yes"",H35/AA35,
""3x3 FMC""=C35,Info!$B$9,""3x3 MBLD""=C35,Info!$B$18,
AND(E35=1,I35="""",H35="""",Q35=""No"",G35&gt;SUMIF(Info!$A$2:A81,C35,Info!$B$2:B81)*1."&amp;"5),
MIN(SUMIF(Info!$A$2:A81,C35,Info!$B$2:B81)*1.1,SUMIF(Info!$A$2:A81,C35,Info!$B$2:B81)*(1.15-(0.15*(SUMIF(Info!$A$2:A81,C35,Info!$B$2:B81)*1.5)/G35))),
AND(E35=1,I35="""",H35="""",Q35=""Yes"",G35&gt;SUMIF(Info!$A$2:A81,C35,Info!$C$2:C81)*1.5),
MIN(SUMIF(I"&amp;"nfo!$A$2:A81,C35,Info!$C$2:C81)*1.1,SUMIF(Info!$A$2:A81,C35,Info!$C$2:C81)*(1.15-(0.15*(SUMIF(Info!$A$2:A81,C35,Info!$C$2:C81)*1.5)/G35))),
Q35=""No"",SUMIF(Info!$A$2:A81,C35,Info!$B$2:B81),
Q35=""Yes"",SUMIF(Info!$A$2:A81,C35,Info!$C$2:C81))"),"")</f>
        <v/>
      </c>
      <c r="Z35" s="47" t="str">
        <f>IFS(OR(COUNTIF(Info!$A$22:A81,C35)&gt;0,C35=""),"",
AND(OR("3x3 FMC"=C35,"3x3 MBLD"=C35),I35&lt;&gt;""),1,
AND(OR(H35&lt;&gt;"",I35&lt;&gt;""),F35="Avg of 5"),2,
F35="Avg of 5",AA35,
AND(OR(H35&lt;&gt;"",I35&lt;&gt;""),F35="Mean of 3",C35="6x6 / 7x7"),2,
AND(OR(H35&lt;&gt;"",I35&lt;&gt;""),F35="Mean of 3"),1,
F35="Mean of 3",AA35,
AND(OR(H35&lt;&gt;"",I35&lt;&gt;""),F35="Best of 3",C35="4x4 / 5x5 BLD"),2,
AND(OR(H35&lt;&gt;"",I35&lt;&gt;""),F35="Best of 3"),1,
F35="Best of 2",AA35,
F35="Best of 1",AA35)</f>
        <v/>
      </c>
      <c r="AA35" s="47" t="str">
        <f>IFS(OR(COUNTIF(Info!$A$22:A81,C35)&gt;0,C35=""),"",
AND(OR("3x3 MBLD"=C35,"3x3 FMC"=C35),F35="Best of 1"=TRUE),1,
AND(OR("3x3 MBLD"=C35,"3x3 FMC"=C35),F35="Best of 2"=TRUE),2,
AND(OR("3x3 MBLD"=C35,"3x3 FMC"=C35),OR(F35="Best of 3",F35="Mean of 3")=TRUE),3,
AND(F35="Mean of 3",C35="6x6 / 7x7"),6,
AND(F35="Best of 3",C35="4x4 / 5x5 BLD"),6,
F35="Avg of 5",5,F35="Mean of 3",3,F35="Best of 3",3,F35="Best of 2",2,F35="Best of 1",1)</f>
        <v/>
      </c>
      <c r="AB35" s="50"/>
    </row>
    <row r="36" ht="15.75" customHeight="1">
      <c r="A36" s="35">
        <f>IFERROR(__xludf.DUMMYFUNCTION("IFS(indirect(""A""&amp;row()-1)=""Start"",TIME(indirect(""A""&amp;row()-2),indirect(""B""&amp;row()-2),0),
$O$2=""No"",TIME(0,($A$6*60+$B$6)+CEILING(SUM($L$7:indirect(""L""&amp;row()-1)),5),0),
D36=$E$2,TIME(0,($A$6*60+$B$6)+CEILING(SUM(IFERROR(FILTER($L$7:indirect(""L"""&amp;"&amp;row()-1),REGEXMATCH($D$7:indirect(""D""&amp;row()-1),$E$2)),0)),5),0),
TRUE,""=time(hh;mm;ss)"")"),0.375)</f>
        <v>0.375</v>
      </c>
      <c r="B36" s="36">
        <f>IFERROR(__xludf.DUMMYFUNCTION("IFS($O$2=""No"",TIME(0,($A$6*60+$B$6)+CEILING(SUM($L$7:indirect(""L""&amp;row())),5),0),
D36=$E$2,TIME(0,($A$6*60+$B$6)+CEILING(SUM(FILTER($L$7:indirect(""L""&amp;row()),REGEXMATCH($D$7:indirect(""D""&amp;row()),$E$2))),5),0),
A36=""=time(hh;mm;ss)"",CONCATENATE(""Sk"&amp;"riv tid i A""&amp;row()),
AND(A36&lt;&gt;"""",A36&lt;&gt;""=time(hh;mm;ss)""),A36+TIME(0,CEILING(indirect(""L""&amp;row()),5),0))"),0.375)</f>
        <v>0.375</v>
      </c>
      <c r="C36" s="37"/>
      <c r="D36" s="38" t="str">
        <f t="shared" si="3"/>
        <v>Stora salen</v>
      </c>
      <c r="E36" s="38" t="str">
        <f>IFERROR(__xludf.DUMMYFUNCTION("IFS(COUNTIF(Info!$A$22:A81,C36)&gt;0,"""",
AND(OR(""3x3 FMC""=C36,""3x3 MBLD""=C36),COUNTIF($C$7:indirect(""C""&amp;row()),indirect(""C""&amp;row()))&gt;=13),""E - Error"",
AND(OR(""3x3 FMC""=C36,""3x3 MBLD""=C36),COUNTIF($C$7:indirect(""C""&amp;row()),indirect(""C""&amp;row()"&amp;"))=12),""Final - A3"",
AND(OR(""3x3 FMC""=C36,""3x3 MBLD""=C36),COUNTIF($C$7:indirect(""C""&amp;row()),indirect(""C""&amp;row()))=11),""Final - A2"",
AND(OR(""3x3 FMC""=C36,""3x3 MBLD""=C36),COUNTIF($C$7:indirect(""C""&amp;row()),indirect(""C""&amp;row()))=10),""Final - "&amp;"A1"",
AND(OR(""3x3 FMC""=C36,""3x3 MBLD""=C36),COUNTIF($C$7:indirect(""C""&amp;row()),indirect(""C""&amp;row()))=9,
COUNTIF($C$7:$C$102,indirect(""C""&amp;row()))&gt;9),""R3 - A3"",
AND(OR(""3x3 FMC""=C36,""3x3 MBLD""=C36),COUNTIF($C$7:indirect(""C""&amp;row()),indirect(""C"&amp;"""&amp;row()))=9,
COUNTIF($C$7:$C$102,indirect(""C""&amp;row()))&lt;=9),""Final - A3"",
AND(OR(""3x3 FMC""=C36,""3x3 MBLD""=C36),COUNTIF($C$7:indirect(""C""&amp;row()),indirect(""C""&amp;row()))=8,
COUNTIF($C$7:$C$102,indirect(""C""&amp;row()))&gt;9),""R3 - A2"",
AND(OR(""3x3 FMC"&amp;"""=C36,""3x3 MBLD""=C36),COUNTIF($C$7:indirect(""C""&amp;row()),indirect(""C""&amp;row()))=8,
COUNTIF($C$7:$C$102,indirect(""C""&amp;row()))&lt;=9),""Final - A2"",
AND(OR(""3x3 FMC""=C36,""3x3 MBLD""=C36),COUNTIF($C$7:indirect(""C""&amp;row()),indirect(""C""&amp;row()))=7,
COUN"&amp;"TIF($C$7:$C$102,indirect(""C""&amp;row()))&gt;9),""R3 - A1"",
AND(OR(""3x3 FMC""=C36,""3x3 MBLD""=C36),COUNTIF($C$7:indirect(""C""&amp;row()),indirect(""C""&amp;row()))=7,
COUNTIF($C$7:$C$102,indirect(""C""&amp;row()))&lt;=9),""Final - A1"",
AND(OR(""3x3 FMC""=C36,""3x3 MBLD"""&amp;"=C36),COUNTIF($C$7:indirect(""C""&amp;row()),indirect(""C""&amp;row()))=6,
COUNTIF($C$7:$C$102,indirect(""C""&amp;row()))&gt;6),""R2 - A3"",
AND(OR(""3x3 FMC""=C36,""3x3 MBLD""=C36),COUNTIF($C$7:indirect(""C""&amp;row()),indirect(""C""&amp;row()))=6,
COUNTIF($C$7:$C$102,indirec"&amp;"t(""C""&amp;row()))&lt;=6),""Final - A3"",
AND(OR(""3x3 FMC""=C36,""3x3 MBLD""=C36),COUNTIF($C$7:indirect(""C""&amp;row()),indirect(""C""&amp;row()))=5,
COUNTIF($C$7:$C$102,indirect(""C""&amp;row()))&gt;6),""R2 - A2"",
AND(OR(""3x3 FMC""=C36,""3x3 MBLD""=C36),COUNTIF($C$7:indi"&amp;"rect(""C""&amp;row()),indirect(""C""&amp;row()))=5,
COUNTIF($C$7:$C$102,indirect(""C""&amp;row()))&lt;=6),""Final - A2"",
AND(OR(""3x3 FMC""=C36,""3x3 MBLD""=C36),COUNTIF($C$7:indirect(""C""&amp;row()),indirect(""C""&amp;row()))=4,
COUNTIF($C$7:$C$102,indirect(""C""&amp;row()))&gt;6),"&amp;"""R2 - A1"",
AND(OR(""3x3 FMC""=C36,""3x3 MBLD""=C36),COUNTIF($C$7:indirect(""C""&amp;row()),indirect(""C""&amp;row()))=4,
COUNTIF($C$7:$C$102,indirect(""C""&amp;row()))&lt;=6),""Final - A1"",
AND(OR(""3x3 FMC""=C36,""3x3 MBLD""=C36),COUNTIF($C$7:indirect(""C""&amp;row()),i"&amp;"ndirect(""C""&amp;row()))=3),""R1 - A3"",
AND(OR(""3x3 FMC""=C36,""3x3 MBLD""=C36),COUNTIF($C$7:indirect(""C""&amp;row()),indirect(""C""&amp;row()))=2),""R1 - A2"",
AND(OR(""3x3 FMC""=C36,""3x3 MBLD""=C36),COUNTIF($C$7:indirect(""C""&amp;row()),indirect(""C""&amp;row()))=1),"&amp;"""R1 -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C36),ROUNDUP((FILTER(Info!$H$2:H81,Info!$A$2:A81=C36)/FILTER(Info!$H$2:H81,Info!$A$2:A81=$K$2))*$I$2)&gt;99),3,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C36),ROUNDUP((FILTER(Info!$H$2:H81,Info!$A$2:A81=C36)/FILTER(Info!$H$2:H81,Info!$A$2:A81=$K$2))*$I$2)&gt;15),2,
AND(COUNTIF($C$7:indirect(""C""&amp;row()),indirect(""C""&amp;row()))=2,COUNTIF($C$7:$C$102,indirect(""C""&amp;row()))=COUNTIF($"&amp;"C$7:indirect(""C""&amp;row()),indirect(""C""&amp;row()))),""Final"",
COUNTIF($C$7:indirect(""C""&amp;row()),indirect(""C""&amp;row()))=1,1,
COUNTIF($C$7:indirect(""C""&amp;row()),indirect(""C""&amp;row()))=0,"""")"),"")</f>
        <v/>
      </c>
      <c r="F36" s="39" t="str">
        <f>IFERROR(__xludf.DUMMYFUNCTION("IFS(C36="""","""",
AND(C36=""3x3 FMC"",MOD(COUNTIF($C$7:indirect(""C""&amp;row()),indirect(""C""&amp;row())),3)=0),""Mean of 3"",
AND(C36=""3x3 MBLD"",MOD(COUNTIF($C$7:indirect(""C""&amp;row()),indirect(""C""&amp;row())),3)=0),""Best of 3"",
AND(C36=""3x3 FMC"",MOD(COUNT"&amp;"IF($C$7:indirect(""C""&amp;row()),indirect(""C""&amp;row())),3)=2,
COUNTIF($C$7:$C$102,indirect(""C""&amp;row()))&lt;=COUNTIF($C$7:indirect(""C""&amp;row()),indirect(""C""&amp;row()))),""Best of 2"",
AND(C36=""3x3 FMC"",MOD(COUNTIF($C$7:indirect(""C""&amp;row()),indirect(""C""&amp;row("&amp;"))),3)=2,
COUNTIF($C$7:$C$102,indirect(""C""&amp;row()))&gt;COUNTIF($C$7:indirect(""C""&amp;row()),indirect(""C""&amp;row()))),""Mean of 3"",
AND(C36=""3x3 MBLD"",MOD(COUNTIF($C$7:indirect(""C""&amp;row()),indirect(""C""&amp;row())),3)=2,
COUNTIF($C$7:$C$102,indirect(""C""&amp;row("&amp;")))&lt;=COUNTIF($C$7:indirect(""C""&amp;row()),indirect(""C""&amp;row()))),""Best of 2"",
AND(C36=""3x3 MBLD"",MOD(COUNTIF($C$7:indirect(""C""&amp;row()),indirect(""C""&amp;row())),3)=2,
COUNTIF($C$7:$C$102,indirect(""C""&amp;row()))&gt;COUNTIF($C$7:indirect(""C""&amp;row()),indirect("&amp;"""C""&amp;row()))),""Best of 3"",
AND(C36=""3x3 FMC"",MOD(COUNTIF($C$7:indirect(""C""&amp;row()),indirect(""C""&amp;row())),3)=1,
COUNTIF($C$7:$C$102,indirect(""C""&amp;row()))&lt;=COUNTIF($C$7:indirect(""C""&amp;row()),indirect(""C""&amp;row()))),""Best of 1"",
AND(C36=""3x3 FMC"""&amp;",MOD(COUNTIF($C$7:indirect(""C""&amp;row()),indirect(""C""&amp;row())),3)=1,
COUNTIF($C$7:$C$102,indirect(""C""&amp;row()))=COUNTIF($C$7:indirect(""C""&amp;row()),indirect(""C""&amp;row()))+1),""Best of 2"",
AND(C36=""3x3 FMC"",MOD(COUNTIF($C$7:indirect(""C""&amp;row()),indirect"&amp;"(""C""&amp;row())),3)=1,
COUNTIF($C$7:$C$102,indirect(""C""&amp;row()))&gt;COUNTIF($C$7:indirect(""C""&amp;row()),indirect(""C""&amp;row()))),""Mean of 3"",
AND(C36=""3x3 MBLD"",MOD(COUNTIF($C$7:indirect(""C""&amp;row()),indirect(""C""&amp;row())),3)=1,
COUNTIF($C$7:$C$102,indirect"&amp;"(""C""&amp;row()))&lt;=COUNTIF($C$7:indirect(""C""&amp;row()),indirect(""C""&amp;row()))),""Best of 1"",
AND(C36=""3x3 MBLD"",MOD(COUNTIF($C$7:indirect(""C""&amp;row()),indirect(""C""&amp;row())),3)=1,
COUNTIF($C$7:$C$102,indirect(""C""&amp;row()))=COUNTIF($C$7:indirect(""C""&amp;row()"&amp;"),indirect(""C""&amp;row()))+1),""Best of 2"",
AND(C36=""3x3 MBLD"",MOD(COUNTIF($C$7:indirect(""C""&amp;row()),indirect(""C""&amp;row())),3)=1,
COUNTIF($C$7:$C$102,indirect(""C""&amp;row()))&gt;COUNTIF($C$7:indirect(""C""&amp;row()),indirect(""C""&amp;row()))),""Best of 3"",
TRUE,("&amp;"IFERROR(FILTER(Info!$D$2:D81, Info!$A$2:A81 = C36), """")))"),"")</f>
        <v/>
      </c>
      <c r="G36" s="40" t="str">
        <f>IFERROR(__xludf.DUMMYFUNCTION("IFS(OR(COUNTIF(Info!$A$22:A81,C36)&gt;0,C36=""""),"""",
OR(""3x3 MBLD""=C36,""3x3 FMC""=C36),60,
AND(E36=1,FILTER(Info!$F$2:F81, Info!$A$2:A81 = C36) = ""No""),FILTER(Info!$P$2:P81, Info!$A$2:A81 = C36),
AND(E36=2,FILTER(Info!$F$2:F81, Info!$A$2:A81 = C36) ="&amp;" ""No""),FILTER(Info!$Q$2:Q81, Info!$A$2:A81 = C36),
AND(E36=3,FILTER(Info!$F$2:F81, Info!$A$2:A81 = C36) = ""No""),FILTER(Info!$R$2:R81, Info!$A$2:A81 = C36),
AND(E36=""Final"",FILTER(Info!$F$2:F81, Info!$A$2:A81 = C36) = ""No""),FILTER(Info!$S$2:S81, In"&amp;"fo!$A$2:A81 = C36),
FILTER(Info!$F$2:F81, Info!$A$2:A81 = C36) = ""Yes"","""")"),"")</f>
        <v/>
      </c>
      <c r="H36" s="40" t="str">
        <f>IFERROR(__xludf.DUMMYFUNCTION("IFS(OR(COUNTIF(Info!$A$22:A81,C36)&gt;0,C36=""""),"""",
OR(""3x3 MBLD""=C36,""3x3 FMC""=C36)=TRUE,"""",
FILTER(Info!$F$2:F81, Info!$A$2:A81 = C36) = ""Yes"",FILTER(Info!$O$2:O81, Info!$A$2:A81 = C36),
FILTER(Info!$F$2:F81, Info!$A$2:A81 = C36) = ""No"",IF(G3"&amp;"6="""",FILTER(Info!$O$2:O81, Info!$A$2:A81 = C36),""""))"),"")</f>
        <v/>
      </c>
      <c r="I36" s="40" t="str">
        <f>IFERROR(__xludf.DUMMYFUNCTION("IFS(OR(COUNTIF(Info!$A$22:A81,C36)&gt;0,C36="""",H36&lt;&gt;""""),"""",
AND(E36&lt;&gt;1,E36&lt;&gt;""R1 - A1"",E36&lt;&gt;""R1 - A2"",E36&lt;&gt;""R1 - A3""),"""",
FILTER(Info!$E$2:E81, Info!$A$2:A81 = C36) = ""Yes"",IF(H36="""",FILTER(Info!$L$2:L81, Info!$A$2:A81 = C36),""""),
FILTER(I"&amp;"nfo!$E$2:E81, Info!$A$2:A81 = C36) = ""No"","""")"),"")</f>
        <v/>
      </c>
      <c r="J36" s="40" t="str">
        <f>IFERROR(__xludf.DUMMYFUNCTION("IFS(OR(COUNTIF(Info!$A$22:A81,C36)&gt;0,C36="""",""3x3 MBLD""=C36,""3x3 FMC""=C36),"""",
AND(E36=1,FILTER(Info!$H$2:H81,Info!$A$2:A81 = C36)&lt;=FILTER(Info!$H$2:H81,Info!$A$2:A81=$K$2)),
ROUNDUP((FILTER(Info!$H$2:H81,Info!$A$2:A81 = C36)/FILTER(Info!$H$2:H81,I"&amp;"nfo!$A$2:A81=$K$2))*$I$2),
AND(E36=1,FILTER(Info!$H$2:H81,Info!$A$2:A81 = C36)&gt;FILTER(Info!$H$2:H81,Info!$A$2:A81=$K$2)),""K2 - Error"",
AND(E36=2,FILTER($J$7:indirect(""J""&amp;row()-1),$C$7:indirect(""C""&amp;row()-1)=C36)&lt;=7),""J - Error"",
E36=2,FLOOR(FILTER("&amp;"$J$7:indirect(""J""&amp;row()-1),$C$7:indirect(""C""&amp;row()-1)=C36)*Info!$T$32),
AND(E36=3,FILTER($J$7:indirect(""J""&amp;row()-1),$C$7:indirect(""C""&amp;row()-1)=C36)&lt;=15),""J - Error"",
E36=3,FLOOR(Info!$T$32*FLOOR(FILTER($J$7:indirect(""J""&amp;row()-1),$C$7:indirect("&amp;"""C""&amp;row()-1)=C36)*Info!$T$32)),
AND(E36=""Final"",COUNTIF($C$7:$C$102,C36)=2,FILTER($J$7:indirect(""J""&amp;row()-1),$C$7:indirect(""C""&amp;row()-1)=C36)&lt;=7),""J - Error"",
AND(E36=""Final"",COUNTIF($C$7:$C$102,C36)=2),
MIN(P36,FLOOR(FILTER($J$7:indirect(""J"""&amp;"&amp;row()-1),$C$7:indirect(""C""&amp;row()-1)=C36)*Info!$T$32)),
AND(E36=""Final"",COUNTIF($C$7:$C$102,C36)=3,FILTER($J$7:indirect(""J""&amp;row()-1),$C$7:indirect(""C""&amp;row()-1)=C36)&lt;=15),""J - Error"",
AND(E36=""Final"",COUNTIF($C$7:$C$102,C36)=3),
MIN(P36,FLOOR(I"&amp;"nfo!$T$32*FLOOR(FILTER($J$7:indirect(""J""&amp;row()-1),$C$7:indirect(""C""&amp;row()-1)=C36)*Info!$T$32))),
AND(E36=""Final"",COUNTIF($C$7:$C$102,C36)&gt;=4,FILTER($J$7:indirect(""J""&amp;row()-1),$C$7:indirect(""C""&amp;row()-1)=C36)&lt;=99),""J - Error"",
AND(E36=""Final"","&amp;"COUNTIF($C$7:$C$102,C36)&gt;=4),
MIN(P36,FLOOR(Info!$T$32*FLOOR(Info!$T$32*FLOOR(FILTER($J$7:indirect(""J""&amp;row()-1),$C$7:indirect(""C""&amp;row()-1)=C36)*Info!$T$32)))))"),"")</f>
        <v/>
      </c>
      <c r="K36" s="41" t="str">
        <f>IFERROR(__xludf.DUMMYFUNCTION("IFS(AND(indirect(""D""&amp;row()+2)&lt;&gt;$E$2,indirect(""D""&amp;row()+1)=""""),CONCATENATE(""Tom rad! Kopiera hela rad ""&amp;row()&amp;"" dit""),
AND(indirect(""D""&amp;row()-1)&lt;&gt;""Rum"",indirect(""D""&amp;row()-1)=""""),CONCATENATE(""Tom rad! Kopiera hela rad ""&amp;row()&amp;"" dit""),
"&amp;"C36="""","""",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OR(AND(D36&lt;&gt;$E$2,D36&lt;&gt;$E$4,D36&lt;&gt;$K$4,D36&lt;&gt;$Q$4),D36="&amp;"""""),CONCATENATE(""Rum: ""&amp;D36&amp;"" finns ej, byt i D""&amp;row()),
AND(indirect(""D""&amp;row()-1)=""Rum"",C36=""""),CONCATENATE(""För att börja: skriv i cell C""&amp;row()),
AND(C36=""Paus"",M36&lt;=0),CONCATENATE(""Skriv pausens längd i M""&amp;row()),
OR(COUNTIF(Info!$A$"&amp;"22:A81,C36)&gt;0,C36=""""),"""",
AND(D36&lt;&gt;$E$2,$O$2=""Yes"",A36=""=time(hh;mm;ss)""),CONCATENATE(""Skriv starttid för ""&amp;C36&amp;"" i A""&amp;row()),
E36=""E - Error"",CONCATENATE(""För många ""&amp;C36&amp;"" rundor!""),
AND(C36&lt;&gt;""3x3 FMC"",C36&lt;&gt;""3x3 MBLD"",E36&lt;&gt;1,E36&lt;&gt;"&amp;"""Final"",IFERROR(FILTER($E$7:indirect(""E""&amp;row()-1),
$E$7:indirect(""E""&amp;row()-1)=E36-1,$C$7:indirect(""C""&amp;row()-1)=C36))=FALSE),CONCATENATE(""Kan ej vara R""&amp;E36&amp;"", saknar R""&amp;(E36-1)),
AND(indirect(""E""&amp;row()-1)&lt;&gt;""Omgång"",IFERROR(FILTER($E$7:indi"&amp;"rect(""E""&amp;row()-1),
$E$7:indirect(""E""&amp;row()-1)=E36,$C$7:indirect(""C""&amp;row()-1)=C36)=E36)=TRUE),CONCATENATE(""Runda ""&amp;E36&amp;"" i ""&amp;C36&amp;"" finns redan""),
AND(C36&lt;&gt;""3x3 BLD"",C36&lt;&gt;""4x4 BLD"",C36&lt;&gt;""5x5 BLD"",C36&lt;&gt;""4x4 / 5x5 BLD"",OR(E36=2,E36=3,E36="&amp;"""Final""),H36&lt;&gt;""""),CONCATENATE(E36&amp;""-rundor brukar ej ha c.t.l.""),
AND(OR(E36=2,E36=3,E36=""Final""),I36&lt;&gt;""""),CONCATENATE(E36&amp;""-rundor brukar ej ha cutoff""),
AND(OR(C36=""3x3 FMC"",C36=""3x3 MBLD""),OR(E36=1,E36=2,E36=3,E36=""Final"")),CONCATENAT"&amp;"E(C36&amp;""s omgång är Rx - Ax""),
AND(C36&lt;&gt;""3x3 MBLD"",C36&lt;&gt;""3x3 FMC"",FILTER(Info!$D$2:D81, Info!$A$2:A81 = C36)&lt;&gt;F36),CONCATENATE(C36&amp;"" måste ha formatet ""&amp;FILTER(Info!$D$2:D81, Info!$A$2:A81 = C36)),
AND(C36=""3x3 MBLD"",OR(F36=""Avg of 5"",F36=""Mea"&amp;"n of 3"")),CONCATENATE(""Ogiltigt format för ""&amp;C36),
AND(C36=""3x3 FMC"",OR(F36=""Avg of 5"",F36=""Best of 3"")),CONCATENATE(""Ogiltigt format för ""&amp;C36),
AND(OR(F36=""Best of 1"",F36=""Best of 2"",F36=""Best of 3""),I36&lt;&gt;""""),CONCATENATE(F36&amp;""-rundor"&amp;" får ej ha cutoff""),
AND(OR(C36=""3x3 FMC"",C36=""3x3 MBLD""),G36&lt;&gt;60),CONCATENATE(C36&amp;"" måste ha time limit: 60""),
AND(OR(C36=""3x3 FMC"",C36=""3x3 MBLD""),H36&lt;&gt;""""),CONCATENATE(C36&amp;"" kan inte ha c.t.l.""),
AND(G36&lt;&gt;"""",H36&lt;&gt;""""),""Välj time limit"&amp;" ELLER c.t.l"",
AND(C36=""6x6 / 7x7"",G36="""",H36=""""),""Sätt time limit (x / y) eller c.t.l (z)"",
AND(G36="""",H36=""""),""Sätt en time limit eller c.t.l"",
AND(OR(C36=""6x6 / 7x7"",C36=""4x4 / 5x5 BLD""),G36&lt;&gt;"""",REGEXMATCH(TO_TEXT(G36),"" / "")=FAL"&amp;"SE),CONCATENATE(""Time limit måste vara x / y""),
AND(H36&lt;&gt;"""",I36&lt;&gt;""""),CONCATENATE(C36&amp;"" brukar ej ha cutoff OCH c.t.l""),
AND(E36=1,H36="""",I36="""",OR(FILTER(Info!$E$2:E81, Info!$A$2:A81 = C36) = ""Yes"",FILTER(Info!$F$2:F81, Info!$A$2:A81 = C36) "&amp;"= ""Yes""),OR(F36=""Avg of 5"",F36=""Mean of 3"")),CONCATENATE(C36&amp;"" bör ha cutoff eller c.t.l""),
AND(C36=""6x6 / 7x7"",I36&lt;&gt;"""",REGEXMATCH(TO_TEXT(I36),"" / "")=FALSE),CONCATENATE(""Cutoff måste vara x / y""),
AND(H36&lt;&gt;"""",ISNUMBER(H36)=FALSE),""C.t."&amp;"l. måste vara positivt tal (x)"",
AND(C36&lt;&gt;""6x6 / 7x7"",I36&lt;&gt;"""",ISNUMBER(I36)=FALSE),""Cutoff måste vara positivt tal (x)"",
AND(H36&lt;&gt;"""",FILTER(Info!$E$2:E81, Info!$A$2:A81 = C36) = ""No"",FILTER(Info!$F$2:F81, Info!$A$2:A81 = C36) = ""No""),CONCATEN"&amp;"ATE(C36&amp;"" brukar inte ha c.t.l.""),
AND(I36&lt;&gt;"""",FILTER(Info!$E$2:E81, Info!$A$2:A81 = C36) = ""No"",FILTER(Info!$F$2:F81, Info!$A$2:A81 = C36) = ""No""),CONCATENATE(C36&amp;"" brukar inte ha cutoff""),
AND(H36="""",FILTER(Info!$F$2:F81, Info!$A$2:A81 = C36"&amp;") = ""Yes""),CONCATENATE(C36&amp;"" brukar ha c.t.l.""),
AND(C36&lt;&gt;""6x6 / 7x7"",C36&lt;&gt;""4x4 / 5x5 BLD"",G36&lt;&gt;"""",ISNUMBER(G36)=FALSE),""Time limit måste vara positivt tal (x)"",
J36=""J - Error"",CONCATENATE(""För få deltagare i R1 för ""&amp;COUNTIF($C$7:$C$102,"&amp;"indirect(""C""&amp;row()))&amp;"" rundor""),
J36=""K2 - Error"",CONCATENATE(C36&amp;"" är mer populär - byt i K2!""),
AND(C36&lt;&gt;""6x6 / 7x7"",C36&lt;&gt;""4x4 / 5x5 BLD"",G36&lt;&gt;"""",I36&lt;&gt;"""",G36&lt;=I36),""Time limit måste vara &gt; cutoff"",
AND(C36&lt;&gt;""6x6 / 7x7"",C36&lt;&gt;""4x4 / 5"&amp;"x5 BLD"",H36&lt;&gt;"""",I36&lt;&gt;"""",H36&lt;=I36),""C.t.l. måste vara &gt; cutoff"",
AND(C36&lt;&gt;""3x3 FMC"",C36&lt;&gt;""3x3 MBLD"",J36=""""),CONCATENATE(""Fyll i antal deltagare i J""&amp;row()),
AND(C36="""",OR(E36&lt;&gt;"""",F36&lt;&gt;"""",G36&lt;&gt;"""",H36&lt;&gt;"""",I36&lt;&gt;"""",J36&lt;&gt;"""")),""Skri"&amp;"v ALLTID gren / aktivitet först"",
AND(I36="""",H36="""",J36&lt;&gt;""""),J36,
OR(""3x3 FMC""=C36,""3x3 MBLD""=C36),J36,
AND(I36&lt;&gt;"""",""6x6 / 7x7""=C36),
IFS(ArrayFormula(SUM(IFERROR(SPLIT(I36,"" / ""))))&lt;(Info!$J$6+Info!$J$7)*2/3,CONCATENATE(""Höj helst cutof"&amp;"fs i ""&amp;C36),
ArrayFormula(SUM(IFERROR(SPLIT(I36,"" / ""))))&lt;=(Info!$J$6+Info!$J$7),ROUNDUP(J36*Info!$J$22),
ArrayFormula(SUM(IFERROR(SPLIT(I36,"" / ""))))&lt;=Info!$J$6+Info!$J$7,ROUNDUP(J36*Info!$K$22),
ArrayFormula(SUM(IFERROR(SPLIT(I36,"" / ""))))&lt;=Info!"&amp;"$K$6+Info!$K$7,ROUNDUP(J36*Info!L$22),
ArrayFormula(SUM(IFERROR(SPLIT(I36,"" / ""))))&lt;=Info!$L$6+Info!$L$7,ROUNDUP(J36*Info!$M$22),
ArrayFormula(SUM(IFERROR(SPLIT(I36,"" / ""))))&lt;=Info!$M$6+Info!$M$7,ROUNDUP(J36*Info!$N$22),
ArrayFormula(SUM(IFERROR(SPLIT"&amp;"(I36,"" / ""))))&lt;=(Info!$N$6+Info!$N$7)*3/2,ROUNDUP(J36*Info!$J$26),
ArrayFormula(SUM(IFERROR(SPLIT(I36,"" / ""))))&gt;(Info!$N$6+Info!$N$7)*3/2,CONCATENATE(""Sänk helst cutoffs i ""&amp;C36)),
AND(I36&lt;&gt;"""",FILTER(Info!$E$2:E81, Info!$A$2:A81 = C36) = ""Yes""),"&amp;"
IFS(I36&lt;FILTER(Info!$J$2:J81, Info!$A$2:A81 = C36)*2/3,CONCATENATE(""Höj helst cutoff i ""&amp;C36),
I36&lt;=FILTER(Info!$J$2:J81, Info!$A$2:A81 = C36),ROUNDUP(J36*Info!$J$22),
I36&lt;=FILTER(Info!$K$2:K81, Info!$A$2:A81 = C36),ROUNDUP(J36*Info!$K$22),
I36&lt;=FILTER"&amp;"(Info!$L$2:L81, Info!$A$2:A81 = C36),ROUNDUP(J36*Info!L$22),
I36&lt;=FILTER(Info!$M$2:M81, Info!$A$2:A81 = C36),ROUNDUP(J36*Info!$M$22),
I36&lt;=FILTER(Info!$N$2:N81, Info!$A$2:A81 = C36),ROUNDUP(J36*Info!$N$22),
I36&lt;=FILTER(Info!$N$2:N81, Info!$A$2:A81 = C36)*"&amp;"3/2,ROUNDUP(J36*Info!$J$26),
I36&gt;FILTER(Info!$N$2:N81, Info!$A$2:A81 = C36)*3/2,CONCATENATE(""Sänk helst cutoff i ""&amp;C36)),
AND(H36&lt;&gt;"""",""6x6 / 7x7""=C36),
IFS(H36/3&lt;=(Info!$J$6+Info!$J$7)*2/3,""Höj helst cumulative time limit"",
H36/3&lt;=Info!$J$6+Info!$"&amp;"J$7,ROUNDUP(J36*Info!$J$24),
H36/3&lt;=Info!$K$6+Info!$K$7,ROUNDUP(J36*Info!$K$24),
H36/3&lt;=Info!$L$6+Info!$L$7,ROUNDUP(J36*Info!L$24),
H36/3&lt;=Info!$M$6+Info!$M$7,ROUNDUP(J36*Info!$M$24),
H36/3&lt;=Info!$N$6+Info!$N$7,ROUNDUP(J36*Info!$N$24),
H36/3&lt;=(Info!$N$6+I"&amp;"nfo!$N$7)*3/2,ROUNDUP(J36*Info!$L$26),
H36/3&gt;(Info!$J$6+Info!$J$7)*3/2,""Sänk helst cumulative time limit""),
AND(H36&lt;&gt;"""",FILTER(Info!$F$2:F81, Info!$A$2:A81 = C36) = ""Yes""),
IFS(H36&lt;=FILTER(Info!$J$2:J81, Info!$A$2:A81 = C36)*2/3,CONCATENATE(""Höj he"&amp;"lst c.t.l. i ""&amp;C36),
H36&lt;=FILTER(Info!$J$2:J81, Info!$A$2:A81 = C36),ROUNDUP(J36*Info!$J$24),
H36&lt;=FILTER(Info!$K$2:K81, Info!$A$2:A81 = C36),ROUNDUP(J36*Info!$K$24),
H36&lt;=FILTER(Info!$L$2:L81, Info!$A$2:A81 = C36),ROUNDUP(J36*Info!L$24),
H36&lt;=FILTER(Inf"&amp;"o!$M$2:M81, Info!$A$2:A81 = C36),ROUNDUP(J36*Info!$M$24),
H36&lt;=FILTER(Info!$N$2:N81, Info!$A$2:A81 = C36),ROUNDUP(J36*Info!$N$24),
H36&lt;=FILTER(Info!$N$2:N81, Info!$A$2:A81 = C36)*3/2,ROUNDUP(J36*Info!$L$26),
H36&gt;FILTER(Info!$N$2:N81, Info!$A$2:A81 = C36)*"&amp;"3/2,CONCATENATE(""Sänk helst c.t.l. i ""&amp;C36)),
AND(H36&lt;&gt;"""",FILTER(Info!$F$2:F81, Info!$A$2:A81 = C36) = ""No""),
IFS(H36/AA36&lt;=FILTER(Info!$J$2:J81, Info!$A$2:A81 = C36)*2/3,CONCATENATE(""Höj helst c.t.l. i ""&amp;C36),
H36/AA36&lt;=FILTER(Info!$J$2:J81, Info"&amp;"!$A$2:A81 = C36),ROUNDUP(J36*Info!$J$24),
H36/AA36&lt;=FILTER(Info!$K$2:K81, Info!$A$2:A81 = C36),ROUNDUP(J36*Info!$K$24),
H36/AA36&lt;=FILTER(Info!$L$2:L81, Info!$A$2:A81 = C36),ROUNDUP(J36*Info!L$24),
H36/AA36&lt;=FILTER(Info!$M$2:M81, Info!$A$2:A81 = C36),ROUND"&amp;"UP(J36*Info!$M$24),
H36/AA36&lt;=FILTER(Info!$N$2:N81, Info!$A$2:A81 = C36),ROUNDUP(J36*Info!$N$24),
H36/AA36&lt;=FILTER(Info!$N$2:N81, Info!$A$2:A81 = C36)*3/2,ROUNDUP(J36*Info!$L$26),
H36/AA36&gt;FILTER(Info!$N$2:N81, Info!$A$2:A81 = C36)*3/2,CONCATENATE(""Sänk "&amp;"helst c.t.l. i ""&amp;C36)),
AND(I36="""",H36&lt;&gt;"""",J36&lt;&gt;""""),ROUNDUP(J36*Info!$T$29),
AND(I36&lt;&gt;"""",H36="""",J36&lt;&gt;""""),ROUNDUP(J36*Info!$T$26))"),"")</f>
        <v/>
      </c>
      <c r="L36" s="42">
        <f>IFERROR(__xludf.DUMMYFUNCTION("IFS(C36="""",0,
C36=""3x3 FMC"",Info!$B$9*N36+M36, C36=""3x3 MBLD"",Info!$B$18*N36+M36,
COUNTIF(Info!$A$22:A81,C36)&gt;0,FILTER(Info!$B$22:B81,Info!$A$22:A81=C36)+M36,
AND(C36&lt;&gt;"""",E36=""""),CONCATENATE(""Fyll i E""&amp;row()),
AND(C36&lt;&gt;"""",E36&lt;&gt;"""",E36&lt;&gt;1,E3"&amp;"6&lt;&gt;2,E36&lt;&gt;3,E36&lt;&gt;""Final""),CONCATENATE(""Fel format på E""&amp;row()),
K36=CONCATENATE(""Runda ""&amp;E36&amp;"" i ""&amp;C36&amp;"" finns redan""),CONCATENATE(""Fel i E""&amp;row()),
AND(C36&lt;&gt;"""",F36=""""),CONCATENATE(""Fyll i F""&amp;row()),
K36=CONCATENATE(C36&amp;"" måste ha forma"&amp;"tet ""&amp;FILTER(Info!$D$2:D81, Info!$A$2:A81 = C36)),CONCATENATE(""Fel format på F""&amp;row()),
AND(C36&lt;&gt;"""",D36=1,H36="""",FILTER(Info!$F$2:F81, Info!$A$2:A81 = C36) = ""Yes""),CONCATENATE(""Fyll i H""&amp;row()),
AND(C36&lt;&gt;"""",D36=1,I36="""",FILTER(Info!$E$2:E8"&amp;"1, Info!$A$2:A81 = C36) = ""Yes""),CONCATENATE(""Fyll i I""&amp;row()),
AND(C36&lt;&gt;"""",J36=""""),CONCATENATE(""Fyll i J""&amp;row()),
AND(C36&lt;&gt;"""",K36="""",OR(H36&lt;&gt;"""",I36&lt;&gt;"""")),CONCATENATE(""Fyll i K""&amp;row()),
AND(C36&lt;&gt;"""",K36=""""),CONCATENATE(""Skriv samma"&amp;" i K""&amp;row()&amp;"" som i J""&amp;row()),
AND(OR(C36=""4x4 BLD"",C36=""5x5 BLD"",C36=""4x4 / 5x5 BLD"")=TRUE,V36&lt;=P36),
MROUND(H36*(Info!$T$20-((Info!$T$20-1)/2)*(1-V36/P36))*(1+((J36/K36)-1)*(1-Info!$J$24))*N36+(Info!$T$11/2)+(N36*Info!$T$11)+(N36*Info!$T$14*(O3"&amp;"6-1)),0.01)+M36,
AND(OR(C36=""4x4 BLD"",C36=""5x5 BLD"",C36=""4x4 / 5x5 BLD"")=TRUE,V36&gt;P36),
MROUND((((J36*Z36+K36*(AA36-Z36))*(H36*Info!$T$20/AA36))/X36)*(1+((J36/K36)-1)*(1-Info!$J$24))*(1+(X36-Info!$T$8)/100)+(Info!$T$11/2)+(N36*Info!$T$11)+(N36*Info!"&amp;"$T$14*(O36-1)),0.01)+M36,
AND(C36=""3x3 BLD"",V36&lt;=P36),
MROUND(H36*(Info!$T$23-((Info!$T$23-1)/2)*(1-V36/P36))*(1+((J36/K36)-1)*(1-Info!$J$24))*N36+(Info!$T$11/2)+(N36*Info!$T$11)+(N36*Info!$T$14*(O36-1)),0.01)+M36,
AND(C36=""3x3 BLD"",V36&gt;P36),
MROUND(("&amp;"((J36*Z36+K36*(AA36-Z36))*(H36*Info!$T$23/AA36))/X36)*(1+((J36/K36)-1)*(1-Info!$J$24))*(1+(X36-Info!$T$8)/100)+(Info!$T$11/2)+(N36*Info!$T$11)+(N36*Info!$T$14*(O36-1)),0.01)+M36,
E36=1,MROUND((((J36*Z36+K36*(AA36-Z36))*Y36)/X36)*(1+(X36-Info!$T$8)/100)+(N"&amp;"36*Info!$T$11)+(N36*Info!$T$14*(O36-1)),0.01)+M36,
AND(E36=""Final"",N36=1,FILTER(Info!$G$2:$G$20,Info!$A$2:$A$20=C36)=""Mycket svår""),
MROUND((((J36*Z36+K36*(AA36-Z36))*(Y36*Info!$T$38))/X36)*(1+(X36-Info!$T$8)/100)+(N36*Info!$T$11)+(N36*Info!$T$14*(O36"&amp;"-1)),0.01)+M36,
AND(E36=""Final"",N36=1,FILTER(Info!$G$2:$G$20,Info!$A$2:$A$20=C36)=""Svår""),
MROUND((((J36*Z36+K36*(AA36-Z36))*(Y36*Info!$T$35))/X36)*(1+(X36-Info!$T$8)/100)+(N36*Info!$T$11)+(N36*Info!$T$14*(O36-1)),0.01)+M36,
E36=""Final"",MROUND((((J3"&amp;"6*Z36+K36*(AA36-Z36))*(Y36*Info!$T$5))/X36)*(1+(X36-Info!$T$8)/100)+(N36*Info!$T$11)+(N36*Info!$T$14*(O36-1)),0.01)+M36,
OR(E36=2,E36=3),MROUND((((J36*Z36+K36*(AA36-Z36))*(Y36*Info!$T$2))/X36)*(1+(X36-Info!$T$8)/100)+(N36*Info!$T$11)+(N36*Info!$T$14*(O36-"&amp;"1)),0.01)+M36)"),0.0)</f>
        <v>0</v>
      </c>
      <c r="M36" s="43">
        <f t="shared" si="4"/>
        <v>0</v>
      </c>
      <c r="N36" s="43" t="str">
        <f>IFS(OR(COUNTIF(Info!$A$22:A81,C36)&gt;0,C36=""),"",
OR(C36="4x4 BLD",C36="5x5 BLD",C36="3x3 MBLD",C36="3x3 FMC",C36="4x4 / 5x5 BLD"),1,
AND(E36="Final",Q36="Yes",MAX(1,ROUNDUP(J36/P36))&gt;1),MAX(2,ROUNDUP(J36/P36)),
AND(E36="Final",Q36="No",MAX(1,ROUNDUP(J36/((P36*2)+2.625-Y36*1.5)))&gt;1),MAX(2,ROUNDUP(J36/((P36*2)+2.625-Y36*1.5))),
E36="Final",1,
Q36="Yes",MAX(2,ROUNDUP(J36/P36)),
TRUE,MAX(2,ROUNDUP(J36/((P36*2)+2.625-Y36*1.5))))</f>
        <v/>
      </c>
      <c r="O36" s="43" t="str">
        <f>IFS(OR(COUNTIF(Info!$A$22:A81,C36)&gt;0,C36=""),"",
OR("3x3 MBLD"=C36,"3x3 FMC"=C36)=TRUE,"",
D36=$E$4,$G$6,D36=$K$4,$M$6,D36=$Q$4,$S$6,D36=$W$4,$Y$6,
TRUE,$S$2)</f>
        <v/>
      </c>
      <c r="P36" s="43" t="str">
        <f>IFS(OR(COUNTIF(Info!$A$22:A81,C36)&gt;0,C36=""),"",
OR("3x3 MBLD"=C36,"3x3 FMC"=C36)=TRUE,"",
D36=$E$4,$E$6,D36=$K$4,$K$6,D36=$Q$4,$Q$6,D36=$W$4,$W$6,
TRUE,$Q$2)</f>
        <v/>
      </c>
      <c r="Q36" s="44" t="str">
        <f>IFS(OR(COUNTIF(Info!$A$22:A81,C36)&gt;0,C36=""),"",
OR("3x3 MBLD"=C36,"3x3 FMC"=C36)=TRUE,"",
D36=$E$4,$I$6,D36=$K$4,$O$6,D36=$Q$4,$U$6,D36=$W$4,$AA$6,
TRUE,$U$2)</f>
        <v/>
      </c>
      <c r="R36" s="45" t="str">
        <f>IFERROR(__xludf.DUMMYFUNCTION("IF(C36="""","""",IFERROR(FILTER(Info!$B$22:B81,Info!$A$22:A81=C36)+M36,""?""))"),"")</f>
        <v/>
      </c>
      <c r="S36" s="46" t="str">
        <f>IFS(OR(COUNTIF(Info!$A$22:A81,C36)&gt;0,C36=""),"",
AND(H36="",I36=""),J36,
TRUE,"?")</f>
        <v/>
      </c>
      <c r="T36" s="45" t="str">
        <f>IFS(OR(COUNTIF(Info!$A$22:A81,C36)&gt;0,C36=""),"",
AND(L36&lt;&gt;0,OR(R36="?",R36="")),"Fyll i R-kolumnen",
OR(C36="3x3 FMC",C36="3x3 MBLD"),R36,
AND(L36&lt;&gt;0,OR(S36="?",S36="")),"Fyll i S-kolumnen",
OR(COUNTIF(Info!$A$22:A81,C36)&gt;0,C36=""),"",
TRUE,Y36*R36/L36)</f>
        <v/>
      </c>
      <c r="U36" s="45"/>
      <c r="V36" s="47" t="str">
        <f>IFS(OR(COUNTIF(Info!$A$22:A81,C36)&gt;0,C36=""),"",
OR("3x3 MBLD"=C36,"3x3 FMC"=C36)=TRUE,"",
TRUE,MROUND((J36/N36),0.01))</f>
        <v/>
      </c>
      <c r="W36" s="48" t="str">
        <f>IFS(OR(COUNTIF(Info!$A$22:A81,C36)&gt;0,C36=""),"",
TRUE,L36/N36)</f>
        <v/>
      </c>
      <c r="X36" s="49" t="str">
        <f>IFS(OR(COUNTIF(Info!$A$22:A81,C36)&gt;0,C36=""),"",
OR("3x3 MBLD"=C36,"3x3 FMC"=C36)=TRUE,"",
OR(C36="4x4 BLD",C36="5x5 BLD",C36="4x4 / 5x5 BLD",AND(C36="3x3 BLD",H36&lt;&gt;""))=TRUE,MIN(V36,P36),
TRUE,MIN(P36,V36,MROUND(((V36*2/3)+((Y36-1.625)/2)),0.01)))</f>
        <v/>
      </c>
      <c r="Y36" s="48" t="str">
        <f>IFERROR(__xludf.DUMMYFUNCTION("IFS(OR(COUNTIF(Info!$A$22:A81,C36)&gt;0,C36=""""),"""",
FILTER(Info!$F$2:F81, Info!$A$2:A81 = C36) = ""Yes"",H36/AA36,
""3x3 FMC""=C36,Info!$B$9,""3x3 MBLD""=C36,Info!$B$18,
AND(E36=1,I36="""",H36="""",Q36=""No"",G36&gt;SUMIF(Info!$A$2:A81,C36,Info!$B$2:B81)*1."&amp;"5),
MIN(SUMIF(Info!$A$2:A81,C36,Info!$B$2:B81)*1.1,SUMIF(Info!$A$2:A81,C36,Info!$B$2:B81)*(1.15-(0.15*(SUMIF(Info!$A$2:A81,C36,Info!$B$2:B81)*1.5)/G36))),
AND(E36=1,I36="""",H36="""",Q36=""Yes"",G36&gt;SUMIF(Info!$A$2:A81,C36,Info!$C$2:C81)*1.5),
MIN(SUMIF(I"&amp;"nfo!$A$2:A81,C36,Info!$C$2:C81)*1.1,SUMIF(Info!$A$2:A81,C36,Info!$C$2:C81)*(1.15-(0.15*(SUMIF(Info!$A$2:A81,C36,Info!$C$2:C81)*1.5)/G36))),
Q36=""No"",SUMIF(Info!$A$2:A81,C36,Info!$B$2:B81),
Q36=""Yes"",SUMIF(Info!$A$2:A81,C36,Info!$C$2:C81))"),"")</f>
        <v/>
      </c>
      <c r="Z36" s="47" t="str">
        <f>IFS(OR(COUNTIF(Info!$A$22:A81,C36)&gt;0,C36=""),"",
AND(OR("3x3 FMC"=C36,"3x3 MBLD"=C36),I36&lt;&gt;""),1,
AND(OR(H36&lt;&gt;"",I36&lt;&gt;""),F36="Avg of 5"),2,
F36="Avg of 5",AA36,
AND(OR(H36&lt;&gt;"",I36&lt;&gt;""),F36="Mean of 3",C36="6x6 / 7x7"),2,
AND(OR(H36&lt;&gt;"",I36&lt;&gt;""),F36="Mean of 3"),1,
F36="Mean of 3",AA36,
AND(OR(H36&lt;&gt;"",I36&lt;&gt;""),F36="Best of 3",C36="4x4 / 5x5 BLD"),2,
AND(OR(H36&lt;&gt;"",I36&lt;&gt;""),F36="Best of 3"),1,
F36="Best of 2",AA36,
F36="Best of 1",AA36)</f>
        <v/>
      </c>
      <c r="AA36" s="47" t="str">
        <f>IFS(OR(COUNTIF(Info!$A$22:A81,C36)&gt;0,C36=""),"",
AND(OR("3x3 MBLD"=C36,"3x3 FMC"=C36),F36="Best of 1"=TRUE),1,
AND(OR("3x3 MBLD"=C36,"3x3 FMC"=C36),F36="Best of 2"=TRUE),2,
AND(OR("3x3 MBLD"=C36,"3x3 FMC"=C36),OR(F36="Best of 3",F36="Mean of 3")=TRUE),3,
AND(F36="Mean of 3",C36="6x6 / 7x7"),6,
AND(F36="Best of 3",C36="4x4 / 5x5 BLD"),6,
F36="Avg of 5",5,F36="Mean of 3",3,F36="Best of 3",3,F36="Best of 2",2,F36="Best of 1",1)</f>
        <v/>
      </c>
      <c r="AB36" s="50"/>
    </row>
    <row r="37" ht="15.75" customHeight="1">
      <c r="A37" s="35">
        <f>IFERROR(__xludf.DUMMYFUNCTION("IFS(indirect(""A""&amp;row()-1)=""Start"",TIME(indirect(""A""&amp;row()-2),indirect(""B""&amp;row()-2),0),
$O$2=""No"",TIME(0,($A$6*60+$B$6)+CEILING(SUM($L$7:indirect(""L""&amp;row()-1)),5),0),
D37=$E$2,TIME(0,($A$6*60+$B$6)+CEILING(SUM(IFERROR(FILTER($L$7:indirect(""L"""&amp;"&amp;row()-1),REGEXMATCH($D$7:indirect(""D""&amp;row()-1),$E$2)),0)),5),0),
TRUE,""=time(hh;mm;ss)"")"),0.375)</f>
        <v>0.375</v>
      </c>
      <c r="B37" s="36">
        <f>IFERROR(__xludf.DUMMYFUNCTION("IFS($O$2=""No"",TIME(0,($A$6*60+$B$6)+CEILING(SUM($L$7:indirect(""L""&amp;row())),5),0),
D37=$E$2,TIME(0,($A$6*60+$B$6)+CEILING(SUM(FILTER($L$7:indirect(""L""&amp;row()),REGEXMATCH($D$7:indirect(""D""&amp;row()),$E$2))),5),0),
A37=""=time(hh;mm;ss)"",CONCATENATE(""Sk"&amp;"riv tid i A""&amp;row()),
AND(A37&lt;&gt;"""",A37&lt;&gt;""=time(hh;mm;ss)""),A37+TIME(0,CEILING(indirect(""L""&amp;row()),5),0))"),0.375)</f>
        <v>0.375</v>
      </c>
      <c r="C37" s="37"/>
      <c r="D37" s="38" t="str">
        <f t="shared" si="3"/>
        <v>Stora salen</v>
      </c>
      <c r="E37" s="38" t="str">
        <f>IFERROR(__xludf.DUMMYFUNCTION("IFS(COUNTIF(Info!$A$22:A81,C37)&gt;0,"""",
AND(OR(""3x3 FMC""=C37,""3x3 MBLD""=C37),COUNTIF($C$7:indirect(""C""&amp;row()),indirect(""C""&amp;row()))&gt;=13),""E - Error"",
AND(OR(""3x3 FMC""=C37,""3x3 MBLD""=C37),COUNTIF($C$7:indirect(""C""&amp;row()),indirect(""C""&amp;row()"&amp;"))=12),""Final - A3"",
AND(OR(""3x3 FMC""=C37,""3x3 MBLD""=C37),COUNTIF($C$7:indirect(""C""&amp;row()),indirect(""C""&amp;row()))=11),""Final - A2"",
AND(OR(""3x3 FMC""=C37,""3x3 MBLD""=C37),COUNTIF($C$7:indirect(""C""&amp;row()),indirect(""C""&amp;row()))=10),""Final - "&amp;"A1"",
AND(OR(""3x3 FMC""=C37,""3x3 MBLD""=C37),COUNTIF($C$7:indirect(""C""&amp;row()),indirect(""C""&amp;row()))=9,
COUNTIF($C$7:$C$102,indirect(""C""&amp;row()))&gt;9),""R3 - A3"",
AND(OR(""3x3 FMC""=C37,""3x3 MBLD""=C37),COUNTIF($C$7:indirect(""C""&amp;row()),indirect(""C"&amp;"""&amp;row()))=9,
COUNTIF($C$7:$C$102,indirect(""C""&amp;row()))&lt;=9),""Final - A3"",
AND(OR(""3x3 FMC""=C37,""3x3 MBLD""=C37),COUNTIF($C$7:indirect(""C""&amp;row()),indirect(""C""&amp;row()))=8,
COUNTIF($C$7:$C$102,indirect(""C""&amp;row()))&gt;9),""R3 - A2"",
AND(OR(""3x3 FMC"&amp;"""=C37,""3x3 MBLD""=C37),COUNTIF($C$7:indirect(""C""&amp;row()),indirect(""C""&amp;row()))=8,
COUNTIF($C$7:$C$102,indirect(""C""&amp;row()))&lt;=9),""Final - A2"",
AND(OR(""3x3 FMC""=C37,""3x3 MBLD""=C37),COUNTIF($C$7:indirect(""C""&amp;row()),indirect(""C""&amp;row()))=7,
COUN"&amp;"TIF($C$7:$C$102,indirect(""C""&amp;row()))&gt;9),""R3 - A1"",
AND(OR(""3x3 FMC""=C37,""3x3 MBLD""=C37),COUNTIF($C$7:indirect(""C""&amp;row()),indirect(""C""&amp;row()))=7,
COUNTIF($C$7:$C$102,indirect(""C""&amp;row()))&lt;=9),""Final - A1"",
AND(OR(""3x3 FMC""=C37,""3x3 MBLD"""&amp;"=C37),COUNTIF($C$7:indirect(""C""&amp;row()),indirect(""C""&amp;row()))=6,
COUNTIF($C$7:$C$102,indirect(""C""&amp;row()))&gt;6),""R2 - A3"",
AND(OR(""3x3 FMC""=C37,""3x3 MBLD""=C37),COUNTIF($C$7:indirect(""C""&amp;row()),indirect(""C""&amp;row()))=6,
COUNTIF($C$7:$C$102,indirec"&amp;"t(""C""&amp;row()))&lt;=6),""Final - A3"",
AND(OR(""3x3 FMC""=C37,""3x3 MBLD""=C37),COUNTIF($C$7:indirect(""C""&amp;row()),indirect(""C""&amp;row()))=5,
COUNTIF($C$7:$C$102,indirect(""C""&amp;row()))&gt;6),""R2 - A2"",
AND(OR(""3x3 FMC""=C37,""3x3 MBLD""=C37),COUNTIF($C$7:indi"&amp;"rect(""C""&amp;row()),indirect(""C""&amp;row()))=5,
COUNTIF($C$7:$C$102,indirect(""C""&amp;row()))&lt;=6),""Final - A2"",
AND(OR(""3x3 FMC""=C37,""3x3 MBLD""=C37),COUNTIF($C$7:indirect(""C""&amp;row()),indirect(""C""&amp;row()))=4,
COUNTIF($C$7:$C$102,indirect(""C""&amp;row()))&gt;6),"&amp;"""R2 - A1"",
AND(OR(""3x3 FMC""=C37,""3x3 MBLD""=C37),COUNTIF($C$7:indirect(""C""&amp;row()),indirect(""C""&amp;row()))=4,
COUNTIF($C$7:$C$102,indirect(""C""&amp;row()))&lt;=6),""Final - A1"",
AND(OR(""3x3 FMC""=C37,""3x3 MBLD""=C37),COUNTIF($C$7:indirect(""C""&amp;row()),i"&amp;"ndirect(""C""&amp;row()))=3),""R1 - A3"",
AND(OR(""3x3 FMC""=C37,""3x3 MBLD""=C37),COUNTIF($C$7:indirect(""C""&amp;row()),indirect(""C""&amp;row()))=2),""R1 - A2"",
AND(OR(""3x3 FMC""=C37,""3x3 MBLD""=C37),COUNTIF($C$7:indirect(""C""&amp;row()),indirect(""C""&amp;row()))=1),"&amp;"""R1 -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C37),ROUNDUP((FILTER(Info!$H$2:H81,Info!$A$2:A81=C37)/FILTER(Info!$H$2:H81,Info!$A$2:A81=$K$2))*$I$2)&gt;99),3,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C37),ROUNDUP((FILTER(Info!$H$2:H81,Info!$A$2:A81=C37)/FILTER(Info!$H$2:H81,Info!$A$2:A81=$K$2))*$I$2)&gt;15),2,
AND(COUNTIF($C$7:indirect(""C""&amp;row()),indirect(""C""&amp;row()))=2,COUNTIF($C$7:$C$102,indirect(""C""&amp;row()))=COUNTIF($"&amp;"C$7:indirect(""C""&amp;row()),indirect(""C""&amp;row()))),""Final"",
COUNTIF($C$7:indirect(""C""&amp;row()),indirect(""C""&amp;row()))=1,1,
COUNTIF($C$7:indirect(""C""&amp;row()),indirect(""C""&amp;row()))=0,"""")"),"")</f>
        <v/>
      </c>
      <c r="F37" s="39" t="str">
        <f>IFERROR(__xludf.DUMMYFUNCTION("IFS(C37="""","""",
AND(C37=""3x3 FMC"",MOD(COUNTIF($C$7:indirect(""C""&amp;row()),indirect(""C""&amp;row())),3)=0),""Mean of 3"",
AND(C37=""3x3 MBLD"",MOD(COUNTIF($C$7:indirect(""C""&amp;row()),indirect(""C""&amp;row())),3)=0),""Best of 3"",
AND(C37=""3x3 FMC"",MOD(COUNT"&amp;"IF($C$7:indirect(""C""&amp;row()),indirect(""C""&amp;row())),3)=2,
COUNTIF($C$7:$C$102,indirect(""C""&amp;row()))&lt;=COUNTIF($C$7:indirect(""C""&amp;row()),indirect(""C""&amp;row()))),""Best of 2"",
AND(C37=""3x3 FMC"",MOD(COUNTIF($C$7:indirect(""C""&amp;row()),indirect(""C""&amp;row("&amp;"))),3)=2,
COUNTIF($C$7:$C$102,indirect(""C""&amp;row()))&gt;COUNTIF($C$7:indirect(""C""&amp;row()),indirect(""C""&amp;row()))),""Mean of 3"",
AND(C37=""3x3 MBLD"",MOD(COUNTIF($C$7:indirect(""C""&amp;row()),indirect(""C""&amp;row())),3)=2,
COUNTIF($C$7:$C$102,indirect(""C""&amp;row("&amp;")))&lt;=COUNTIF($C$7:indirect(""C""&amp;row()),indirect(""C""&amp;row()))),""Best of 2"",
AND(C37=""3x3 MBLD"",MOD(COUNTIF($C$7:indirect(""C""&amp;row()),indirect(""C""&amp;row())),3)=2,
COUNTIF($C$7:$C$102,indirect(""C""&amp;row()))&gt;COUNTIF($C$7:indirect(""C""&amp;row()),indirect("&amp;"""C""&amp;row()))),""Best of 3"",
AND(C37=""3x3 FMC"",MOD(COUNTIF($C$7:indirect(""C""&amp;row()),indirect(""C""&amp;row())),3)=1,
COUNTIF($C$7:$C$102,indirect(""C""&amp;row()))&lt;=COUNTIF($C$7:indirect(""C""&amp;row()),indirect(""C""&amp;row()))),""Best of 1"",
AND(C37=""3x3 FMC"""&amp;",MOD(COUNTIF($C$7:indirect(""C""&amp;row()),indirect(""C""&amp;row())),3)=1,
COUNTIF($C$7:$C$102,indirect(""C""&amp;row()))=COUNTIF($C$7:indirect(""C""&amp;row()),indirect(""C""&amp;row()))+1),""Best of 2"",
AND(C37=""3x3 FMC"",MOD(COUNTIF($C$7:indirect(""C""&amp;row()),indirect"&amp;"(""C""&amp;row())),3)=1,
COUNTIF($C$7:$C$102,indirect(""C""&amp;row()))&gt;COUNTIF($C$7:indirect(""C""&amp;row()),indirect(""C""&amp;row()))),""Mean of 3"",
AND(C37=""3x3 MBLD"",MOD(COUNTIF($C$7:indirect(""C""&amp;row()),indirect(""C""&amp;row())),3)=1,
COUNTIF($C$7:$C$102,indirect"&amp;"(""C""&amp;row()))&lt;=COUNTIF($C$7:indirect(""C""&amp;row()),indirect(""C""&amp;row()))),""Best of 1"",
AND(C37=""3x3 MBLD"",MOD(COUNTIF($C$7:indirect(""C""&amp;row()),indirect(""C""&amp;row())),3)=1,
COUNTIF($C$7:$C$102,indirect(""C""&amp;row()))=COUNTIF($C$7:indirect(""C""&amp;row()"&amp;"),indirect(""C""&amp;row()))+1),""Best of 2"",
AND(C37=""3x3 MBLD"",MOD(COUNTIF($C$7:indirect(""C""&amp;row()),indirect(""C""&amp;row())),3)=1,
COUNTIF($C$7:$C$102,indirect(""C""&amp;row()))&gt;COUNTIF($C$7:indirect(""C""&amp;row()),indirect(""C""&amp;row()))),""Best of 3"",
TRUE,("&amp;"IFERROR(FILTER(Info!$D$2:D81, Info!$A$2:A81 = C37), """")))"),"")</f>
        <v/>
      </c>
      <c r="G37" s="40" t="str">
        <f>IFERROR(__xludf.DUMMYFUNCTION("IFS(OR(COUNTIF(Info!$A$22:A81,C37)&gt;0,C37=""""),"""",
OR(""3x3 MBLD""=C37,""3x3 FMC""=C37),60,
AND(E37=1,FILTER(Info!$F$2:F81, Info!$A$2:A81 = C37) = ""No""),FILTER(Info!$P$2:P81, Info!$A$2:A81 = C37),
AND(E37=2,FILTER(Info!$F$2:F81, Info!$A$2:A81 = C37) ="&amp;" ""No""),FILTER(Info!$Q$2:Q81, Info!$A$2:A81 = C37),
AND(E37=3,FILTER(Info!$F$2:F81, Info!$A$2:A81 = C37) = ""No""),FILTER(Info!$R$2:R81, Info!$A$2:A81 = C37),
AND(E37=""Final"",FILTER(Info!$F$2:F81, Info!$A$2:A81 = C37) = ""No""),FILTER(Info!$S$2:S81, In"&amp;"fo!$A$2:A81 = C37),
FILTER(Info!$F$2:F81, Info!$A$2:A81 = C37) = ""Yes"","""")"),"")</f>
        <v/>
      </c>
      <c r="H37" s="40" t="str">
        <f>IFERROR(__xludf.DUMMYFUNCTION("IFS(OR(COUNTIF(Info!$A$22:A81,C37)&gt;0,C37=""""),"""",
OR(""3x3 MBLD""=C37,""3x3 FMC""=C37)=TRUE,"""",
FILTER(Info!$F$2:F81, Info!$A$2:A81 = C37) = ""Yes"",FILTER(Info!$O$2:O81, Info!$A$2:A81 = C37),
FILTER(Info!$F$2:F81, Info!$A$2:A81 = C37) = ""No"",IF(G3"&amp;"7="""",FILTER(Info!$O$2:O81, Info!$A$2:A81 = C37),""""))"),"")</f>
        <v/>
      </c>
      <c r="I37" s="40" t="str">
        <f>IFERROR(__xludf.DUMMYFUNCTION("IFS(OR(COUNTIF(Info!$A$22:A81,C37)&gt;0,C37="""",H37&lt;&gt;""""),"""",
AND(E37&lt;&gt;1,E37&lt;&gt;""R1 - A1"",E37&lt;&gt;""R1 - A2"",E37&lt;&gt;""R1 - A3""),"""",
FILTER(Info!$E$2:E81, Info!$A$2:A81 = C37) = ""Yes"",IF(H37="""",FILTER(Info!$L$2:L81, Info!$A$2:A81 = C37),""""),
FILTER(I"&amp;"nfo!$E$2:E81, Info!$A$2:A81 = C37) = ""No"","""")"),"")</f>
        <v/>
      </c>
      <c r="J37" s="40" t="str">
        <f>IFERROR(__xludf.DUMMYFUNCTION("IFS(OR(COUNTIF(Info!$A$22:A81,C37)&gt;0,C37="""",""3x3 MBLD""=C37,""3x3 FMC""=C37),"""",
AND(E37=1,FILTER(Info!$H$2:H81,Info!$A$2:A81 = C37)&lt;=FILTER(Info!$H$2:H81,Info!$A$2:A81=$K$2)),
ROUNDUP((FILTER(Info!$H$2:H81,Info!$A$2:A81 = C37)/FILTER(Info!$H$2:H81,I"&amp;"nfo!$A$2:A81=$K$2))*$I$2),
AND(E37=1,FILTER(Info!$H$2:H81,Info!$A$2:A81 = C37)&gt;FILTER(Info!$H$2:H81,Info!$A$2:A81=$K$2)),""K2 - Error"",
AND(E37=2,FILTER($J$7:indirect(""J""&amp;row()-1),$C$7:indirect(""C""&amp;row()-1)=C37)&lt;=7),""J - Error"",
E37=2,FLOOR(FILTER("&amp;"$J$7:indirect(""J""&amp;row()-1),$C$7:indirect(""C""&amp;row()-1)=C37)*Info!$T$32),
AND(E37=3,FILTER($J$7:indirect(""J""&amp;row()-1),$C$7:indirect(""C""&amp;row()-1)=C37)&lt;=15),""J - Error"",
E37=3,FLOOR(Info!$T$32*FLOOR(FILTER($J$7:indirect(""J""&amp;row()-1),$C$7:indirect("&amp;"""C""&amp;row()-1)=C37)*Info!$T$32)),
AND(E37=""Final"",COUNTIF($C$7:$C$102,C37)=2,FILTER($J$7:indirect(""J""&amp;row()-1),$C$7:indirect(""C""&amp;row()-1)=C37)&lt;=7),""J - Error"",
AND(E37=""Final"",COUNTIF($C$7:$C$102,C37)=2),
MIN(P37,FLOOR(FILTER($J$7:indirect(""J"""&amp;"&amp;row()-1),$C$7:indirect(""C""&amp;row()-1)=C37)*Info!$T$32)),
AND(E37=""Final"",COUNTIF($C$7:$C$102,C37)=3,FILTER($J$7:indirect(""J""&amp;row()-1),$C$7:indirect(""C""&amp;row()-1)=C37)&lt;=15),""J - Error"",
AND(E37=""Final"",COUNTIF($C$7:$C$102,C37)=3),
MIN(P37,FLOOR(I"&amp;"nfo!$T$32*FLOOR(FILTER($J$7:indirect(""J""&amp;row()-1),$C$7:indirect(""C""&amp;row()-1)=C37)*Info!$T$32))),
AND(E37=""Final"",COUNTIF($C$7:$C$102,C37)&gt;=4,FILTER($J$7:indirect(""J""&amp;row()-1),$C$7:indirect(""C""&amp;row()-1)=C37)&lt;=99),""J - Error"",
AND(E37=""Final"","&amp;"COUNTIF($C$7:$C$102,C37)&gt;=4),
MIN(P37,FLOOR(Info!$T$32*FLOOR(Info!$T$32*FLOOR(FILTER($J$7:indirect(""J""&amp;row()-1),$C$7:indirect(""C""&amp;row()-1)=C37)*Info!$T$32)))))"),"")</f>
        <v/>
      </c>
      <c r="K37" s="41" t="str">
        <f>IFERROR(__xludf.DUMMYFUNCTION("IFS(AND(indirect(""D""&amp;row()+2)&lt;&gt;$E$2,indirect(""D""&amp;row()+1)=""""),CONCATENATE(""Tom rad! Kopiera hela rad ""&amp;row()&amp;"" dit""),
AND(indirect(""D""&amp;row()-1)&lt;&gt;""Rum"",indirect(""D""&amp;row()-1)=""""),CONCATENATE(""Tom rad! Kopiera hela rad ""&amp;row()&amp;"" dit""),
"&amp;"C37="""","""",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OR(AND(D37&lt;&gt;$E$2,D37&lt;&gt;$E$4,D37&lt;&gt;$K$4,D37&lt;&gt;$Q$4),D37="&amp;"""""),CONCATENATE(""Rum: ""&amp;D37&amp;"" finns ej, byt i D""&amp;row()),
AND(indirect(""D""&amp;row()-1)=""Rum"",C37=""""),CONCATENATE(""För att börja: skriv i cell C""&amp;row()),
AND(C37=""Paus"",M37&lt;=0),CONCATENATE(""Skriv pausens längd i M""&amp;row()),
OR(COUNTIF(Info!$A$"&amp;"22:A81,C37)&gt;0,C37=""""),"""",
AND(D37&lt;&gt;$E$2,$O$2=""Yes"",A37=""=time(hh;mm;ss)""),CONCATENATE(""Skriv starttid för ""&amp;C37&amp;"" i A""&amp;row()),
E37=""E - Error"",CONCATENATE(""För många ""&amp;C37&amp;"" rundor!""),
AND(C37&lt;&gt;""3x3 FMC"",C37&lt;&gt;""3x3 MBLD"",E37&lt;&gt;1,E37&lt;&gt;"&amp;"""Final"",IFERROR(FILTER($E$7:indirect(""E""&amp;row()-1),
$E$7:indirect(""E""&amp;row()-1)=E37-1,$C$7:indirect(""C""&amp;row()-1)=C37))=FALSE),CONCATENATE(""Kan ej vara R""&amp;E37&amp;"", saknar R""&amp;(E37-1)),
AND(indirect(""E""&amp;row()-1)&lt;&gt;""Omgång"",IFERROR(FILTER($E$7:indi"&amp;"rect(""E""&amp;row()-1),
$E$7:indirect(""E""&amp;row()-1)=E37,$C$7:indirect(""C""&amp;row()-1)=C37)=E37)=TRUE),CONCATENATE(""Runda ""&amp;E37&amp;"" i ""&amp;C37&amp;"" finns redan""),
AND(C37&lt;&gt;""3x3 BLD"",C37&lt;&gt;""4x4 BLD"",C37&lt;&gt;""5x5 BLD"",C37&lt;&gt;""4x4 / 5x5 BLD"",OR(E37=2,E37=3,E37="&amp;"""Final""),H37&lt;&gt;""""),CONCATENATE(E37&amp;""-rundor brukar ej ha c.t.l.""),
AND(OR(E37=2,E37=3,E37=""Final""),I37&lt;&gt;""""),CONCATENATE(E37&amp;""-rundor brukar ej ha cutoff""),
AND(OR(C37=""3x3 FMC"",C37=""3x3 MBLD""),OR(E37=1,E37=2,E37=3,E37=""Final"")),CONCATENAT"&amp;"E(C37&amp;""s omgång är Rx - Ax""),
AND(C37&lt;&gt;""3x3 MBLD"",C37&lt;&gt;""3x3 FMC"",FILTER(Info!$D$2:D81, Info!$A$2:A81 = C37)&lt;&gt;F37),CONCATENATE(C37&amp;"" måste ha formatet ""&amp;FILTER(Info!$D$2:D81, Info!$A$2:A81 = C37)),
AND(C37=""3x3 MBLD"",OR(F37=""Avg of 5"",F37=""Mea"&amp;"n of 3"")),CONCATENATE(""Ogiltigt format för ""&amp;C37),
AND(C37=""3x3 FMC"",OR(F37=""Avg of 5"",F37=""Best of 3"")),CONCATENATE(""Ogiltigt format för ""&amp;C37),
AND(OR(F37=""Best of 1"",F37=""Best of 2"",F37=""Best of 3""),I37&lt;&gt;""""),CONCATENATE(F37&amp;""-rundor"&amp;" får ej ha cutoff""),
AND(OR(C37=""3x3 FMC"",C37=""3x3 MBLD""),G37&lt;&gt;60),CONCATENATE(C37&amp;"" måste ha time limit: 60""),
AND(OR(C37=""3x3 FMC"",C37=""3x3 MBLD""),H37&lt;&gt;""""),CONCATENATE(C37&amp;"" kan inte ha c.t.l.""),
AND(G37&lt;&gt;"""",H37&lt;&gt;""""),""Välj time limit"&amp;" ELLER c.t.l"",
AND(C37=""6x6 / 7x7"",G37="""",H37=""""),""Sätt time limit (x / y) eller c.t.l (z)"",
AND(G37="""",H37=""""),""Sätt en time limit eller c.t.l"",
AND(OR(C37=""6x6 / 7x7"",C37=""4x4 / 5x5 BLD""),G37&lt;&gt;"""",REGEXMATCH(TO_TEXT(G37),"" / "")=FAL"&amp;"SE),CONCATENATE(""Time limit måste vara x / y""),
AND(H37&lt;&gt;"""",I37&lt;&gt;""""),CONCATENATE(C37&amp;"" brukar ej ha cutoff OCH c.t.l""),
AND(E37=1,H37="""",I37="""",OR(FILTER(Info!$E$2:E81, Info!$A$2:A81 = C37) = ""Yes"",FILTER(Info!$F$2:F81, Info!$A$2:A81 = C37) "&amp;"= ""Yes""),OR(F37=""Avg of 5"",F37=""Mean of 3"")),CONCATENATE(C37&amp;"" bör ha cutoff eller c.t.l""),
AND(C37=""6x6 / 7x7"",I37&lt;&gt;"""",REGEXMATCH(TO_TEXT(I37),"" / "")=FALSE),CONCATENATE(""Cutoff måste vara x / y""),
AND(H37&lt;&gt;"""",ISNUMBER(H37)=FALSE),""C.t."&amp;"l. måste vara positivt tal (x)"",
AND(C37&lt;&gt;""6x6 / 7x7"",I37&lt;&gt;"""",ISNUMBER(I37)=FALSE),""Cutoff måste vara positivt tal (x)"",
AND(H37&lt;&gt;"""",FILTER(Info!$E$2:E81, Info!$A$2:A81 = C37) = ""No"",FILTER(Info!$F$2:F81, Info!$A$2:A81 = C37) = ""No""),CONCATEN"&amp;"ATE(C37&amp;"" brukar inte ha c.t.l.""),
AND(I37&lt;&gt;"""",FILTER(Info!$E$2:E81, Info!$A$2:A81 = C37) = ""No"",FILTER(Info!$F$2:F81, Info!$A$2:A81 = C37) = ""No""),CONCATENATE(C37&amp;"" brukar inte ha cutoff""),
AND(H37="""",FILTER(Info!$F$2:F81, Info!$A$2:A81 = C37"&amp;") = ""Yes""),CONCATENATE(C37&amp;"" brukar ha c.t.l.""),
AND(C37&lt;&gt;""6x6 / 7x7"",C37&lt;&gt;""4x4 / 5x5 BLD"",G37&lt;&gt;"""",ISNUMBER(G37)=FALSE),""Time limit måste vara positivt tal (x)"",
J37=""J - Error"",CONCATENATE(""För få deltagare i R1 för ""&amp;COUNTIF($C$7:$C$102,"&amp;"indirect(""C""&amp;row()))&amp;"" rundor""),
J37=""K2 - Error"",CONCATENATE(C37&amp;"" är mer populär - byt i K2!""),
AND(C37&lt;&gt;""6x6 / 7x7"",C37&lt;&gt;""4x4 / 5x5 BLD"",G37&lt;&gt;"""",I37&lt;&gt;"""",G37&lt;=I37),""Time limit måste vara &gt; cutoff"",
AND(C37&lt;&gt;""6x6 / 7x7"",C37&lt;&gt;""4x4 / 5"&amp;"x5 BLD"",H37&lt;&gt;"""",I37&lt;&gt;"""",H37&lt;=I37),""C.t.l. måste vara &gt; cutoff"",
AND(C37&lt;&gt;""3x3 FMC"",C37&lt;&gt;""3x3 MBLD"",J37=""""),CONCATENATE(""Fyll i antal deltagare i J""&amp;row()),
AND(C37="""",OR(E37&lt;&gt;"""",F37&lt;&gt;"""",G37&lt;&gt;"""",H37&lt;&gt;"""",I37&lt;&gt;"""",J37&lt;&gt;"""")),""Skri"&amp;"v ALLTID gren / aktivitet först"",
AND(I37="""",H37="""",J37&lt;&gt;""""),J37,
OR(""3x3 FMC""=C37,""3x3 MBLD""=C37),J37,
AND(I37&lt;&gt;"""",""6x6 / 7x7""=C37),
IFS(ArrayFormula(SUM(IFERROR(SPLIT(I37,"" / ""))))&lt;(Info!$J$6+Info!$J$7)*2/3,CONCATENATE(""Höj helst cutof"&amp;"fs i ""&amp;C37),
ArrayFormula(SUM(IFERROR(SPLIT(I37,"" / ""))))&lt;=(Info!$J$6+Info!$J$7),ROUNDUP(J37*Info!$J$22),
ArrayFormula(SUM(IFERROR(SPLIT(I37,"" / ""))))&lt;=Info!$J$6+Info!$J$7,ROUNDUP(J37*Info!$K$22),
ArrayFormula(SUM(IFERROR(SPLIT(I37,"" / ""))))&lt;=Info!"&amp;"$K$6+Info!$K$7,ROUNDUP(J37*Info!L$22),
ArrayFormula(SUM(IFERROR(SPLIT(I37,"" / ""))))&lt;=Info!$L$6+Info!$L$7,ROUNDUP(J37*Info!$M$22),
ArrayFormula(SUM(IFERROR(SPLIT(I37,"" / ""))))&lt;=Info!$M$6+Info!$M$7,ROUNDUP(J37*Info!$N$22),
ArrayFormula(SUM(IFERROR(SPLIT"&amp;"(I37,"" / ""))))&lt;=(Info!$N$6+Info!$N$7)*3/2,ROUNDUP(J37*Info!$J$26),
ArrayFormula(SUM(IFERROR(SPLIT(I37,"" / ""))))&gt;(Info!$N$6+Info!$N$7)*3/2,CONCATENATE(""Sänk helst cutoffs i ""&amp;C37)),
AND(I37&lt;&gt;"""",FILTER(Info!$E$2:E81, Info!$A$2:A81 = C37) = ""Yes""),"&amp;"
IFS(I37&lt;FILTER(Info!$J$2:J81, Info!$A$2:A81 = C37)*2/3,CONCATENATE(""Höj helst cutoff i ""&amp;C37),
I37&lt;=FILTER(Info!$J$2:J81, Info!$A$2:A81 = C37),ROUNDUP(J37*Info!$J$22),
I37&lt;=FILTER(Info!$K$2:K81, Info!$A$2:A81 = C37),ROUNDUP(J37*Info!$K$22),
I37&lt;=FILTER"&amp;"(Info!$L$2:L81, Info!$A$2:A81 = C37),ROUNDUP(J37*Info!L$22),
I37&lt;=FILTER(Info!$M$2:M81, Info!$A$2:A81 = C37),ROUNDUP(J37*Info!$M$22),
I37&lt;=FILTER(Info!$N$2:N81, Info!$A$2:A81 = C37),ROUNDUP(J37*Info!$N$22),
I37&lt;=FILTER(Info!$N$2:N81, Info!$A$2:A81 = C37)*"&amp;"3/2,ROUNDUP(J37*Info!$J$26),
I37&gt;FILTER(Info!$N$2:N81, Info!$A$2:A81 = C37)*3/2,CONCATENATE(""Sänk helst cutoff i ""&amp;C37)),
AND(H37&lt;&gt;"""",""6x6 / 7x7""=C37),
IFS(H37/3&lt;=(Info!$J$6+Info!$J$7)*2/3,""Höj helst cumulative time limit"",
H37/3&lt;=Info!$J$6+Info!$"&amp;"J$7,ROUNDUP(J37*Info!$J$24),
H37/3&lt;=Info!$K$6+Info!$K$7,ROUNDUP(J37*Info!$K$24),
H37/3&lt;=Info!$L$6+Info!$L$7,ROUNDUP(J37*Info!L$24),
H37/3&lt;=Info!$M$6+Info!$M$7,ROUNDUP(J37*Info!$M$24),
H37/3&lt;=Info!$N$6+Info!$N$7,ROUNDUP(J37*Info!$N$24),
H37/3&lt;=(Info!$N$6+I"&amp;"nfo!$N$7)*3/2,ROUNDUP(J37*Info!$L$26),
H37/3&gt;(Info!$J$6+Info!$J$7)*3/2,""Sänk helst cumulative time limit""),
AND(H37&lt;&gt;"""",FILTER(Info!$F$2:F81, Info!$A$2:A81 = C37) = ""Yes""),
IFS(H37&lt;=FILTER(Info!$J$2:J81, Info!$A$2:A81 = C37)*2/3,CONCATENATE(""Höj he"&amp;"lst c.t.l. i ""&amp;C37),
H37&lt;=FILTER(Info!$J$2:J81, Info!$A$2:A81 = C37),ROUNDUP(J37*Info!$J$24),
H37&lt;=FILTER(Info!$K$2:K81, Info!$A$2:A81 = C37),ROUNDUP(J37*Info!$K$24),
H37&lt;=FILTER(Info!$L$2:L81, Info!$A$2:A81 = C37),ROUNDUP(J37*Info!L$24),
H37&lt;=FILTER(Inf"&amp;"o!$M$2:M81, Info!$A$2:A81 = C37),ROUNDUP(J37*Info!$M$24),
H37&lt;=FILTER(Info!$N$2:N81, Info!$A$2:A81 = C37),ROUNDUP(J37*Info!$N$24),
H37&lt;=FILTER(Info!$N$2:N81, Info!$A$2:A81 = C37)*3/2,ROUNDUP(J37*Info!$L$26),
H37&gt;FILTER(Info!$N$2:N81, Info!$A$2:A81 = C37)*"&amp;"3/2,CONCATENATE(""Sänk helst c.t.l. i ""&amp;C37)),
AND(H37&lt;&gt;"""",FILTER(Info!$F$2:F81, Info!$A$2:A81 = C37) = ""No""),
IFS(H37/AA37&lt;=FILTER(Info!$J$2:J81, Info!$A$2:A81 = C37)*2/3,CONCATENATE(""Höj helst c.t.l. i ""&amp;C37),
H37/AA37&lt;=FILTER(Info!$J$2:J81, Info"&amp;"!$A$2:A81 = C37),ROUNDUP(J37*Info!$J$24),
H37/AA37&lt;=FILTER(Info!$K$2:K81, Info!$A$2:A81 = C37),ROUNDUP(J37*Info!$K$24),
H37/AA37&lt;=FILTER(Info!$L$2:L81, Info!$A$2:A81 = C37),ROUNDUP(J37*Info!L$24),
H37/AA37&lt;=FILTER(Info!$M$2:M81, Info!$A$2:A81 = C37),ROUND"&amp;"UP(J37*Info!$M$24),
H37/AA37&lt;=FILTER(Info!$N$2:N81, Info!$A$2:A81 = C37),ROUNDUP(J37*Info!$N$24),
H37/AA37&lt;=FILTER(Info!$N$2:N81, Info!$A$2:A81 = C37)*3/2,ROUNDUP(J37*Info!$L$26),
H37/AA37&gt;FILTER(Info!$N$2:N81, Info!$A$2:A81 = C37)*3/2,CONCATENATE(""Sänk "&amp;"helst c.t.l. i ""&amp;C37)),
AND(I37="""",H37&lt;&gt;"""",J37&lt;&gt;""""),ROUNDUP(J37*Info!$T$29),
AND(I37&lt;&gt;"""",H37="""",J37&lt;&gt;""""),ROUNDUP(J37*Info!$T$26))"),"")</f>
        <v/>
      </c>
      <c r="L37" s="42">
        <f>IFERROR(__xludf.DUMMYFUNCTION("IFS(C37="""",0,
C37=""3x3 FMC"",Info!$B$9*N37+M37, C37=""3x3 MBLD"",Info!$B$18*N37+M37,
COUNTIF(Info!$A$22:A81,C37)&gt;0,FILTER(Info!$B$22:B81,Info!$A$22:A81=C37)+M37,
AND(C37&lt;&gt;"""",E37=""""),CONCATENATE(""Fyll i E""&amp;row()),
AND(C37&lt;&gt;"""",E37&lt;&gt;"""",E37&lt;&gt;1,E3"&amp;"7&lt;&gt;2,E37&lt;&gt;3,E37&lt;&gt;""Final""),CONCATENATE(""Fel format på E""&amp;row()),
K37=CONCATENATE(""Runda ""&amp;E37&amp;"" i ""&amp;C37&amp;"" finns redan""),CONCATENATE(""Fel i E""&amp;row()),
AND(C37&lt;&gt;"""",F37=""""),CONCATENATE(""Fyll i F""&amp;row()),
K37=CONCATENATE(C37&amp;"" måste ha forma"&amp;"tet ""&amp;FILTER(Info!$D$2:D81, Info!$A$2:A81 = C37)),CONCATENATE(""Fel format på F""&amp;row()),
AND(C37&lt;&gt;"""",D37=1,H37="""",FILTER(Info!$F$2:F81, Info!$A$2:A81 = C37) = ""Yes""),CONCATENATE(""Fyll i H""&amp;row()),
AND(C37&lt;&gt;"""",D37=1,I37="""",FILTER(Info!$E$2:E8"&amp;"1, Info!$A$2:A81 = C37) = ""Yes""),CONCATENATE(""Fyll i I""&amp;row()),
AND(C37&lt;&gt;"""",J37=""""),CONCATENATE(""Fyll i J""&amp;row()),
AND(C37&lt;&gt;"""",K37="""",OR(H37&lt;&gt;"""",I37&lt;&gt;"""")),CONCATENATE(""Fyll i K""&amp;row()),
AND(C37&lt;&gt;"""",K37=""""),CONCATENATE(""Skriv samma"&amp;" i K""&amp;row()&amp;"" som i J""&amp;row()),
AND(OR(C37=""4x4 BLD"",C37=""5x5 BLD"",C37=""4x4 / 5x5 BLD"")=TRUE,V37&lt;=P37),
MROUND(H37*(Info!$T$20-((Info!$T$20-1)/2)*(1-V37/P37))*(1+((J37/K37)-1)*(1-Info!$J$24))*N37+(Info!$T$11/2)+(N37*Info!$T$11)+(N37*Info!$T$14*(O3"&amp;"7-1)),0.01)+M37,
AND(OR(C37=""4x4 BLD"",C37=""5x5 BLD"",C37=""4x4 / 5x5 BLD"")=TRUE,V37&gt;P37),
MROUND((((J37*Z37+K37*(AA37-Z37))*(H37*Info!$T$20/AA37))/X37)*(1+((J37/K37)-1)*(1-Info!$J$24))*(1+(X37-Info!$T$8)/100)+(Info!$T$11/2)+(N37*Info!$T$11)+(N37*Info!"&amp;"$T$14*(O37-1)),0.01)+M37,
AND(C37=""3x3 BLD"",V37&lt;=P37),
MROUND(H37*(Info!$T$23-((Info!$T$23-1)/2)*(1-V37/P37))*(1+((J37/K37)-1)*(1-Info!$J$24))*N37+(Info!$T$11/2)+(N37*Info!$T$11)+(N37*Info!$T$14*(O37-1)),0.01)+M37,
AND(C37=""3x3 BLD"",V37&gt;P37),
MROUND(("&amp;"((J37*Z37+K37*(AA37-Z37))*(H37*Info!$T$23/AA37))/X37)*(1+((J37/K37)-1)*(1-Info!$J$24))*(1+(X37-Info!$T$8)/100)+(Info!$T$11/2)+(N37*Info!$T$11)+(N37*Info!$T$14*(O37-1)),0.01)+M37,
E37=1,MROUND((((J37*Z37+K37*(AA37-Z37))*Y37)/X37)*(1+(X37-Info!$T$8)/100)+(N"&amp;"37*Info!$T$11)+(N37*Info!$T$14*(O37-1)),0.01)+M37,
AND(E37=""Final"",N37=1,FILTER(Info!$G$2:$G$20,Info!$A$2:$A$20=C37)=""Mycket svår""),
MROUND((((J37*Z37+K37*(AA37-Z37))*(Y37*Info!$T$38))/X37)*(1+(X37-Info!$T$8)/100)+(N37*Info!$T$11)+(N37*Info!$T$14*(O37"&amp;"-1)),0.01)+M37,
AND(E37=""Final"",N37=1,FILTER(Info!$G$2:$G$20,Info!$A$2:$A$20=C37)=""Svår""),
MROUND((((J37*Z37+K37*(AA37-Z37))*(Y37*Info!$T$35))/X37)*(1+(X37-Info!$T$8)/100)+(N37*Info!$T$11)+(N37*Info!$T$14*(O37-1)),0.01)+M37,
E37=""Final"",MROUND((((J3"&amp;"7*Z37+K37*(AA37-Z37))*(Y37*Info!$T$5))/X37)*(1+(X37-Info!$T$8)/100)+(N37*Info!$T$11)+(N37*Info!$T$14*(O37-1)),0.01)+M37,
OR(E37=2,E37=3),MROUND((((J37*Z37+K37*(AA37-Z37))*(Y37*Info!$T$2))/X37)*(1+(X37-Info!$T$8)/100)+(N37*Info!$T$11)+(N37*Info!$T$14*(O37-"&amp;"1)),0.01)+M37)"),0.0)</f>
        <v>0</v>
      </c>
      <c r="M37" s="43">
        <f t="shared" si="4"/>
        <v>0</v>
      </c>
      <c r="N37" s="43" t="str">
        <f>IFS(OR(COUNTIF(Info!$A$22:A81,C37)&gt;0,C37=""),"",
OR(C37="4x4 BLD",C37="5x5 BLD",C37="3x3 MBLD",C37="3x3 FMC",C37="4x4 / 5x5 BLD"),1,
AND(E37="Final",Q37="Yes",MAX(1,ROUNDUP(J37/P37))&gt;1),MAX(2,ROUNDUP(J37/P37)),
AND(E37="Final",Q37="No",MAX(1,ROUNDUP(J37/((P37*2)+2.625-Y37*1.5)))&gt;1),MAX(2,ROUNDUP(J37/((P37*2)+2.625-Y37*1.5))),
E37="Final",1,
Q37="Yes",MAX(2,ROUNDUP(J37/P37)),
TRUE,MAX(2,ROUNDUP(J37/((P37*2)+2.625-Y37*1.5))))</f>
        <v/>
      </c>
      <c r="O37" s="43" t="str">
        <f>IFS(OR(COUNTIF(Info!$A$22:A81,C37)&gt;0,C37=""),"",
OR("3x3 MBLD"=C37,"3x3 FMC"=C37)=TRUE,"",
D37=$E$4,$G$6,D37=$K$4,$M$6,D37=$Q$4,$S$6,D37=$W$4,$Y$6,
TRUE,$S$2)</f>
        <v/>
      </c>
      <c r="P37" s="43" t="str">
        <f>IFS(OR(COUNTIF(Info!$A$22:A81,C37)&gt;0,C37=""),"",
OR("3x3 MBLD"=C37,"3x3 FMC"=C37)=TRUE,"",
D37=$E$4,$E$6,D37=$K$4,$K$6,D37=$Q$4,$Q$6,D37=$W$4,$W$6,
TRUE,$Q$2)</f>
        <v/>
      </c>
      <c r="Q37" s="44" t="str">
        <f>IFS(OR(COUNTIF(Info!$A$22:A81,C37)&gt;0,C37=""),"",
OR("3x3 MBLD"=C37,"3x3 FMC"=C37)=TRUE,"",
D37=$E$4,$I$6,D37=$K$4,$O$6,D37=$Q$4,$U$6,D37=$W$4,$AA$6,
TRUE,$U$2)</f>
        <v/>
      </c>
      <c r="R37" s="45" t="str">
        <f>IFERROR(__xludf.DUMMYFUNCTION("IF(C37="""","""",IFERROR(FILTER(Info!$B$22:B81,Info!$A$22:A81=C37)+M37,""?""))"),"")</f>
        <v/>
      </c>
      <c r="S37" s="46" t="str">
        <f>IFS(OR(COUNTIF(Info!$A$22:A81,C37)&gt;0,C37=""),"",
AND(H37="",I37=""),J37,
TRUE,"?")</f>
        <v/>
      </c>
      <c r="T37" s="45" t="str">
        <f>IFS(OR(COUNTIF(Info!$A$22:A81,C37)&gt;0,C37=""),"",
AND(L37&lt;&gt;0,OR(R37="?",R37="")),"Fyll i R-kolumnen",
OR(C37="3x3 FMC",C37="3x3 MBLD"),R37,
AND(L37&lt;&gt;0,OR(S37="?",S37="")),"Fyll i S-kolumnen",
OR(COUNTIF(Info!$A$22:A81,C37)&gt;0,C37=""),"",
TRUE,Y37*R37/L37)</f>
        <v/>
      </c>
      <c r="U37" s="45"/>
      <c r="V37" s="47" t="str">
        <f>IFS(OR(COUNTIF(Info!$A$22:A81,C37)&gt;0,C37=""),"",
OR("3x3 MBLD"=C37,"3x3 FMC"=C37)=TRUE,"",
TRUE,MROUND((J37/N37),0.01))</f>
        <v/>
      </c>
      <c r="W37" s="48" t="str">
        <f>IFS(OR(COUNTIF(Info!$A$22:A81,C37)&gt;0,C37=""),"",
TRUE,L37/N37)</f>
        <v/>
      </c>
      <c r="X37" s="49" t="str">
        <f>IFS(OR(COUNTIF(Info!$A$22:A81,C37)&gt;0,C37=""),"",
OR("3x3 MBLD"=C37,"3x3 FMC"=C37)=TRUE,"",
OR(C37="4x4 BLD",C37="5x5 BLD",C37="4x4 / 5x5 BLD",AND(C37="3x3 BLD",H37&lt;&gt;""))=TRUE,MIN(V37,P37),
TRUE,MIN(P37,V37,MROUND(((V37*2/3)+((Y37-1.625)/2)),0.01)))</f>
        <v/>
      </c>
      <c r="Y37" s="48" t="str">
        <f>IFERROR(__xludf.DUMMYFUNCTION("IFS(OR(COUNTIF(Info!$A$22:A81,C37)&gt;0,C37=""""),"""",
FILTER(Info!$F$2:F81, Info!$A$2:A81 = C37) = ""Yes"",H37/AA37,
""3x3 FMC""=C37,Info!$B$9,""3x3 MBLD""=C37,Info!$B$18,
AND(E37=1,I37="""",H37="""",Q37=""No"",G37&gt;SUMIF(Info!$A$2:A81,C37,Info!$B$2:B81)*1."&amp;"5),
MIN(SUMIF(Info!$A$2:A81,C37,Info!$B$2:B81)*1.1,SUMIF(Info!$A$2:A81,C37,Info!$B$2:B81)*(1.15-(0.15*(SUMIF(Info!$A$2:A81,C37,Info!$B$2:B81)*1.5)/G37))),
AND(E37=1,I37="""",H37="""",Q37=""Yes"",G37&gt;SUMIF(Info!$A$2:A81,C37,Info!$C$2:C81)*1.5),
MIN(SUMIF(I"&amp;"nfo!$A$2:A81,C37,Info!$C$2:C81)*1.1,SUMIF(Info!$A$2:A81,C37,Info!$C$2:C81)*(1.15-(0.15*(SUMIF(Info!$A$2:A81,C37,Info!$C$2:C81)*1.5)/G37))),
Q37=""No"",SUMIF(Info!$A$2:A81,C37,Info!$B$2:B81),
Q37=""Yes"",SUMIF(Info!$A$2:A81,C37,Info!$C$2:C81))"),"")</f>
        <v/>
      </c>
      <c r="Z37" s="47" t="str">
        <f>IFS(OR(COUNTIF(Info!$A$22:A81,C37)&gt;0,C37=""),"",
AND(OR("3x3 FMC"=C37,"3x3 MBLD"=C37),I37&lt;&gt;""),1,
AND(OR(H37&lt;&gt;"",I37&lt;&gt;""),F37="Avg of 5"),2,
F37="Avg of 5",AA37,
AND(OR(H37&lt;&gt;"",I37&lt;&gt;""),F37="Mean of 3",C37="6x6 / 7x7"),2,
AND(OR(H37&lt;&gt;"",I37&lt;&gt;""),F37="Mean of 3"),1,
F37="Mean of 3",AA37,
AND(OR(H37&lt;&gt;"",I37&lt;&gt;""),F37="Best of 3",C37="4x4 / 5x5 BLD"),2,
AND(OR(H37&lt;&gt;"",I37&lt;&gt;""),F37="Best of 3"),1,
F37="Best of 2",AA37,
F37="Best of 1",AA37)</f>
        <v/>
      </c>
      <c r="AA37" s="47" t="str">
        <f>IFS(OR(COUNTIF(Info!$A$22:A81,C37)&gt;0,C37=""),"",
AND(OR("3x3 MBLD"=C37,"3x3 FMC"=C37),F37="Best of 1"=TRUE),1,
AND(OR("3x3 MBLD"=C37,"3x3 FMC"=C37),F37="Best of 2"=TRUE),2,
AND(OR("3x3 MBLD"=C37,"3x3 FMC"=C37),OR(F37="Best of 3",F37="Mean of 3")=TRUE),3,
AND(F37="Mean of 3",C37="6x6 / 7x7"),6,
AND(F37="Best of 3",C37="4x4 / 5x5 BLD"),6,
F37="Avg of 5",5,F37="Mean of 3",3,F37="Best of 3",3,F37="Best of 2",2,F37="Best of 1",1)</f>
        <v/>
      </c>
      <c r="AB37" s="50"/>
    </row>
    <row r="38" ht="15.75" customHeight="1">
      <c r="A38" s="35">
        <f>IFERROR(__xludf.DUMMYFUNCTION("IFS(indirect(""A""&amp;row()-1)=""Start"",TIME(indirect(""A""&amp;row()-2),indirect(""B""&amp;row()-2),0),
$O$2=""No"",TIME(0,($A$6*60+$B$6)+CEILING(SUM($L$7:indirect(""L""&amp;row()-1)),5),0),
D38=$E$2,TIME(0,($A$6*60+$B$6)+CEILING(SUM(IFERROR(FILTER($L$7:indirect(""L"""&amp;"&amp;row()-1),REGEXMATCH($D$7:indirect(""D""&amp;row()-1),$E$2)),0)),5),0),
TRUE,""=time(hh;mm;ss)"")"),0.375)</f>
        <v>0.375</v>
      </c>
      <c r="B38" s="36">
        <f>IFERROR(__xludf.DUMMYFUNCTION("IFS($O$2=""No"",TIME(0,($A$6*60+$B$6)+CEILING(SUM($L$7:indirect(""L""&amp;row())),5),0),
D38=$E$2,TIME(0,($A$6*60+$B$6)+CEILING(SUM(FILTER($L$7:indirect(""L""&amp;row()),REGEXMATCH($D$7:indirect(""D""&amp;row()),$E$2))),5),0),
A38=""=time(hh;mm;ss)"",CONCATENATE(""Sk"&amp;"riv tid i A""&amp;row()),
AND(A38&lt;&gt;"""",A38&lt;&gt;""=time(hh;mm;ss)""),A38+TIME(0,CEILING(indirect(""L""&amp;row()),5),0))"),0.375)</f>
        <v>0.375</v>
      </c>
      <c r="C38" s="37"/>
      <c r="D38" s="38" t="str">
        <f t="shared" si="3"/>
        <v>Stora salen</v>
      </c>
      <c r="E38" s="38" t="str">
        <f>IFERROR(__xludf.DUMMYFUNCTION("IFS(COUNTIF(Info!$A$22:A81,C38)&gt;0,"""",
AND(OR(""3x3 FMC""=C38,""3x3 MBLD""=C38),COUNTIF($C$7:indirect(""C""&amp;row()),indirect(""C""&amp;row()))&gt;=13),""E - Error"",
AND(OR(""3x3 FMC""=C38,""3x3 MBLD""=C38),COUNTIF($C$7:indirect(""C""&amp;row()),indirect(""C""&amp;row()"&amp;"))=12),""Final - A3"",
AND(OR(""3x3 FMC""=C38,""3x3 MBLD""=C38),COUNTIF($C$7:indirect(""C""&amp;row()),indirect(""C""&amp;row()))=11),""Final - A2"",
AND(OR(""3x3 FMC""=C38,""3x3 MBLD""=C38),COUNTIF($C$7:indirect(""C""&amp;row()),indirect(""C""&amp;row()))=10),""Final - "&amp;"A1"",
AND(OR(""3x3 FMC""=C38,""3x3 MBLD""=C38),COUNTIF($C$7:indirect(""C""&amp;row()),indirect(""C""&amp;row()))=9,
COUNTIF($C$7:$C$102,indirect(""C""&amp;row()))&gt;9),""R3 - A3"",
AND(OR(""3x3 FMC""=C38,""3x3 MBLD""=C38),COUNTIF($C$7:indirect(""C""&amp;row()),indirect(""C"&amp;"""&amp;row()))=9,
COUNTIF($C$7:$C$102,indirect(""C""&amp;row()))&lt;=9),""Final - A3"",
AND(OR(""3x3 FMC""=C38,""3x3 MBLD""=C38),COUNTIF($C$7:indirect(""C""&amp;row()),indirect(""C""&amp;row()))=8,
COUNTIF($C$7:$C$102,indirect(""C""&amp;row()))&gt;9),""R3 - A2"",
AND(OR(""3x3 FMC"&amp;"""=C38,""3x3 MBLD""=C38),COUNTIF($C$7:indirect(""C""&amp;row()),indirect(""C""&amp;row()))=8,
COUNTIF($C$7:$C$102,indirect(""C""&amp;row()))&lt;=9),""Final - A2"",
AND(OR(""3x3 FMC""=C38,""3x3 MBLD""=C38),COUNTIF($C$7:indirect(""C""&amp;row()),indirect(""C""&amp;row()))=7,
COUN"&amp;"TIF($C$7:$C$102,indirect(""C""&amp;row()))&gt;9),""R3 - A1"",
AND(OR(""3x3 FMC""=C38,""3x3 MBLD""=C38),COUNTIF($C$7:indirect(""C""&amp;row()),indirect(""C""&amp;row()))=7,
COUNTIF($C$7:$C$102,indirect(""C""&amp;row()))&lt;=9),""Final - A1"",
AND(OR(""3x3 FMC""=C38,""3x3 MBLD"""&amp;"=C38),COUNTIF($C$7:indirect(""C""&amp;row()),indirect(""C""&amp;row()))=6,
COUNTIF($C$7:$C$102,indirect(""C""&amp;row()))&gt;6),""R2 - A3"",
AND(OR(""3x3 FMC""=C38,""3x3 MBLD""=C38),COUNTIF($C$7:indirect(""C""&amp;row()),indirect(""C""&amp;row()))=6,
COUNTIF($C$7:$C$102,indirec"&amp;"t(""C""&amp;row()))&lt;=6),""Final - A3"",
AND(OR(""3x3 FMC""=C38,""3x3 MBLD""=C38),COUNTIF($C$7:indirect(""C""&amp;row()),indirect(""C""&amp;row()))=5,
COUNTIF($C$7:$C$102,indirect(""C""&amp;row()))&gt;6),""R2 - A2"",
AND(OR(""3x3 FMC""=C38,""3x3 MBLD""=C38),COUNTIF($C$7:indi"&amp;"rect(""C""&amp;row()),indirect(""C""&amp;row()))=5,
COUNTIF($C$7:$C$102,indirect(""C""&amp;row()))&lt;=6),""Final - A2"",
AND(OR(""3x3 FMC""=C38,""3x3 MBLD""=C38),COUNTIF($C$7:indirect(""C""&amp;row()),indirect(""C""&amp;row()))=4,
COUNTIF($C$7:$C$102,indirect(""C""&amp;row()))&gt;6),"&amp;"""R2 - A1"",
AND(OR(""3x3 FMC""=C38,""3x3 MBLD""=C38),COUNTIF($C$7:indirect(""C""&amp;row()),indirect(""C""&amp;row()))=4,
COUNTIF($C$7:$C$102,indirect(""C""&amp;row()))&lt;=6),""Final - A1"",
AND(OR(""3x3 FMC""=C38,""3x3 MBLD""=C38),COUNTIF($C$7:indirect(""C""&amp;row()),i"&amp;"ndirect(""C""&amp;row()))=3),""R1 - A3"",
AND(OR(""3x3 FMC""=C38,""3x3 MBLD""=C38),COUNTIF($C$7:indirect(""C""&amp;row()),indirect(""C""&amp;row()))=2),""R1 - A2"",
AND(OR(""3x3 FMC""=C38,""3x3 MBLD""=C38),COUNTIF($C$7:indirect(""C""&amp;row()),indirect(""C""&amp;row()))=1),"&amp;"""R1 -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C38),ROUNDUP((FILTER(Info!$H$2:H81,Info!$A$2:A81=C38)/FILTER(Info!$H$2:H81,Info!$A$2:A81=$K$2))*$I$2)&gt;99),3,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C38),ROUNDUP((FILTER(Info!$H$2:H81,Info!$A$2:A81=C38)/FILTER(Info!$H$2:H81,Info!$A$2:A81=$K$2))*$I$2)&gt;15),2,
AND(COUNTIF($C$7:indirect(""C""&amp;row()),indirect(""C""&amp;row()))=2,COUNTIF($C$7:$C$102,indirect(""C""&amp;row()))=COUNTIF($"&amp;"C$7:indirect(""C""&amp;row()),indirect(""C""&amp;row()))),""Final"",
COUNTIF($C$7:indirect(""C""&amp;row()),indirect(""C""&amp;row()))=1,1,
COUNTIF($C$7:indirect(""C""&amp;row()),indirect(""C""&amp;row()))=0,"""")"),"")</f>
        <v/>
      </c>
      <c r="F38" s="39" t="str">
        <f>IFERROR(__xludf.DUMMYFUNCTION("IFS(C38="""","""",
AND(C38=""3x3 FMC"",MOD(COUNTIF($C$7:indirect(""C""&amp;row()),indirect(""C""&amp;row())),3)=0),""Mean of 3"",
AND(C38=""3x3 MBLD"",MOD(COUNTIF($C$7:indirect(""C""&amp;row()),indirect(""C""&amp;row())),3)=0),""Best of 3"",
AND(C38=""3x3 FMC"",MOD(COUNT"&amp;"IF($C$7:indirect(""C""&amp;row()),indirect(""C""&amp;row())),3)=2,
COUNTIF($C$7:$C$102,indirect(""C""&amp;row()))&lt;=COUNTIF($C$7:indirect(""C""&amp;row()),indirect(""C""&amp;row()))),""Best of 2"",
AND(C38=""3x3 FMC"",MOD(COUNTIF($C$7:indirect(""C""&amp;row()),indirect(""C""&amp;row("&amp;"))),3)=2,
COUNTIF($C$7:$C$102,indirect(""C""&amp;row()))&gt;COUNTIF($C$7:indirect(""C""&amp;row()),indirect(""C""&amp;row()))),""Mean of 3"",
AND(C38=""3x3 MBLD"",MOD(COUNTIF($C$7:indirect(""C""&amp;row()),indirect(""C""&amp;row())),3)=2,
COUNTIF($C$7:$C$102,indirect(""C""&amp;row("&amp;")))&lt;=COUNTIF($C$7:indirect(""C""&amp;row()),indirect(""C""&amp;row()))),""Best of 2"",
AND(C38=""3x3 MBLD"",MOD(COUNTIF($C$7:indirect(""C""&amp;row()),indirect(""C""&amp;row())),3)=2,
COUNTIF($C$7:$C$102,indirect(""C""&amp;row()))&gt;COUNTIF($C$7:indirect(""C""&amp;row()),indirect("&amp;"""C""&amp;row()))),""Best of 3"",
AND(C38=""3x3 FMC"",MOD(COUNTIF($C$7:indirect(""C""&amp;row()),indirect(""C""&amp;row())),3)=1,
COUNTIF($C$7:$C$102,indirect(""C""&amp;row()))&lt;=COUNTIF($C$7:indirect(""C""&amp;row()),indirect(""C""&amp;row()))),""Best of 1"",
AND(C38=""3x3 FMC"""&amp;",MOD(COUNTIF($C$7:indirect(""C""&amp;row()),indirect(""C""&amp;row())),3)=1,
COUNTIF($C$7:$C$102,indirect(""C""&amp;row()))=COUNTIF($C$7:indirect(""C""&amp;row()),indirect(""C""&amp;row()))+1),""Best of 2"",
AND(C38=""3x3 FMC"",MOD(COUNTIF($C$7:indirect(""C""&amp;row()),indirect"&amp;"(""C""&amp;row())),3)=1,
COUNTIF($C$7:$C$102,indirect(""C""&amp;row()))&gt;COUNTIF($C$7:indirect(""C""&amp;row()),indirect(""C""&amp;row()))),""Mean of 3"",
AND(C38=""3x3 MBLD"",MOD(COUNTIF($C$7:indirect(""C""&amp;row()),indirect(""C""&amp;row())),3)=1,
COUNTIF($C$7:$C$102,indirect"&amp;"(""C""&amp;row()))&lt;=COUNTIF($C$7:indirect(""C""&amp;row()),indirect(""C""&amp;row()))),""Best of 1"",
AND(C38=""3x3 MBLD"",MOD(COUNTIF($C$7:indirect(""C""&amp;row()),indirect(""C""&amp;row())),3)=1,
COUNTIF($C$7:$C$102,indirect(""C""&amp;row()))=COUNTIF($C$7:indirect(""C""&amp;row()"&amp;"),indirect(""C""&amp;row()))+1),""Best of 2"",
AND(C38=""3x3 MBLD"",MOD(COUNTIF($C$7:indirect(""C""&amp;row()),indirect(""C""&amp;row())),3)=1,
COUNTIF($C$7:$C$102,indirect(""C""&amp;row()))&gt;COUNTIF($C$7:indirect(""C""&amp;row()),indirect(""C""&amp;row()))),""Best of 3"",
TRUE,("&amp;"IFERROR(FILTER(Info!$D$2:D81, Info!$A$2:A81 = C38), """")))"),"")</f>
        <v/>
      </c>
      <c r="G38" s="40" t="str">
        <f>IFERROR(__xludf.DUMMYFUNCTION("IFS(OR(COUNTIF(Info!$A$22:A81,C38)&gt;0,C38=""""),"""",
OR(""3x3 MBLD""=C38,""3x3 FMC""=C38),60,
AND(E38=1,FILTER(Info!$F$2:F81, Info!$A$2:A81 = C38) = ""No""),FILTER(Info!$P$2:P81, Info!$A$2:A81 = C38),
AND(E38=2,FILTER(Info!$F$2:F81, Info!$A$2:A81 = C38) ="&amp;" ""No""),FILTER(Info!$Q$2:Q81, Info!$A$2:A81 = C38),
AND(E38=3,FILTER(Info!$F$2:F81, Info!$A$2:A81 = C38) = ""No""),FILTER(Info!$R$2:R81, Info!$A$2:A81 = C38),
AND(E38=""Final"",FILTER(Info!$F$2:F81, Info!$A$2:A81 = C38) = ""No""),FILTER(Info!$S$2:S81, In"&amp;"fo!$A$2:A81 = C38),
FILTER(Info!$F$2:F81, Info!$A$2:A81 = C38) = ""Yes"","""")"),"")</f>
        <v/>
      </c>
      <c r="H38" s="40" t="str">
        <f>IFERROR(__xludf.DUMMYFUNCTION("IFS(OR(COUNTIF(Info!$A$22:A81,C38)&gt;0,C38=""""),"""",
OR(""3x3 MBLD""=C38,""3x3 FMC""=C38)=TRUE,"""",
FILTER(Info!$F$2:F81, Info!$A$2:A81 = C38) = ""Yes"",FILTER(Info!$O$2:O81, Info!$A$2:A81 = C38),
FILTER(Info!$F$2:F81, Info!$A$2:A81 = C38) = ""No"",IF(G3"&amp;"8="""",FILTER(Info!$O$2:O81, Info!$A$2:A81 = C38),""""))"),"")</f>
        <v/>
      </c>
      <c r="I38" s="40" t="str">
        <f>IFERROR(__xludf.DUMMYFUNCTION("IFS(OR(COUNTIF(Info!$A$22:A81,C38)&gt;0,C38="""",H38&lt;&gt;""""),"""",
AND(E38&lt;&gt;1,E38&lt;&gt;""R1 - A1"",E38&lt;&gt;""R1 - A2"",E38&lt;&gt;""R1 - A3""),"""",
FILTER(Info!$E$2:E81, Info!$A$2:A81 = C38) = ""Yes"",IF(H38="""",FILTER(Info!$L$2:L81, Info!$A$2:A81 = C38),""""),
FILTER(I"&amp;"nfo!$E$2:E81, Info!$A$2:A81 = C38) = ""No"","""")"),"")</f>
        <v/>
      </c>
      <c r="J38" s="40" t="str">
        <f>IFERROR(__xludf.DUMMYFUNCTION("IFS(OR(COUNTIF(Info!$A$22:A81,C38)&gt;0,C38="""",""3x3 MBLD""=C38,""3x3 FMC""=C38),"""",
AND(E38=1,FILTER(Info!$H$2:H81,Info!$A$2:A81 = C38)&lt;=FILTER(Info!$H$2:H81,Info!$A$2:A81=$K$2)),
ROUNDUP((FILTER(Info!$H$2:H81,Info!$A$2:A81 = C38)/FILTER(Info!$H$2:H81,I"&amp;"nfo!$A$2:A81=$K$2))*$I$2),
AND(E38=1,FILTER(Info!$H$2:H81,Info!$A$2:A81 = C38)&gt;FILTER(Info!$H$2:H81,Info!$A$2:A81=$K$2)),""K2 - Error"",
AND(E38=2,FILTER($J$7:indirect(""J""&amp;row()-1),$C$7:indirect(""C""&amp;row()-1)=C38)&lt;=7),""J - Error"",
E38=2,FLOOR(FILTER("&amp;"$J$7:indirect(""J""&amp;row()-1),$C$7:indirect(""C""&amp;row()-1)=C38)*Info!$T$32),
AND(E38=3,FILTER($J$7:indirect(""J""&amp;row()-1),$C$7:indirect(""C""&amp;row()-1)=C38)&lt;=15),""J - Error"",
E38=3,FLOOR(Info!$T$32*FLOOR(FILTER($J$7:indirect(""J""&amp;row()-1),$C$7:indirect("&amp;"""C""&amp;row()-1)=C38)*Info!$T$32)),
AND(E38=""Final"",COUNTIF($C$7:$C$102,C38)=2,FILTER($J$7:indirect(""J""&amp;row()-1),$C$7:indirect(""C""&amp;row()-1)=C38)&lt;=7),""J - Error"",
AND(E38=""Final"",COUNTIF($C$7:$C$102,C38)=2),
MIN(P38,FLOOR(FILTER($J$7:indirect(""J"""&amp;"&amp;row()-1),$C$7:indirect(""C""&amp;row()-1)=C38)*Info!$T$32)),
AND(E38=""Final"",COUNTIF($C$7:$C$102,C38)=3,FILTER($J$7:indirect(""J""&amp;row()-1),$C$7:indirect(""C""&amp;row()-1)=C38)&lt;=15),""J - Error"",
AND(E38=""Final"",COUNTIF($C$7:$C$102,C38)=3),
MIN(P38,FLOOR(I"&amp;"nfo!$T$32*FLOOR(FILTER($J$7:indirect(""J""&amp;row()-1),$C$7:indirect(""C""&amp;row()-1)=C38)*Info!$T$32))),
AND(E38=""Final"",COUNTIF($C$7:$C$102,C38)&gt;=4,FILTER($J$7:indirect(""J""&amp;row()-1),$C$7:indirect(""C""&amp;row()-1)=C38)&lt;=99),""J - Error"",
AND(E38=""Final"","&amp;"COUNTIF($C$7:$C$102,C38)&gt;=4),
MIN(P38,FLOOR(Info!$T$32*FLOOR(Info!$T$32*FLOOR(FILTER($J$7:indirect(""J""&amp;row()-1),$C$7:indirect(""C""&amp;row()-1)=C38)*Info!$T$32)))))"),"")</f>
        <v/>
      </c>
      <c r="K38" s="41" t="str">
        <f>IFERROR(__xludf.DUMMYFUNCTION("IFS(AND(indirect(""D""&amp;row()+2)&lt;&gt;$E$2,indirect(""D""&amp;row()+1)=""""),CONCATENATE(""Tom rad! Kopiera hela rad ""&amp;row()&amp;"" dit""),
AND(indirect(""D""&amp;row()-1)&lt;&gt;""Rum"",indirect(""D""&amp;row()-1)=""""),CONCATENATE(""Tom rad! Kopiera hela rad ""&amp;row()&amp;"" dit""),
"&amp;"C38="""","""",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OR(AND(D38&lt;&gt;$E$2,D38&lt;&gt;$E$4,D38&lt;&gt;$K$4,D38&lt;&gt;$Q$4),D38="&amp;"""""),CONCATENATE(""Rum: ""&amp;D38&amp;"" finns ej, byt i D""&amp;row()),
AND(indirect(""D""&amp;row()-1)=""Rum"",C38=""""),CONCATENATE(""För att börja: skriv i cell C""&amp;row()),
AND(C38=""Paus"",M38&lt;=0),CONCATENATE(""Skriv pausens längd i M""&amp;row()),
OR(COUNTIF(Info!$A$"&amp;"22:A81,C38)&gt;0,C38=""""),"""",
AND(D38&lt;&gt;$E$2,$O$2=""Yes"",A38=""=time(hh;mm;ss)""),CONCATENATE(""Skriv starttid för ""&amp;C38&amp;"" i A""&amp;row()),
E38=""E - Error"",CONCATENATE(""För många ""&amp;C38&amp;"" rundor!""),
AND(C38&lt;&gt;""3x3 FMC"",C38&lt;&gt;""3x3 MBLD"",E38&lt;&gt;1,E38&lt;&gt;"&amp;"""Final"",IFERROR(FILTER($E$7:indirect(""E""&amp;row()-1),
$E$7:indirect(""E""&amp;row()-1)=E38-1,$C$7:indirect(""C""&amp;row()-1)=C38))=FALSE),CONCATENATE(""Kan ej vara R""&amp;E38&amp;"", saknar R""&amp;(E38-1)),
AND(indirect(""E""&amp;row()-1)&lt;&gt;""Omgång"",IFERROR(FILTER($E$7:indi"&amp;"rect(""E""&amp;row()-1),
$E$7:indirect(""E""&amp;row()-1)=E38,$C$7:indirect(""C""&amp;row()-1)=C38)=E38)=TRUE),CONCATENATE(""Runda ""&amp;E38&amp;"" i ""&amp;C38&amp;"" finns redan""),
AND(C38&lt;&gt;""3x3 BLD"",C38&lt;&gt;""4x4 BLD"",C38&lt;&gt;""5x5 BLD"",C38&lt;&gt;""4x4 / 5x5 BLD"",OR(E38=2,E38=3,E38="&amp;"""Final""),H38&lt;&gt;""""),CONCATENATE(E38&amp;""-rundor brukar ej ha c.t.l.""),
AND(OR(E38=2,E38=3,E38=""Final""),I38&lt;&gt;""""),CONCATENATE(E38&amp;""-rundor brukar ej ha cutoff""),
AND(OR(C38=""3x3 FMC"",C38=""3x3 MBLD""),OR(E38=1,E38=2,E38=3,E38=""Final"")),CONCATENAT"&amp;"E(C38&amp;""s omgång är Rx - Ax""),
AND(C38&lt;&gt;""3x3 MBLD"",C38&lt;&gt;""3x3 FMC"",FILTER(Info!$D$2:D81, Info!$A$2:A81 = C38)&lt;&gt;F38),CONCATENATE(C38&amp;"" måste ha formatet ""&amp;FILTER(Info!$D$2:D81, Info!$A$2:A81 = C38)),
AND(C38=""3x3 MBLD"",OR(F38=""Avg of 5"",F38=""Mea"&amp;"n of 3"")),CONCATENATE(""Ogiltigt format för ""&amp;C38),
AND(C38=""3x3 FMC"",OR(F38=""Avg of 5"",F38=""Best of 3"")),CONCATENATE(""Ogiltigt format för ""&amp;C38),
AND(OR(F38=""Best of 1"",F38=""Best of 2"",F38=""Best of 3""),I38&lt;&gt;""""),CONCATENATE(F38&amp;""-rundor"&amp;" får ej ha cutoff""),
AND(OR(C38=""3x3 FMC"",C38=""3x3 MBLD""),G38&lt;&gt;60),CONCATENATE(C38&amp;"" måste ha time limit: 60""),
AND(OR(C38=""3x3 FMC"",C38=""3x3 MBLD""),H38&lt;&gt;""""),CONCATENATE(C38&amp;"" kan inte ha c.t.l.""),
AND(G38&lt;&gt;"""",H38&lt;&gt;""""),""Välj time limit"&amp;" ELLER c.t.l"",
AND(C38=""6x6 / 7x7"",G38="""",H38=""""),""Sätt time limit (x / y) eller c.t.l (z)"",
AND(G38="""",H38=""""),""Sätt en time limit eller c.t.l"",
AND(OR(C38=""6x6 / 7x7"",C38=""4x4 / 5x5 BLD""),G38&lt;&gt;"""",REGEXMATCH(TO_TEXT(G38),"" / "")=FAL"&amp;"SE),CONCATENATE(""Time limit måste vara x / y""),
AND(H38&lt;&gt;"""",I38&lt;&gt;""""),CONCATENATE(C38&amp;"" brukar ej ha cutoff OCH c.t.l""),
AND(E38=1,H38="""",I38="""",OR(FILTER(Info!$E$2:E81, Info!$A$2:A81 = C38) = ""Yes"",FILTER(Info!$F$2:F81, Info!$A$2:A81 = C38) "&amp;"= ""Yes""),OR(F38=""Avg of 5"",F38=""Mean of 3"")),CONCATENATE(C38&amp;"" bör ha cutoff eller c.t.l""),
AND(C38=""6x6 / 7x7"",I38&lt;&gt;"""",REGEXMATCH(TO_TEXT(I38),"" / "")=FALSE),CONCATENATE(""Cutoff måste vara x / y""),
AND(H38&lt;&gt;"""",ISNUMBER(H38)=FALSE),""C.t."&amp;"l. måste vara positivt tal (x)"",
AND(C38&lt;&gt;""6x6 / 7x7"",I38&lt;&gt;"""",ISNUMBER(I38)=FALSE),""Cutoff måste vara positivt tal (x)"",
AND(H38&lt;&gt;"""",FILTER(Info!$E$2:E81, Info!$A$2:A81 = C38) = ""No"",FILTER(Info!$F$2:F81, Info!$A$2:A81 = C38) = ""No""),CONCATEN"&amp;"ATE(C38&amp;"" brukar inte ha c.t.l.""),
AND(I38&lt;&gt;"""",FILTER(Info!$E$2:E81, Info!$A$2:A81 = C38) = ""No"",FILTER(Info!$F$2:F81, Info!$A$2:A81 = C38) = ""No""),CONCATENATE(C38&amp;"" brukar inte ha cutoff""),
AND(H38="""",FILTER(Info!$F$2:F81, Info!$A$2:A81 = C38"&amp;") = ""Yes""),CONCATENATE(C38&amp;"" brukar ha c.t.l.""),
AND(C38&lt;&gt;""6x6 / 7x7"",C38&lt;&gt;""4x4 / 5x5 BLD"",G38&lt;&gt;"""",ISNUMBER(G38)=FALSE),""Time limit måste vara positivt tal (x)"",
J38=""J - Error"",CONCATENATE(""För få deltagare i R1 för ""&amp;COUNTIF($C$7:$C$102,"&amp;"indirect(""C""&amp;row()))&amp;"" rundor""),
J38=""K2 - Error"",CONCATENATE(C38&amp;"" är mer populär - byt i K2!""),
AND(C38&lt;&gt;""6x6 / 7x7"",C38&lt;&gt;""4x4 / 5x5 BLD"",G38&lt;&gt;"""",I38&lt;&gt;"""",G38&lt;=I38),""Time limit måste vara &gt; cutoff"",
AND(C38&lt;&gt;""6x6 / 7x7"",C38&lt;&gt;""4x4 / 5"&amp;"x5 BLD"",H38&lt;&gt;"""",I38&lt;&gt;"""",H38&lt;=I38),""C.t.l. måste vara &gt; cutoff"",
AND(C38&lt;&gt;""3x3 FMC"",C38&lt;&gt;""3x3 MBLD"",J38=""""),CONCATENATE(""Fyll i antal deltagare i J""&amp;row()),
AND(C38="""",OR(E38&lt;&gt;"""",F38&lt;&gt;"""",G38&lt;&gt;"""",H38&lt;&gt;"""",I38&lt;&gt;"""",J38&lt;&gt;"""")),""Skri"&amp;"v ALLTID gren / aktivitet först"",
AND(I38="""",H38="""",J38&lt;&gt;""""),J38,
OR(""3x3 FMC""=C38,""3x3 MBLD""=C38),J38,
AND(I38&lt;&gt;"""",""6x6 / 7x7""=C38),
IFS(ArrayFormula(SUM(IFERROR(SPLIT(I38,"" / ""))))&lt;(Info!$J$6+Info!$J$7)*2/3,CONCATENATE(""Höj helst cutof"&amp;"fs i ""&amp;C38),
ArrayFormula(SUM(IFERROR(SPLIT(I38,"" / ""))))&lt;=(Info!$J$6+Info!$J$7),ROUNDUP(J38*Info!$J$22),
ArrayFormula(SUM(IFERROR(SPLIT(I38,"" / ""))))&lt;=Info!$J$6+Info!$J$7,ROUNDUP(J38*Info!$K$22),
ArrayFormula(SUM(IFERROR(SPLIT(I38,"" / ""))))&lt;=Info!"&amp;"$K$6+Info!$K$7,ROUNDUP(J38*Info!L$22),
ArrayFormula(SUM(IFERROR(SPLIT(I38,"" / ""))))&lt;=Info!$L$6+Info!$L$7,ROUNDUP(J38*Info!$M$22),
ArrayFormula(SUM(IFERROR(SPLIT(I38,"" / ""))))&lt;=Info!$M$6+Info!$M$7,ROUNDUP(J38*Info!$N$22),
ArrayFormula(SUM(IFERROR(SPLIT"&amp;"(I38,"" / ""))))&lt;=(Info!$N$6+Info!$N$7)*3/2,ROUNDUP(J38*Info!$J$26),
ArrayFormula(SUM(IFERROR(SPLIT(I38,"" / ""))))&gt;(Info!$N$6+Info!$N$7)*3/2,CONCATENATE(""Sänk helst cutoffs i ""&amp;C38)),
AND(I38&lt;&gt;"""",FILTER(Info!$E$2:E81, Info!$A$2:A81 = C38) = ""Yes""),"&amp;"
IFS(I38&lt;FILTER(Info!$J$2:J81, Info!$A$2:A81 = C38)*2/3,CONCATENATE(""Höj helst cutoff i ""&amp;C38),
I38&lt;=FILTER(Info!$J$2:J81, Info!$A$2:A81 = C38),ROUNDUP(J38*Info!$J$22),
I38&lt;=FILTER(Info!$K$2:K81, Info!$A$2:A81 = C38),ROUNDUP(J38*Info!$K$22),
I38&lt;=FILTER"&amp;"(Info!$L$2:L81, Info!$A$2:A81 = C38),ROUNDUP(J38*Info!L$22),
I38&lt;=FILTER(Info!$M$2:M81, Info!$A$2:A81 = C38),ROUNDUP(J38*Info!$M$22),
I38&lt;=FILTER(Info!$N$2:N81, Info!$A$2:A81 = C38),ROUNDUP(J38*Info!$N$22),
I38&lt;=FILTER(Info!$N$2:N81, Info!$A$2:A81 = C38)*"&amp;"3/2,ROUNDUP(J38*Info!$J$26),
I38&gt;FILTER(Info!$N$2:N81, Info!$A$2:A81 = C38)*3/2,CONCATENATE(""Sänk helst cutoff i ""&amp;C38)),
AND(H38&lt;&gt;"""",""6x6 / 7x7""=C38),
IFS(H38/3&lt;=(Info!$J$6+Info!$J$7)*2/3,""Höj helst cumulative time limit"",
H38/3&lt;=Info!$J$6+Info!$"&amp;"J$7,ROUNDUP(J38*Info!$J$24),
H38/3&lt;=Info!$K$6+Info!$K$7,ROUNDUP(J38*Info!$K$24),
H38/3&lt;=Info!$L$6+Info!$L$7,ROUNDUP(J38*Info!L$24),
H38/3&lt;=Info!$M$6+Info!$M$7,ROUNDUP(J38*Info!$M$24),
H38/3&lt;=Info!$N$6+Info!$N$7,ROUNDUP(J38*Info!$N$24),
H38/3&lt;=(Info!$N$6+I"&amp;"nfo!$N$7)*3/2,ROUNDUP(J38*Info!$L$26),
H38/3&gt;(Info!$J$6+Info!$J$7)*3/2,""Sänk helst cumulative time limit""),
AND(H38&lt;&gt;"""",FILTER(Info!$F$2:F81, Info!$A$2:A81 = C38) = ""Yes""),
IFS(H38&lt;=FILTER(Info!$J$2:J81, Info!$A$2:A81 = C38)*2/3,CONCATENATE(""Höj he"&amp;"lst c.t.l. i ""&amp;C38),
H38&lt;=FILTER(Info!$J$2:J81, Info!$A$2:A81 = C38),ROUNDUP(J38*Info!$J$24),
H38&lt;=FILTER(Info!$K$2:K81, Info!$A$2:A81 = C38),ROUNDUP(J38*Info!$K$24),
H38&lt;=FILTER(Info!$L$2:L81, Info!$A$2:A81 = C38),ROUNDUP(J38*Info!L$24),
H38&lt;=FILTER(Inf"&amp;"o!$M$2:M81, Info!$A$2:A81 = C38),ROUNDUP(J38*Info!$M$24),
H38&lt;=FILTER(Info!$N$2:N81, Info!$A$2:A81 = C38),ROUNDUP(J38*Info!$N$24),
H38&lt;=FILTER(Info!$N$2:N81, Info!$A$2:A81 = C38)*3/2,ROUNDUP(J38*Info!$L$26),
H38&gt;FILTER(Info!$N$2:N81, Info!$A$2:A81 = C38)*"&amp;"3/2,CONCATENATE(""Sänk helst c.t.l. i ""&amp;C38)),
AND(H38&lt;&gt;"""",FILTER(Info!$F$2:F81, Info!$A$2:A81 = C38) = ""No""),
IFS(H38/AA38&lt;=FILTER(Info!$J$2:J81, Info!$A$2:A81 = C38)*2/3,CONCATENATE(""Höj helst c.t.l. i ""&amp;C38),
H38/AA38&lt;=FILTER(Info!$J$2:J81, Info"&amp;"!$A$2:A81 = C38),ROUNDUP(J38*Info!$J$24),
H38/AA38&lt;=FILTER(Info!$K$2:K81, Info!$A$2:A81 = C38),ROUNDUP(J38*Info!$K$24),
H38/AA38&lt;=FILTER(Info!$L$2:L81, Info!$A$2:A81 = C38),ROUNDUP(J38*Info!L$24),
H38/AA38&lt;=FILTER(Info!$M$2:M81, Info!$A$2:A81 = C38),ROUND"&amp;"UP(J38*Info!$M$24),
H38/AA38&lt;=FILTER(Info!$N$2:N81, Info!$A$2:A81 = C38),ROUNDUP(J38*Info!$N$24),
H38/AA38&lt;=FILTER(Info!$N$2:N81, Info!$A$2:A81 = C38)*3/2,ROUNDUP(J38*Info!$L$26),
H38/AA38&gt;FILTER(Info!$N$2:N81, Info!$A$2:A81 = C38)*3/2,CONCATENATE(""Sänk "&amp;"helst c.t.l. i ""&amp;C38)),
AND(I38="""",H38&lt;&gt;"""",J38&lt;&gt;""""),ROUNDUP(J38*Info!$T$29),
AND(I38&lt;&gt;"""",H38="""",J38&lt;&gt;""""),ROUNDUP(J38*Info!$T$26))"),"")</f>
        <v/>
      </c>
      <c r="L38" s="42">
        <f>IFERROR(__xludf.DUMMYFUNCTION("IFS(C38="""",0,
C38=""3x3 FMC"",Info!$B$9*N38+M38, C38=""3x3 MBLD"",Info!$B$18*N38+M38,
COUNTIF(Info!$A$22:A81,C38)&gt;0,FILTER(Info!$B$22:B81,Info!$A$22:A81=C38)+M38,
AND(C38&lt;&gt;"""",E38=""""),CONCATENATE(""Fyll i E""&amp;row()),
AND(C38&lt;&gt;"""",E38&lt;&gt;"""",E38&lt;&gt;1,E3"&amp;"8&lt;&gt;2,E38&lt;&gt;3,E38&lt;&gt;""Final""),CONCATENATE(""Fel format på E""&amp;row()),
K38=CONCATENATE(""Runda ""&amp;E38&amp;"" i ""&amp;C38&amp;"" finns redan""),CONCATENATE(""Fel i E""&amp;row()),
AND(C38&lt;&gt;"""",F38=""""),CONCATENATE(""Fyll i F""&amp;row()),
K38=CONCATENATE(C38&amp;"" måste ha forma"&amp;"tet ""&amp;FILTER(Info!$D$2:D81, Info!$A$2:A81 = C38)),CONCATENATE(""Fel format på F""&amp;row()),
AND(C38&lt;&gt;"""",D38=1,H38="""",FILTER(Info!$F$2:F81, Info!$A$2:A81 = C38) = ""Yes""),CONCATENATE(""Fyll i H""&amp;row()),
AND(C38&lt;&gt;"""",D38=1,I38="""",FILTER(Info!$E$2:E8"&amp;"1, Info!$A$2:A81 = C38) = ""Yes""),CONCATENATE(""Fyll i I""&amp;row()),
AND(C38&lt;&gt;"""",J38=""""),CONCATENATE(""Fyll i J""&amp;row()),
AND(C38&lt;&gt;"""",K38="""",OR(H38&lt;&gt;"""",I38&lt;&gt;"""")),CONCATENATE(""Fyll i K""&amp;row()),
AND(C38&lt;&gt;"""",K38=""""),CONCATENATE(""Skriv samma"&amp;" i K""&amp;row()&amp;"" som i J""&amp;row()),
AND(OR(C38=""4x4 BLD"",C38=""5x5 BLD"",C38=""4x4 / 5x5 BLD"")=TRUE,V38&lt;=P38),
MROUND(H38*(Info!$T$20-((Info!$T$20-1)/2)*(1-V38/P38))*(1+((J38/K38)-1)*(1-Info!$J$24))*N38+(Info!$T$11/2)+(N38*Info!$T$11)+(N38*Info!$T$14*(O3"&amp;"8-1)),0.01)+M38,
AND(OR(C38=""4x4 BLD"",C38=""5x5 BLD"",C38=""4x4 / 5x5 BLD"")=TRUE,V38&gt;P38),
MROUND((((J38*Z38+K38*(AA38-Z38))*(H38*Info!$T$20/AA38))/X38)*(1+((J38/K38)-1)*(1-Info!$J$24))*(1+(X38-Info!$T$8)/100)+(Info!$T$11/2)+(N38*Info!$T$11)+(N38*Info!"&amp;"$T$14*(O38-1)),0.01)+M38,
AND(C38=""3x3 BLD"",V38&lt;=P38),
MROUND(H38*(Info!$T$23-((Info!$T$23-1)/2)*(1-V38/P38))*(1+((J38/K38)-1)*(1-Info!$J$24))*N38+(Info!$T$11/2)+(N38*Info!$T$11)+(N38*Info!$T$14*(O38-1)),0.01)+M38,
AND(C38=""3x3 BLD"",V38&gt;P38),
MROUND(("&amp;"((J38*Z38+K38*(AA38-Z38))*(H38*Info!$T$23/AA38))/X38)*(1+((J38/K38)-1)*(1-Info!$J$24))*(1+(X38-Info!$T$8)/100)+(Info!$T$11/2)+(N38*Info!$T$11)+(N38*Info!$T$14*(O38-1)),0.01)+M38,
E38=1,MROUND((((J38*Z38+K38*(AA38-Z38))*Y38)/X38)*(1+(X38-Info!$T$8)/100)+(N"&amp;"38*Info!$T$11)+(N38*Info!$T$14*(O38-1)),0.01)+M38,
AND(E38=""Final"",N38=1,FILTER(Info!$G$2:$G$20,Info!$A$2:$A$20=C38)=""Mycket svår""),
MROUND((((J38*Z38+K38*(AA38-Z38))*(Y38*Info!$T$38))/X38)*(1+(X38-Info!$T$8)/100)+(N38*Info!$T$11)+(N38*Info!$T$14*(O38"&amp;"-1)),0.01)+M38,
AND(E38=""Final"",N38=1,FILTER(Info!$G$2:$G$20,Info!$A$2:$A$20=C38)=""Svår""),
MROUND((((J38*Z38+K38*(AA38-Z38))*(Y38*Info!$T$35))/X38)*(1+(X38-Info!$T$8)/100)+(N38*Info!$T$11)+(N38*Info!$T$14*(O38-1)),0.01)+M38,
E38=""Final"",MROUND((((J3"&amp;"8*Z38+K38*(AA38-Z38))*(Y38*Info!$T$5))/X38)*(1+(X38-Info!$T$8)/100)+(N38*Info!$T$11)+(N38*Info!$T$14*(O38-1)),0.01)+M38,
OR(E38=2,E38=3),MROUND((((J38*Z38+K38*(AA38-Z38))*(Y38*Info!$T$2))/X38)*(1+(X38-Info!$T$8)/100)+(N38*Info!$T$11)+(N38*Info!$T$14*(O38-"&amp;"1)),0.01)+M38)"),0.0)</f>
        <v>0</v>
      </c>
      <c r="M38" s="43">
        <f t="shared" si="4"/>
        <v>0</v>
      </c>
      <c r="N38" s="43" t="str">
        <f>IFS(OR(COUNTIF(Info!$A$22:A81,C38)&gt;0,C38=""),"",
OR(C38="4x4 BLD",C38="5x5 BLD",C38="3x3 MBLD",C38="3x3 FMC",C38="4x4 / 5x5 BLD"),1,
AND(E38="Final",Q38="Yes",MAX(1,ROUNDUP(J38/P38))&gt;1),MAX(2,ROUNDUP(J38/P38)),
AND(E38="Final",Q38="No",MAX(1,ROUNDUP(J38/((P38*2)+2.625-Y38*1.5)))&gt;1),MAX(2,ROUNDUP(J38/((P38*2)+2.625-Y38*1.5))),
E38="Final",1,
Q38="Yes",MAX(2,ROUNDUP(J38/P38)),
TRUE,MAX(2,ROUNDUP(J38/((P38*2)+2.625-Y38*1.5))))</f>
        <v/>
      </c>
      <c r="O38" s="43" t="str">
        <f>IFS(OR(COUNTIF(Info!$A$22:A81,C38)&gt;0,C38=""),"",
OR("3x3 MBLD"=C38,"3x3 FMC"=C38)=TRUE,"",
D38=$E$4,$G$6,D38=$K$4,$M$6,D38=$Q$4,$S$6,D38=$W$4,$Y$6,
TRUE,$S$2)</f>
        <v/>
      </c>
      <c r="P38" s="43" t="str">
        <f>IFS(OR(COUNTIF(Info!$A$22:A81,C38)&gt;0,C38=""),"",
OR("3x3 MBLD"=C38,"3x3 FMC"=C38)=TRUE,"",
D38=$E$4,$E$6,D38=$K$4,$K$6,D38=$Q$4,$Q$6,D38=$W$4,$W$6,
TRUE,$Q$2)</f>
        <v/>
      </c>
      <c r="Q38" s="44" t="str">
        <f>IFS(OR(COUNTIF(Info!$A$22:A81,C38)&gt;0,C38=""),"",
OR("3x3 MBLD"=C38,"3x3 FMC"=C38)=TRUE,"",
D38=$E$4,$I$6,D38=$K$4,$O$6,D38=$Q$4,$U$6,D38=$W$4,$AA$6,
TRUE,$U$2)</f>
        <v/>
      </c>
      <c r="R38" s="45" t="str">
        <f>IFERROR(__xludf.DUMMYFUNCTION("IF(C38="""","""",IFERROR(FILTER(Info!$B$22:B81,Info!$A$22:A81=C38)+M38,""?""))"),"")</f>
        <v/>
      </c>
      <c r="S38" s="46" t="str">
        <f>IFS(OR(COUNTIF(Info!$A$22:A81,C38)&gt;0,C38=""),"",
AND(H38="",I38=""),J38,
TRUE,"?")</f>
        <v/>
      </c>
      <c r="T38" s="45" t="str">
        <f>IFS(OR(COUNTIF(Info!$A$22:A81,C38)&gt;0,C38=""),"",
AND(L38&lt;&gt;0,OR(R38="?",R38="")),"Fyll i R-kolumnen",
OR(C38="3x3 FMC",C38="3x3 MBLD"),R38,
AND(L38&lt;&gt;0,OR(S38="?",S38="")),"Fyll i S-kolumnen",
OR(COUNTIF(Info!$A$22:A81,C38)&gt;0,C38=""),"",
TRUE,Y38*R38/L38)</f>
        <v/>
      </c>
      <c r="U38" s="45"/>
      <c r="V38" s="47" t="str">
        <f>IFS(OR(COUNTIF(Info!$A$22:A81,C38)&gt;0,C38=""),"",
OR("3x3 MBLD"=C38,"3x3 FMC"=C38)=TRUE,"",
TRUE,MROUND((J38/N38),0.01))</f>
        <v/>
      </c>
      <c r="W38" s="48" t="str">
        <f>IFS(OR(COUNTIF(Info!$A$22:A81,C38)&gt;0,C38=""),"",
TRUE,L38/N38)</f>
        <v/>
      </c>
      <c r="X38" s="49" t="str">
        <f>IFS(OR(COUNTIF(Info!$A$22:A81,C38)&gt;0,C38=""),"",
OR("3x3 MBLD"=C38,"3x3 FMC"=C38)=TRUE,"",
OR(C38="4x4 BLD",C38="5x5 BLD",C38="4x4 / 5x5 BLD",AND(C38="3x3 BLD",H38&lt;&gt;""))=TRUE,MIN(V38,P38),
TRUE,MIN(P38,V38,MROUND(((V38*2/3)+((Y38-1.625)/2)),0.01)))</f>
        <v/>
      </c>
      <c r="Y38" s="48" t="str">
        <f>IFERROR(__xludf.DUMMYFUNCTION("IFS(OR(COUNTIF(Info!$A$22:A81,C38)&gt;0,C38=""""),"""",
FILTER(Info!$F$2:F81, Info!$A$2:A81 = C38) = ""Yes"",H38/AA38,
""3x3 FMC""=C38,Info!$B$9,""3x3 MBLD""=C38,Info!$B$18,
AND(E38=1,I38="""",H38="""",Q38=""No"",G38&gt;SUMIF(Info!$A$2:A81,C38,Info!$B$2:B81)*1."&amp;"5),
MIN(SUMIF(Info!$A$2:A81,C38,Info!$B$2:B81)*1.1,SUMIF(Info!$A$2:A81,C38,Info!$B$2:B81)*(1.15-(0.15*(SUMIF(Info!$A$2:A81,C38,Info!$B$2:B81)*1.5)/G38))),
AND(E38=1,I38="""",H38="""",Q38=""Yes"",G38&gt;SUMIF(Info!$A$2:A81,C38,Info!$C$2:C81)*1.5),
MIN(SUMIF(I"&amp;"nfo!$A$2:A81,C38,Info!$C$2:C81)*1.1,SUMIF(Info!$A$2:A81,C38,Info!$C$2:C81)*(1.15-(0.15*(SUMIF(Info!$A$2:A81,C38,Info!$C$2:C81)*1.5)/G38))),
Q38=""No"",SUMIF(Info!$A$2:A81,C38,Info!$B$2:B81),
Q38=""Yes"",SUMIF(Info!$A$2:A81,C38,Info!$C$2:C81))"),"")</f>
        <v/>
      </c>
      <c r="Z38" s="47" t="str">
        <f>IFS(OR(COUNTIF(Info!$A$22:A81,C38)&gt;0,C38=""),"",
AND(OR("3x3 FMC"=C38,"3x3 MBLD"=C38),I38&lt;&gt;""),1,
AND(OR(H38&lt;&gt;"",I38&lt;&gt;""),F38="Avg of 5"),2,
F38="Avg of 5",AA38,
AND(OR(H38&lt;&gt;"",I38&lt;&gt;""),F38="Mean of 3",C38="6x6 / 7x7"),2,
AND(OR(H38&lt;&gt;"",I38&lt;&gt;""),F38="Mean of 3"),1,
F38="Mean of 3",AA38,
AND(OR(H38&lt;&gt;"",I38&lt;&gt;""),F38="Best of 3",C38="4x4 / 5x5 BLD"),2,
AND(OR(H38&lt;&gt;"",I38&lt;&gt;""),F38="Best of 3"),1,
F38="Best of 2",AA38,
F38="Best of 1",AA38)</f>
        <v/>
      </c>
      <c r="AA38" s="47" t="str">
        <f>IFS(OR(COUNTIF(Info!$A$22:A81,C38)&gt;0,C38=""),"",
AND(OR("3x3 MBLD"=C38,"3x3 FMC"=C38),F38="Best of 1"=TRUE),1,
AND(OR("3x3 MBLD"=C38,"3x3 FMC"=C38),F38="Best of 2"=TRUE),2,
AND(OR("3x3 MBLD"=C38,"3x3 FMC"=C38),OR(F38="Best of 3",F38="Mean of 3")=TRUE),3,
AND(F38="Mean of 3",C38="6x6 / 7x7"),6,
AND(F38="Best of 3",C38="4x4 / 5x5 BLD"),6,
F38="Avg of 5",5,F38="Mean of 3",3,F38="Best of 3",3,F38="Best of 2",2,F38="Best of 1",1)</f>
        <v/>
      </c>
      <c r="AB38" s="50"/>
    </row>
    <row r="39" ht="15.75" customHeight="1">
      <c r="A39" s="35">
        <f>IFERROR(__xludf.DUMMYFUNCTION("IFS(indirect(""A""&amp;row()-1)=""Start"",TIME(indirect(""A""&amp;row()-2),indirect(""B""&amp;row()-2),0),
$O$2=""No"",TIME(0,($A$6*60+$B$6)+CEILING(SUM($L$7:indirect(""L""&amp;row()-1)),5),0),
D39=$E$2,TIME(0,($A$6*60+$B$6)+CEILING(SUM(IFERROR(FILTER($L$7:indirect(""L"""&amp;"&amp;row()-1),REGEXMATCH($D$7:indirect(""D""&amp;row()-1),$E$2)),0)),5),0),
TRUE,""=time(hh;mm;ss)"")"),0.375)</f>
        <v>0.375</v>
      </c>
      <c r="B39" s="36">
        <f>IFERROR(__xludf.DUMMYFUNCTION("IFS($O$2=""No"",TIME(0,($A$6*60+$B$6)+CEILING(SUM($L$7:indirect(""L""&amp;row())),5),0),
D39=$E$2,TIME(0,($A$6*60+$B$6)+CEILING(SUM(FILTER($L$7:indirect(""L""&amp;row()),REGEXMATCH($D$7:indirect(""D""&amp;row()),$E$2))),5),0),
A39=""=time(hh;mm;ss)"",CONCATENATE(""Sk"&amp;"riv tid i A""&amp;row()),
AND(A39&lt;&gt;"""",A39&lt;&gt;""=time(hh;mm;ss)""),A39+TIME(0,CEILING(indirect(""L""&amp;row()),5),0))"),0.375)</f>
        <v>0.375</v>
      </c>
      <c r="C39" s="37"/>
      <c r="D39" s="38" t="str">
        <f t="shared" si="3"/>
        <v>Stora salen</v>
      </c>
      <c r="E39" s="38" t="str">
        <f>IFERROR(__xludf.DUMMYFUNCTION("IFS(COUNTIF(Info!$A$22:A81,C39)&gt;0,"""",
AND(OR(""3x3 FMC""=C39,""3x3 MBLD""=C39),COUNTIF($C$7:indirect(""C""&amp;row()),indirect(""C""&amp;row()))&gt;=13),""E - Error"",
AND(OR(""3x3 FMC""=C39,""3x3 MBLD""=C39),COUNTIF($C$7:indirect(""C""&amp;row()),indirect(""C""&amp;row()"&amp;"))=12),""Final - A3"",
AND(OR(""3x3 FMC""=C39,""3x3 MBLD""=C39),COUNTIF($C$7:indirect(""C""&amp;row()),indirect(""C""&amp;row()))=11),""Final - A2"",
AND(OR(""3x3 FMC""=C39,""3x3 MBLD""=C39),COUNTIF($C$7:indirect(""C""&amp;row()),indirect(""C""&amp;row()))=10),""Final - "&amp;"A1"",
AND(OR(""3x3 FMC""=C39,""3x3 MBLD""=C39),COUNTIF($C$7:indirect(""C""&amp;row()),indirect(""C""&amp;row()))=9,
COUNTIF($C$7:$C$102,indirect(""C""&amp;row()))&gt;9),""R3 - A3"",
AND(OR(""3x3 FMC""=C39,""3x3 MBLD""=C39),COUNTIF($C$7:indirect(""C""&amp;row()),indirect(""C"&amp;"""&amp;row()))=9,
COUNTIF($C$7:$C$102,indirect(""C""&amp;row()))&lt;=9),""Final - A3"",
AND(OR(""3x3 FMC""=C39,""3x3 MBLD""=C39),COUNTIF($C$7:indirect(""C""&amp;row()),indirect(""C""&amp;row()))=8,
COUNTIF($C$7:$C$102,indirect(""C""&amp;row()))&gt;9),""R3 - A2"",
AND(OR(""3x3 FMC"&amp;"""=C39,""3x3 MBLD""=C39),COUNTIF($C$7:indirect(""C""&amp;row()),indirect(""C""&amp;row()))=8,
COUNTIF($C$7:$C$102,indirect(""C""&amp;row()))&lt;=9),""Final - A2"",
AND(OR(""3x3 FMC""=C39,""3x3 MBLD""=C39),COUNTIF($C$7:indirect(""C""&amp;row()),indirect(""C""&amp;row()))=7,
COUN"&amp;"TIF($C$7:$C$102,indirect(""C""&amp;row()))&gt;9),""R3 - A1"",
AND(OR(""3x3 FMC""=C39,""3x3 MBLD""=C39),COUNTIF($C$7:indirect(""C""&amp;row()),indirect(""C""&amp;row()))=7,
COUNTIF($C$7:$C$102,indirect(""C""&amp;row()))&lt;=9),""Final - A1"",
AND(OR(""3x3 FMC""=C39,""3x3 MBLD"""&amp;"=C39),COUNTIF($C$7:indirect(""C""&amp;row()),indirect(""C""&amp;row()))=6,
COUNTIF($C$7:$C$102,indirect(""C""&amp;row()))&gt;6),""R2 - A3"",
AND(OR(""3x3 FMC""=C39,""3x3 MBLD""=C39),COUNTIF($C$7:indirect(""C""&amp;row()),indirect(""C""&amp;row()))=6,
COUNTIF($C$7:$C$102,indirec"&amp;"t(""C""&amp;row()))&lt;=6),""Final - A3"",
AND(OR(""3x3 FMC""=C39,""3x3 MBLD""=C39),COUNTIF($C$7:indirect(""C""&amp;row()),indirect(""C""&amp;row()))=5,
COUNTIF($C$7:$C$102,indirect(""C""&amp;row()))&gt;6),""R2 - A2"",
AND(OR(""3x3 FMC""=C39,""3x3 MBLD""=C39),COUNTIF($C$7:indi"&amp;"rect(""C""&amp;row()),indirect(""C""&amp;row()))=5,
COUNTIF($C$7:$C$102,indirect(""C""&amp;row()))&lt;=6),""Final - A2"",
AND(OR(""3x3 FMC""=C39,""3x3 MBLD""=C39),COUNTIF($C$7:indirect(""C""&amp;row()),indirect(""C""&amp;row()))=4,
COUNTIF($C$7:$C$102,indirect(""C""&amp;row()))&gt;6),"&amp;"""R2 - A1"",
AND(OR(""3x3 FMC""=C39,""3x3 MBLD""=C39),COUNTIF($C$7:indirect(""C""&amp;row()),indirect(""C""&amp;row()))=4,
COUNTIF($C$7:$C$102,indirect(""C""&amp;row()))&lt;=6),""Final - A1"",
AND(OR(""3x3 FMC""=C39,""3x3 MBLD""=C39),COUNTIF($C$7:indirect(""C""&amp;row()),i"&amp;"ndirect(""C""&amp;row()))=3),""R1 - A3"",
AND(OR(""3x3 FMC""=C39,""3x3 MBLD""=C39),COUNTIF($C$7:indirect(""C""&amp;row()),indirect(""C""&amp;row()))=2),""R1 - A2"",
AND(OR(""3x3 FMC""=C39,""3x3 MBLD""=C39),COUNTIF($C$7:indirect(""C""&amp;row()),indirect(""C""&amp;row()))=1),"&amp;"""R1 -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C39),ROUNDUP((FILTER(Info!$H$2:H81,Info!$A$2:A81=C39)/FILTER(Info!$H$2:H81,Info!$A$2:A81=$K$2))*$I$2)&gt;99),3,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C39),ROUNDUP((FILTER(Info!$H$2:H81,Info!$A$2:A81=C39)/FILTER(Info!$H$2:H81,Info!$A$2:A81=$K$2))*$I$2)&gt;15),2,
AND(COUNTIF($C$7:indirect(""C""&amp;row()),indirect(""C""&amp;row()))=2,COUNTIF($C$7:$C$102,indirect(""C""&amp;row()))=COUNTIF($"&amp;"C$7:indirect(""C""&amp;row()),indirect(""C""&amp;row()))),""Final"",
COUNTIF($C$7:indirect(""C""&amp;row()),indirect(""C""&amp;row()))=1,1,
COUNTIF($C$7:indirect(""C""&amp;row()),indirect(""C""&amp;row()))=0,"""")"),"")</f>
        <v/>
      </c>
      <c r="F39" s="39" t="str">
        <f>IFERROR(__xludf.DUMMYFUNCTION("IFS(C39="""","""",
AND(C39=""3x3 FMC"",MOD(COUNTIF($C$7:indirect(""C""&amp;row()),indirect(""C""&amp;row())),3)=0),""Mean of 3"",
AND(C39=""3x3 MBLD"",MOD(COUNTIF($C$7:indirect(""C""&amp;row()),indirect(""C""&amp;row())),3)=0),""Best of 3"",
AND(C39=""3x3 FMC"",MOD(COUNT"&amp;"IF($C$7:indirect(""C""&amp;row()),indirect(""C""&amp;row())),3)=2,
COUNTIF($C$7:$C$102,indirect(""C""&amp;row()))&lt;=COUNTIF($C$7:indirect(""C""&amp;row()),indirect(""C""&amp;row()))),""Best of 2"",
AND(C39=""3x3 FMC"",MOD(COUNTIF($C$7:indirect(""C""&amp;row()),indirect(""C""&amp;row("&amp;"))),3)=2,
COUNTIF($C$7:$C$102,indirect(""C""&amp;row()))&gt;COUNTIF($C$7:indirect(""C""&amp;row()),indirect(""C""&amp;row()))),""Mean of 3"",
AND(C39=""3x3 MBLD"",MOD(COUNTIF($C$7:indirect(""C""&amp;row()),indirect(""C""&amp;row())),3)=2,
COUNTIF($C$7:$C$102,indirect(""C""&amp;row("&amp;")))&lt;=COUNTIF($C$7:indirect(""C""&amp;row()),indirect(""C""&amp;row()))),""Best of 2"",
AND(C39=""3x3 MBLD"",MOD(COUNTIF($C$7:indirect(""C""&amp;row()),indirect(""C""&amp;row())),3)=2,
COUNTIF($C$7:$C$102,indirect(""C""&amp;row()))&gt;COUNTIF($C$7:indirect(""C""&amp;row()),indirect("&amp;"""C""&amp;row()))),""Best of 3"",
AND(C39=""3x3 FMC"",MOD(COUNTIF($C$7:indirect(""C""&amp;row()),indirect(""C""&amp;row())),3)=1,
COUNTIF($C$7:$C$102,indirect(""C""&amp;row()))&lt;=COUNTIF($C$7:indirect(""C""&amp;row()),indirect(""C""&amp;row()))),""Best of 1"",
AND(C39=""3x3 FMC"""&amp;",MOD(COUNTIF($C$7:indirect(""C""&amp;row()),indirect(""C""&amp;row())),3)=1,
COUNTIF($C$7:$C$102,indirect(""C""&amp;row()))=COUNTIF($C$7:indirect(""C""&amp;row()),indirect(""C""&amp;row()))+1),""Best of 2"",
AND(C39=""3x3 FMC"",MOD(COUNTIF($C$7:indirect(""C""&amp;row()),indirect"&amp;"(""C""&amp;row())),3)=1,
COUNTIF($C$7:$C$102,indirect(""C""&amp;row()))&gt;COUNTIF($C$7:indirect(""C""&amp;row()),indirect(""C""&amp;row()))),""Mean of 3"",
AND(C39=""3x3 MBLD"",MOD(COUNTIF($C$7:indirect(""C""&amp;row()),indirect(""C""&amp;row())),3)=1,
COUNTIF($C$7:$C$102,indirect"&amp;"(""C""&amp;row()))&lt;=COUNTIF($C$7:indirect(""C""&amp;row()),indirect(""C""&amp;row()))),""Best of 1"",
AND(C39=""3x3 MBLD"",MOD(COUNTIF($C$7:indirect(""C""&amp;row()),indirect(""C""&amp;row())),3)=1,
COUNTIF($C$7:$C$102,indirect(""C""&amp;row()))=COUNTIF($C$7:indirect(""C""&amp;row()"&amp;"),indirect(""C""&amp;row()))+1),""Best of 2"",
AND(C39=""3x3 MBLD"",MOD(COUNTIF($C$7:indirect(""C""&amp;row()),indirect(""C""&amp;row())),3)=1,
COUNTIF($C$7:$C$102,indirect(""C""&amp;row()))&gt;COUNTIF($C$7:indirect(""C""&amp;row()),indirect(""C""&amp;row()))),""Best of 3"",
TRUE,("&amp;"IFERROR(FILTER(Info!$D$2:D81, Info!$A$2:A81 = C39), """")))"),"")</f>
        <v/>
      </c>
      <c r="G39" s="40" t="str">
        <f>IFERROR(__xludf.DUMMYFUNCTION("IFS(OR(COUNTIF(Info!$A$22:A81,C39)&gt;0,C39=""""),"""",
OR(""3x3 MBLD""=C39,""3x3 FMC""=C39),60,
AND(E39=1,FILTER(Info!$F$2:F81, Info!$A$2:A81 = C39) = ""No""),FILTER(Info!$P$2:P81, Info!$A$2:A81 = C39),
AND(E39=2,FILTER(Info!$F$2:F81, Info!$A$2:A81 = C39) ="&amp;" ""No""),FILTER(Info!$Q$2:Q81, Info!$A$2:A81 = C39),
AND(E39=3,FILTER(Info!$F$2:F81, Info!$A$2:A81 = C39) = ""No""),FILTER(Info!$R$2:R81, Info!$A$2:A81 = C39),
AND(E39=""Final"",FILTER(Info!$F$2:F81, Info!$A$2:A81 = C39) = ""No""),FILTER(Info!$S$2:S81, In"&amp;"fo!$A$2:A81 = C39),
FILTER(Info!$F$2:F81, Info!$A$2:A81 = C39) = ""Yes"","""")"),"")</f>
        <v/>
      </c>
      <c r="H39" s="40" t="str">
        <f>IFERROR(__xludf.DUMMYFUNCTION("IFS(OR(COUNTIF(Info!$A$22:A81,C39)&gt;0,C39=""""),"""",
OR(""3x3 MBLD""=C39,""3x3 FMC""=C39)=TRUE,"""",
FILTER(Info!$F$2:F81, Info!$A$2:A81 = C39) = ""Yes"",FILTER(Info!$O$2:O81, Info!$A$2:A81 = C39),
FILTER(Info!$F$2:F81, Info!$A$2:A81 = C39) = ""No"",IF(G3"&amp;"9="""",FILTER(Info!$O$2:O81, Info!$A$2:A81 = C39),""""))"),"")</f>
        <v/>
      </c>
      <c r="I39" s="40" t="str">
        <f>IFERROR(__xludf.DUMMYFUNCTION("IFS(OR(COUNTIF(Info!$A$22:A81,C39)&gt;0,C39="""",H39&lt;&gt;""""),"""",
AND(E39&lt;&gt;1,E39&lt;&gt;""R1 - A1"",E39&lt;&gt;""R1 - A2"",E39&lt;&gt;""R1 - A3""),"""",
FILTER(Info!$E$2:E81, Info!$A$2:A81 = C39) = ""Yes"",IF(H39="""",FILTER(Info!$L$2:L81, Info!$A$2:A81 = C39),""""),
FILTER(I"&amp;"nfo!$E$2:E81, Info!$A$2:A81 = C39) = ""No"","""")"),"")</f>
        <v/>
      </c>
      <c r="J39" s="40" t="str">
        <f>IFERROR(__xludf.DUMMYFUNCTION("IFS(OR(COUNTIF(Info!$A$22:A81,C39)&gt;0,C39="""",""3x3 MBLD""=C39,""3x3 FMC""=C39),"""",
AND(E39=1,FILTER(Info!$H$2:H81,Info!$A$2:A81 = C39)&lt;=FILTER(Info!$H$2:H81,Info!$A$2:A81=$K$2)),
ROUNDUP((FILTER(Info!$H$2:H81,Info!$A$2:A81 = C39)/FILTER(Info!$H$2:H81,I"&amp;"nfo!$A$2:A81=$K$2))*$I$2),
AND(E39=1,FILTER(Info!$H$2:H81,Info!$A$2:A81 = C39)&gt;FILTER(Info!$H$2:H81,Info!$A$2:A81=$K$2)),""K2 - Error"",
AND(E39=2,FILTER($J$7:indirect(""J""&amp;row()-1),$C$7:indirect(""C""&amp;row()-1)=C39)&lt;=7),""J - Error"",
E39=2,FLOOR(FILTER("&amp;"$J$7:indirect(""J""&amp;row()-1),$C$7:indirect(""C""&amp;row()-1)=C39)*Info!$T$32),
AND(E39=3,FILTER($J$7:indirect(""J""&amp;row()-1),$C$7:indirect(""C""&amp;row()-1)=C39)&lt;=15),""J - Error"",
E39=3,FLOOR(Info!$T$32*FLOOR(FILTER($J$7:indirect(""J""&amp;row()-1),$C$7:indirect("&amp;"""C""&amp;row()-1)=C39)*Info!$T$32)),
AND(E39=""Final"",COUNTIF($C$7:$C$102,C39)=2,FILTER($J$7:indirect(""J""&amp;row()-1),$C$7:indirect(""C""&amp;row()-1)=C39)&lt;=7),""J - Error"",
AND(E39=""Final"",COUNTIF($C$7:$C$102,C39)=2),
MIN(P39,FLOOR(FILTER($J$7:indirect(""J"""&amp;"&amp;row()-1),$C$7:indirect(""C""&amp;row()-1)=C39)*Info!$T$32)),
AND(E39=""Final"",COUNTIF($C$7:$C$102,C39)=3,FILTER($J$7:indirect(""J""&amp;row()-1),$C$7:indirect(""C""&amp;row()-1)=C39)&lt;=15),""J - Error"",
AND(E39=""Final"",COUNTIF($C$7:$C$102,C39)=3),
MIN(P39,FLOOR(I"&amp;"nfo!$T$32*FLOOR(FILTER($J$7:indirect(""J""&amp;row()-1),$C$7:indirect(""C""&amp;row()-1)=C39)*Info!$T$32))),
AND(E39=""Final"",COUNTIF($C$7:$C$102,C39)&gt;=4,FILTER($J$7:indirect(""J""&amp;row()-1),$C$7:indirect(""C""&amp;row()-1)=C39)&lt;=99),""J - Error"",
AND(E39=""Final"","&amp;"COUNTIF($C$7:$C$102,C39)&gt;=4),
MIN(P39,FLOOR(Info!$T$32*FLOOR(Info!$T$32*FLOOR(FILTER($J$7:indirect(""J""&amp;row()-1),$C$7:indirect(""C""&amp;row()-1)=C39)*Info!$T$32)))))"),"")</f>
        <v/>
      </c>
      <c r="K39" s="41" t="str">
        <f>IFERROR(__xludf.DUMMYFUNCTION("IFS(AND(indirect(""D""&amp;row()+2)&lt;&gt;$E$2,indirect(""D""&amp;row()+1)=""""),CONCATENATE(""Tom rad! Kopiera hela rad ""&amp;row()&amp;"" dit""),
AND(indirect(""D""&amp;row()-1)&lt;&gt;""Rum"",indirect(""D""&amp;row()-1)=""""),CONCATENATE(""Tom rad! Kopiera hela rad ""&amp;row()&amp;"" dit""),
"&amp;"C39="""","""",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OR(AND(D39&lt;&gt;$E$2,D39&lt;&gt;$E$4,D39&lt;&gt;$K$4,D39&lt;&gt;$Q$4),D39="&amp;"""""),CONCATENATE(""Rum: ""&amp;D39&amp;"" finns ej, byt i D""&amp;row()),
AND(indirect(""D""&amp;row()-1)=""Rum"",C39=""""),CONCATENATE(""För att börja: skriv i cell C""&amp;row()),
AND(C39=""Paus"",M39&lt;=0),CONCATENATE(""Skriv pausens längd i M""&amp;row()),
OR(COUNTIF(Info!$A$"&amp;"22:A81,C39)&gt;0,C39=""""),"""",
AND(D39&lt;&gt;$E$2,$O$2=""Yes"",A39=""=time(hh;mm;ss)""),CONCATENATE(""Skriv starttid för ""&amp;C39&amp;"" i A""&amp;row()),
E39=""E - Error"",CONCATENATE(""För många ""&amp;C39&amp;"" rundor!""),
AND(C39&lt;&gt;""3x3 FMC"",C39&lt;&gt;""3x3 MBLD"",E39&lt;&gt;1,E39&lt;&gt;"&amp;"""Final"",IFERROR(FILTER($E$7:indirect(""E""&amp;row()-1),
$E$7:indirect(""E""&amp;row()-1)=E39-1,$C$7:indirect(""C""&amp;row()-1)=C39))=FALSE),CONCATENATE(""Kan ej vara R""&amp;E39&amp;"", saknar R""&amp;(E39-1)),
AND(indirect(""E""&amp;row()-1)&lt;&gt;""Omgång"",IFERROR(FILTER($E$7:indi"&amp;"rect(""E""&amp;row()-1),
$E$7:indirect(""E""&amp;row()-1)=E39,$C$7:indirect(""C""&amp;row()-1)=C39)=E39)=TRUE),CONCATENATE(""Runda ""&amp;E39&amp;"" i ""&amp;C39&amp;"" finns redan""),
AND(C39&lt;&gt;""3x3 BLD"",C39&lt;&gt;""4x4 BLD"",C39&lt;&gt;""5x5 BLD"",C39&lt;&gt;""4x4 / 5x5 BLD"",OR(E39=2,E39=3,E39="&amp;"""Final""),H39&lt;&gt;""""),CONCATENATE(E39&amp;""-rundor brukar ej ha c.t.l.""),
AND(OR(E39=2,E39=3,E39=""Final""),I39&lt;&gt;""""),CONCATENATE(E39&amp;""-rundor brukar ej ha cutoff""),
AND(OR(C39=""3x3 FMC"",C39=""3x3 MBLD""),OR(E39=1,E39=2,E39=3,E39=""Final"")),CONCATENAT"&amp;"E(C39&amp;""s omgång är Rx - Ax""),
AND(C39&lt;&gt;""3x3 MBLD"",C39&lt;&gt;""3x3 FMC"",FILTER(Info!$D$2:D81, Info!$A$2:A81 = C39)&lt;&gt;F39),CONCATENATE(C39&amp;"" måste ha formatet ""&amp;FILTER(Info!$D$2:D81, Info!$A$2:A81 = C39)),
AND(C39=""3x3 MBLD"",OR(F39=""Avg of 5"",F39=""Mea"&amp;"n of 3"")),CONCATENATE(""Ogiltigt format för ""&amp;C39),
AND(C39=""3x3 FMC"",OR(F39=""Avg of 5"",F39=""Best of 3"")),CONCATENATE(""Ogiltigt format för ""&amp;C39),
AND(OR(F39=""Best of 1"",F39=""Best of 2"",F39=""Best of 3""),I39&lt;&gt;""""),CONCATENATE(F39&amp;""-rundor"&amp;" får ej ha cutoff""),
AND(OR(C39=""3x3 FMC"",C39=""3x3 MBLD""),G39&lt;&gt;60),CONCATENATE(C39&amp;"" måste ha time limit: 60""),
AND(OR(C39=""3x3 FMC"",C39=""3x3 MBLD""),H39&lt;&gt;""""),CONCATENATE(C39&amp;"" kan inte ha c.t.l.""),
AND(G39&lt;&gt;"""",H39&lt;&gt;""""),""Välj time limit"&amp;" ELLER c.t.l"",
AND(C39=""6x6 / 7x7"",G39="""",H39=""""),""Sätt time limit (x / y) eller c.t.l (z)"",
AND(G39="""",H39=""""),""Sätt en time limit eller c.t.l"",
AND(OR(C39=""6x6 / 7x7"",C39=""4x4 / 5x5 BLD""),G39&lt;&gt;"""",REGEXMATCH(TO_TEXT(G39),"" / "")=FAL"&amp;"SE),CONCATENATE(""Time limit måste vara x / y""),
AND(H39&lt;&gt;"""",I39&lt;&gt;""""),CONCATENATE(C39&amp;"" brukar ej ha cutoff OCH c.t.l""),
AND(E39=1,H39="""",I39="""",OR(FILTER(Info!$E$2:E81, Info!$A$2:A81 = C39) = ""Yes"",FILTER(Info!$F$2:F81, Info!$A$2:A81 = C39) "&amp;"= ""Yes""),OR(F39=""Avg of 5"",F39=""Mean of 3"")),CONCATENATE(C39&amp;"" bör ha cutoff eller c.t.l""),
AND(C39=""6x6 / 7x7"",I39&lt;&gt;"""",REGEXMATCH(TO_TEXT(I39),"" / "")=FALSE),CONCATENATE(""Cutoff måste vara x / y""),
AND(H39&lt;&gt;"""",ISNUMBER(H39)=FALSE),""C.t."&amp;"l. måste vara positivt tal (x)"",
AND(C39&lt;&gt;""6x6 / 7x7"",I39&lt;&gt;"""",ISNUMBER(I39)=FALSE),""Cutoff måste vara positivt tal (x)"",
AND(H39&lt;&gt;"""",FILTER(Info!$E$2:E81, Info!$A$2:A81 = C39) = ""No"",FILTER(Info!$F$2:F81, Info!$A$2:A81 = C39) = ""No""),CONCATEN"&amp;"ATE(C39&amp;"" brukar inte ha c.t.l.""),
AND(I39&lt;&gt;"""",FILTER(Info!$E$2:E81, Info!$A$2:A81 = C39) = ""No"",FILTER(Info!$F$2:F81, Info!$A$2:A81 = C39) = ""No""),CONCATENATE(C39&amp;"" brukar inte ha cutoff""),
AND(H39="""",FILTER(Info!$F$2:F81, Info!$A$2:A81 = C39"&amp;") = ""Yes""),CONCATENATE(C39&amp;"" brukar ha c.t.l.""),
AND(C39&lt;&gt;""6x6 / 7x7"",C39&lt;&gt;""4x4 / 5x5 BLD"",G39&lt;&gt;"""",ISNUMBER(G39)=FALSE),""Time limit måste vara positivt tal (x)"",
J39=""J - Error"",CONCATENATE(""För få deltagare i R1 för ""&amp;COUNTIF($C$7:$C$102,"&amp;"indirect(""C""&amp;row()))&amp;"" rundor""),
J39=""K2 - Error"",CONCATENATE(C39&amp;"" är mer populär - byt i K2!""),
AND(C39&lt;&gt;""6x6 / 7x7"",C39&lt;&gt;""4x4 / 5x5 BLD"",G39&lt;&gt;"""",I39&lt;&gt;"""",G39&lt;=I39),""Time limit måste vara &gt; cutoff"",
AND(C39&lt;&gt;""6x6 / 7x7"",C39&lt;&gt;""4x4 / 5"&amp;"x5 BLD"",H39&lt;&gt;"""",I39&lt;&gt;"""",H39&lt;=I39),""C.t.l. måste vara &gt; cutoff"",
AND(C39&lt;&gt;""3x3 FMC"",C39&lt;&gt;""3x3 MBLD"",J39=""""),CONCATENATE(""Fyll i antal deltagare i J""&amp;row()),
AND(C39="""",OR(E39&lt;&gt;"""",F39&lt;&gt;"""",G39&lt;&gt;"""",H39&lt;&gt;"""",I39&lt;&gt;"""",J39&lt;&gt;"""")),""Skri"&amp;"v ALLTID gren / aktivitet först"",
AND(I39="""",H39="""",J39&lt;&gt;""""),J39,
OR(""3x3 FMC""=C39,""3x3 MBLD""=C39),J39,
AND(I39&lt;&gt;"""",""6x6 / 7x7""=C39),
IFS(ArrayFormula(SUM(IFERROR(SPLIT(I39,"" / ""))))&lt;(Info!$J$6+Info!$J$7)*2/3,CONCATENATE(""Höj helst cutof"&amp;"fs i ""&amp;C39),
ArrayFormula(SUM(IFERROR(SPLIT(I39,"" / ""))))&lt;=(Info!$J$6+Info!$J$7),ROUNDUP(J39*Info!$J$22),
ArrayFormula(SUM(IFERROR(SPLIT(I39,"" / ""))))&lt;=Info!$J$6+Info!$J$7,ROUNDUP(J39*Info!$K$22),
ArrayFormula(SUM(IFERROR(SPLIT(I39,"" / ""))))&lt;=Info!"&amp;"$K$6+Info!$K$7,ROUNDUP(J39*Info!L$22),
ArrayFormula(SUM(IFERROR(SPLIT(I39,"" / ""))))&lt;=Info!$L$6+Info!$L$7,ROUNDUP(J39*Info!$M$22),
ArrayFormula(SUM(IFERROR(SPLIT(I39,"" / ""))))&lt;=Info!$M$6+Info!$M$7,ROUNDUP(J39*Info!$N$22),
ArrayFormula(SUM(IFERROR(SPLIT"&amp;"(I39,"" / ""))))&lt;=(Info!$N$6+Info!$N$7)*3/2,ROUNDUP(J39*Info!$J$26),
ArrayFormula(SUM(IFERROR(SPLIT(I39,"" / ""))))&gt;(Info!$N$6+Info!$N$7)*3/2,CONCATENATE(""Sänk helst cutoffs i ""&amp;C39)),
AND(I39&lt;&gt;"""",FILTER(Info!$E$2:E81, Info!$A$2:A81 = C39) = ""Yes""),"&amp;"
IFS(I39&lt;FILTER(Info!$J$2:J81, Info!$A$2:A81 = C39)*2/3,CONCATENATE(""Höj helst cutoff i ""&amp;C39),
I39&lt;=FILTER(Info!$J$2:J81, Info!$A$2:A81 = C39),ROUNDUP(J39*Info!$J$22),
I39&lt;=FILTER(Info!$K$2:K81, Info!$A$2:A81 = C39),ROUNDUP(J39*Info!$K$22),
I39&lt;=FILTER"&amp;"(Info!$L$2:L81, Info!$A$2:A81 = C39),ROUNDUP(J39*Info!L$22),
I39&lt;=FILTER(Info!$M$2:M81, Info!$A$2:A81 = C39),ROUNDUP(J39*Info!$M$22),
I39&lt;=FILTER(Info!$N$2:N81, Info!$A$2:A81 = C39),ROUNDUP(J39*Info!$N$22),
I39&lt;=FILTER(Info!$N$2:N81, Info!$A$2:A81 = C39)*"&amp;"3/2,ROUNDUP(J39*Info!$J$26),
I39&gt;FILTER(Info!$N$2:N81, Info!$A$2:A81 = C39)*3/2,CONCATENATE(""Sänk helst cutoff i ""&amp;C39)),
AND(H39&lt;&gt;"""",""6x6 / 7x7""=C39),
IFS(H39/3&lt;=(Info!$J$6+Info!$J$7)*2/3,""Höj helst cumulative time limit"",
H39/3&lt;=Info!$J$6+Info!$"&amp;"J$7,ROUNDUP(J39*Info!$J$24),
H39/3&lt;=Info!$K$6+Info!$K$7,ROUNDUP(J39*Info!$K$24),
H39/3&lt;=Info!$L$6+Info!$L$7,ROUNDUP(J39*Info!L$24),
H39/3&lt;=Info!$M$6+Info!$M$7,ROUNDUP(J39*Info!$M$24),
H39/3&lt;=Info!$N$6+Info!$N$7,ROUNDUP(J39*Info!$N$24),
H39/3&lt;=(Info!$N$6+I"&amp;"nfo!$N$7)*3/2,ROUNDUP(J39*Info!$L$26),
H39/3&gt;(Info!$J$6+Info!$J$7)*3/2,""Sänk helst cumulative time limit""),
AND(H39&lt;&gt;"""",FILTER(Info!$F$2:F81, Info!$A$2:A81 = C39) = ""Yes""),
IFS(H39&lt;=FILTER(Info!$J$2:J81, Info!$A$2:A81 = C39)*2/3,CONCATENATE(""Höj he"&amp;"lst c.t.l. i ""&amp;C39),
H39&lt;=FILTER(Info!$J$2:J81, Info!$A$2:A81 = C39),ROUNDUP(J39*Info!$J$24),
H39&lt;=FILTER(Info!$K$2:K81, Info!$A$2:A81 = C39),ROUNDUP(J39*Info!$K$24),
H39&lt;=FILTER(Info!$L$2:L81, Info!$A$2:A81 = C39),ROUNDUP(J39*Info!L$24),
H39&lt;=FILTER(Inf"&amp;"o!$M$2:M81, Info!$A$2:A81 = C39),ROUNDUP(J39*Info!$M$24),
H39&lt;=FILTER(Info!$N$2:N81, Info!$A$2:A81 = C39),ROUNDUP(J39*Info!$N$24),
H39&lt;=FILTER(Info!$N$2:N81, Info!$A$2:A81 = C39)*3/2,ROUNDUP(J39*Info!$L$26),
H39&gt;FILTER(Info!$N$2:N81, Info!$A$2:A81 = C39)*"&amp;"3/2,CONCATENATE(""Sänk helst c.t.l. i ""&amp;C39)),
AND(H39&lt;&gt;"""",FILTER(Info!$F$2:F81, Info!$A$2:A81 = C39) = ""No""),
IFS(H39/AA39&lt;=FILTER(Info!$J$2:J81, Info!$A$2:A81 = C39)*2/3,CONCATENATE(""Höj helst c.t.l. i ""&amp;C39),
H39/AA39&lt;=FILTER(Info!$J$2:J81, Info"&amp;"!$A$2:A81 = C39),ROUNDUP(J39*Info!$J$24),
H39/AA39&lt;=FILTER(Info!$K$2:K81, Info!$A$2:A81 = C39),ROUNDUP(J39*Info!$K$24),
H39/AA39&lt;=FILTER(Info!$L$2:L81, Info!$A$2:A81 = C39),ROUNDUP(J39*Info!L$24),
H39/AA39&lt;=FILTER(Info!$M$2:M81, Info!$A$2:A81 = C39),ROUND"&amp;"UP(J39*Info!$M$24),
H39/AA39&lt;=FILTER(Info!$N$2:N81, Info!$A$2:A81 = C39),ROUNDUP(J39*Info!$N$24),
H39/AA39&lt;=FILTER(Info!$N$2:N81, Info!$A$2:A81 = C39)*3/2,ROUNDUP(J39*Info!$L$26),
H39/AA39&gt;FILTER(Info!$N$2:N81, Info!$A$2:A81 = C39)*3/2,CONCATENATE(""Sänk "&amp;"helst c.t.l. i ""&amp;C39)),
AND(I39="""",H39&lt;&gt;"""",J39&lt;&gt;""""),ROUNDUP(J39*Info!$T$29),
AND(I39&lt;&gt;"""",H39="""",J39&lt;&gt;""""),ROUNDUP(J39*Info!$T$26))"),"")</f>
        <v/>
      </c>
      <c r="L39" s="42">
        <f>IFERROR(__xludf.DUMMYFUNCTION("IFS(C39="""",0,
C39=""3x3 FMC"",Info!$B$9*N39+M39, C39=""3x3 MBLD"",Info!$B$18*N39+M39,
COUNTIF(Info!$A$22:A81,C39)&gt;0,FILTER(Info!$B$22:B81,Info!$A$22:A81=C39)+M39,
AND(C39&lt;&gt;"""",E39=""""),CONCATENATE(""Fyll i E""&amp;row()),
AND(C39&lt;&gt;"""",E39&lt;&gt;"""",E39&lt;&gt;1,E3"&amp;"9&lt;&gt;2,E39&lt;&gt;3,E39&lt;&gt;""Final""),CONCATENATE(""Fel format på E""&amp;row()),
K39=CONCATENATE(""Runda ""&amp;E39&amp;"" i ""&amp;C39&amp;"" finns redan""),CONCATENATE(""Fel i E""&amp;row()),
AND(C39&lt;&gt;"""",F39=""""),CONCATENATE(""Fyll i F""&amp;row()),
K39=CONCATENATE(C39&amp;"" måste ha forma"&amp;"tet ""&amp;FILTER(Info!$D$2:D81, Info!$A$2:A81 = C39)),CONCATENATE(""Fel format på F""&amp;row()),
AND(C39&lt;&gt;"""",D39=1,H39="""",FILTER(Info!$F$2:F81, Info!$A$2:A81 = C39) = ""Yes""),CONCATENATE(""Fyll i H""&amp;row()),
AND(C39&lt;&gt;"""",D39=1,I39="""",FILTER(Info!$E$2:E8"&amp;"1, Info!$A$2:A81 = C39) = ""Yes""),CONCATENATE(""Fyll i I""&amp;row()),
AND(C39&lt;&gt;"""",J39=""""),CONCATENATE(""Fyll i J""&amp;row()),
AND(C39&lt;&gt;"""",K39="""",OR(H39&lt;&gt;"""",I39&lt;&gt;"""")),CONCATENATE(""Fyll i K""&amp;row()),
AND(C39&lt;&gt;"""",K39=""""),CONCATENATE(""Skriv samma"&amp;" i K""&amp;row()&amp;"" som i J""&amp;row()),
AND(OR(C39=""4x4 BLD"",C39=""5x5 BLD"",C39=""4x4 / 5x5 BLD"")=TRUE,V39&lt;=P39),
MROUND(H39*(Info!$T$20-((Info!$T$20-1)/2)*(1-V39/P39))*(1+((J39/K39)-1)*(1-Info!$J$24))*N39+(Info!$T$11/2)+(N39*Info!$T$11)+(N39*Info!$T$14*(O3"&amp;"9-1)),0.01)+M39,
AND(OR(C39=""4x4 BLD"",C39=""5x5 BLD"",C39=""4x4 / 5x5 BLD"")=TRUE,V39&gt;P39),
MROUND((((J39*Z39+K39*(AA39-Z39))*(H39*Info!$T$20/AA39))/X39)*(1+((J39/K39)-1)*(1-Info!$J$24))*(1+(X39-Info!$T$8)/100)+(Info!$T$11/2)+(N39*Info!$T$11)+(N39*Info!"&amp;"$T$14*(O39-1)),0.01)+M39,
AND(C39=""3x3 BLD"",V39&lt;=P39),
MROUND(H39*(Info!$T$23-((Info!$T$23-1)/2)*(1-V39/P39))*(1+((J39/K39)-1)*(1-Info!$J$24))*N39+(Info!$T$11/2)+(N39*Info!$T$11)+(N39*Info!$T$14*(O39-1)),0.01)+M39,
AND(C39=""3x3 BLD"",V39&gt;P39),
MROUND(("&amp;"((J39*Z39+K39*(AA39-Z39))*(H39*Info!$T$23/AA39))/X39)*(1+((J39/K39)-1)*(1-Info!$J$24))*(1+(X39-Info!$T$8)/100)+(Info!$T$11/2)+(N39*Info!$T$11)+(N39*Info!$T$14*(O39-1)),0.01)+M39,
E39=1,MROUND((((J39*Z39+K39*(AA39-Z39))*Y39)/X39)*(1+(X39-Info!$T$8)/100)+(N"&amp;"39*Info!$T$11)+(N39*Info!$T$14*(O39-1)),0.01)+M39,
AND(E39=""Final"",N39=1,FILTER(Info!$G$2:$G$20,Info!$A$2:$A$20=C39)=""Mycket svår""),
MROUND((((J39*Z39+K39*(AA39-Z39))*(Y39*Info!$T$38))/X39)*(1+(X39-Info!$T$8)/100)+(N39*Info!$T$11)+(N39*Info!$T$14*(O39"&amp;"-1)),0.01)+M39,
AND(E39=""Final"",N39=1,FILTER(Info!$G$2:$G$20,Info!$A$2:$A$20=C39)=""Svår""),
MROUND((((J39*Z39+K39*(AA39-Z39))*(Y39*Info!$T$35))/X39)*(1+(X39-Info!$T$8)/100)+(N39*Info!$T$11)+(N39*Info!$T$14*(O39-1)),0.01)+M39,
E39=""Final"",MROUND((((J3"&amp;"9*Z39+K39*(AA39-Z39))*(Y39*Info!$T$5))/X39)*(1+(X39-Info!$T$8)/100)+(N39*Info!$T$11)+(N39*Info!$T$14*(O39-1)),0.01)+M39,
OR(E39=2,E39=3),MROUND((((J39*Z39+K39*(AA39-Z39))*(Y39*Info!$T$2))/X39)*(1+(X39-Info!$T$8)/100)+(N39*Info!$T$11)+(N39*Info!$T$14*(O39-"&amp;"1)),0.01)+M39)"),0.0)</f>
        <v>0</v>
      </c>
      <c r="M39" s="43">
        <f t="shared" si="4"/>
        <v>0</v>
      </c>
      <c r="N39" s="43" t="str">
        <f>IFS(OR(COUNTIF(Info!$A$22:A81,C39)&gt;0,C39=""),"",
OR(C39="4x4 BLD",C39="5x5 BLD",C39="3x3 MBLD",C39="3x3 FMC",C39="4x4 / 5x5 BLD"),1,
AND(E39="Final",Q39="Yes",MAX(1,ROUNDUP(J39/P39))&gt;1),MAX(2,ROUNDUP(J39/P39)),
AND(E39="Final",Q39="No",MAX(1,ROUNDUP(J39/((P39*2)+2.625-Y39*1.5)))&gt;1),MAX(2,ROUNDUP(J39/((P39*2)+2.625-Y39*1.5))),
E39="Final",1,
Q39="Yes",MAX(2,ROUNDUP(J39/P39)),
TRUE,MAX(2,ROUNDUP(J39/((P39*2)+2.625-Y39*1.5))))</f>
        <v/>
      </c>
      <c r="O39" s="43" t="str">
        <f>IFS(OR(COUNTIF(Info!$A$22:A81,C39)&gt;0,C39=""),"",
OR("3x3 MBLD"=C39,"3x3 FMC"=C39)=TRUE,"",
D39=$E$4,$G$6,D39=$K$4,$M$6,D39=$Q$4,$S$6,D39=$W$4,$Y$6,
TRUE,$S$2)</f>
        <v/>
      </c>
      <c r="P39" s="43" t="str">
        <f>IFS(OR(COUNTIF(Info!$A$22:A81,C39)&gt;0,C39=""),"",
OR("3x3 MBLD"=C39,"3x3 FMC"=C39)=TRUE,"",
D39=$E$4,$E$6,D39=$K$4,$K$6,D39=$Q$4,$Q$6,D39=$W$4,$W$6,
TRUE,$Q$2)</f>
        <v/>
      </c>
      <c r="Q39" s="44" t="str">
        <f>IFS(OR(COUNTIF(Info!$A$22:A81,C39)&gt;0,C39=""),"",
OR("3x3 MBLD"=C39,"3x3 FMC"=C39)=TRUE,"",
D39=$E$4,$I$6,D39=$K$4,$O$6,D39=$Q$4,$U$6,D39=$W$4,$AA$6,
TRUE,$U$2)</f>
        <v/>
      </c>
      <c r="R39" s="45" t="str">
        <f>IFERROR(__xludf.DUMMYFUNCTION("IF(C39="""","""",IFERROR(FILTER(Info!$B$22:B81,Info!$A$22:A81=C39)+M39,""?""))"),"")</f>
        <v/>
      </c>
      <c r="S39" s="46" t="str">
        <f>IFS(OR(COUNTIF(Info!$A$22:A81,C39)&gt;0,C39=""),"",
AND(H39="",I39=""),J39,
TRUE,"?")</f>
        <v/>
      </c>
      <c r="T39" s="45" t="str">
        <f>IFS(OR(COUNTIF(Info!$A$22:A81,C39)&gt;0,C39=""),"",
AND(L39&lt;&gt;0,OR(R39="?",R39="")),"Fyll i R-kolumnen",
OR(C39="3x3 FMC",C39="3x3 MBLD"),R39,
AND(L39&lt;&gt;0,OR(S39="?",S39="")),"Fyll i S-kolumnen",
OR(COUNTIF(Info!$A$22:A81,C39)&gt;0,C39=""),"",
TRUE,Y39*R39/L39)</f>
        <v/>
      </c>
      <c r="U39" s="45"/>
      <c r="V39" s="47" t="str">
        <f>IFS(OR(COUNTIF(Info!$A$22:A81,C39)&gt;0,C39=""),"",
OR("3x3 MBLD"=C39,"3x3 FMC"=C39)=TRUE,"",
TRUE,MROUND((J39/N39),0.01))</f>
        <v/>
      </c>
      <c r="W39" s="48" t="str">
        <f>IFS(OR(COUNTIF(Info!$A$22:A81,C39)&gt;0,C39=""),"",
TRUE,L39/N39)</f>
        <v/>
      </c>
      <c r="X39" s="49" t="str">
        <f>IFS(OR(COUNTIF(Info!$A$22:A81,C39)&gt;0,C39=""),"",
OR("3x3 MBLD"=C39,"3x3 FMC"=C39)=TRUE,"",
OR(C39="4x4 BLD",C39="5x5 BLD",C39="4x4 / 5x5 BLD",AND(C39="3x3 BLD",H39&lt;&gt;""))=TRUE,MIN(V39,P39),
TRUE,MIN(P39,V39,MROUND(((V39*2/3)+((Y39-1.625)/2)),0.01)))</f>
        <v/>
      </c>
      <c r="Y39" s="48" t="str">
        <f>IFERROR(__xludf.DUMMYFUNCTION("IFS(OR(COUNTIF(Info!$A$22:A81,C39)&gt;0,C39=""""),"""",
FILTER(Info!$F$2:F81, Info!$A$2:A81 = C39) = ""Yes"",H39/AA39,
""3x3 FMC""=C39,Info!$B$9,""3x3 MBLD""=C39,Info!$B$18,
AND(E39=1,I39="""",H39="""",Q39=""No"",G39&gt;SUMIF(Info!$A$2:A81,C39,Info!$B$2:B81)*1."&amp;"5),
MIN(SUMIF(Info!$A$2:A81,C39,Info!$B$2:B81)*1.1,SUMIF(Info!$A$2:A81,C39,Info!$B$2:B81)*(1.15-(0.15*(SUMIF(Info!$A$2:A81,C39,Info!$B$2:B81)*1.5)/G39))),
AND(E39=1,I39="""",H39="""",Q39=""Yes"",G39&gt;SUMIF(Info!$A$2:A81,C39,Info!$C$2:C81)*1.5),
MIN(SUMIF(I"&amp;"nfo!$A$2:A81,C39,Info!$C$2:C81)*1.1,SUMIF(Info!$A$2:A81,C39,Info!$C$2:C81)*(1.15-(0.15*(SUMIF(Info!$A$2:A81,C39,Info!$C$2:C81)*1.5)/G39))),
Q39=""No"",SUMIF(Info!$A$2:A81,C39,Info!$B$2:B81),
Q39=""Yes"",SUMIF(Info!$A$2:A81,C39,Info!$C$2:C81))"),"")</f>
        <v/>
      </c>
      <c r="Z39" s="47" t="str">
        <f>IFS(OR(COUNTIF(Info!$A$22:A81,C39)&gt;0,C39=""),"",
AND(OR("3x3 FMC"=C39,"3x3 MBLD"=C39),I39&lt;&gt;""),1,
AND(OR(H39&lt;&gt;"",I39&lt;&gt;""),F39="Avg of 5"),2,
F39="Avg of 5",AA39,
AND(OR(H39&lt;&gt;"",I39&lt;&gt;""),F39="Mean of 3",C39="6x6 / 7x7"),2,
AND(OR(H39&lt;&gt;"",I39&lt;&gt;""),F39="Mean of 3"),1,
F39="Mean of 3",AA39,
AND(OR(H39&lt;&gt;"",I39&lt;&gt;""),F39="Best of 3",C39="4x4 / 5x5 BLD"),2,
AND(OR(H39&lt;&gt;"",I39&lt;&gt;""),F39="Best of 3"),1,
F39="Best of 2",AA39,
F39="Best of 1",AA39)</f>
        <v/>
      </c>
      <c r="AA39" s="47" t="str">
        <f>IFS(OR(COUNTIF(Info!$A$22:A81,C39)&gt;0,C39=""),"",
AND(OR("3x3 MBLD"=C39,"3x3 FMC"=C39),F39="Best of 1"=TRUE),1,
AND(OR("3x3 MBLD"=C39,"3x3 FMC"=C39),F39="Best of 2"=TRUE),2,
AND(OR("3x3 MBLD"=C39,"3x3 FMC"=C39),OR(F39="Best of 3",F39="Mean of 3")=TRUE),3,
AND(F39="Mean of 3",C39="6x6 / 7x7"),6,
AND(F39="Best of 3",C39="4x4 / 5x5 BLD"),6,
F39="Avg of 5",5,F39="Mean of 3",3,F39="Best of 3",3,F39="Best of 2",2,F39="Best of 1",1)</f>
        <v/>
      </c>
      <c r="AB39" s="50"/>
    </row>
    <row r="40" ht="15.75" customHeight="1">
      <c r="A40" s="35">
        <f>IFERROR(__xludf.DUMMYFUNCTION("IFS(indirect(""A""&amp;row()-1)=""Start"",TIME(indirect(""A""&amp;row()-2),indirect(""B""&amp;row()-2),0),
$O$2=""No"",TIME(0,($A$6*60+$B$6)+CEILING(SUM($L$7:indirect(""L""&amp;row()-1)),5),0),
D40=$E$2,TIME(0,($A$6*60+$B$6)+CEILING(SUM(IFERROR(FILTER($L$7:indirect(""L"""&amp;"&amp;row()-1),REGEXMATCH($D$7:indirect(""D""&amp;row()-1),$E$2)),0)),5),0),
TRUE,""=time(hh;mm;ss)"")"),0.375)</f>
        <v>0.375</v>
      </c>
      <c r="B40" s="36">
        <f>IFERROR(__xludf.DUMMYFUNCTION("IFS($O$2=""No"",TIME(0,($A$6*60+$B$6)+CEILING(SUM($L$7:indirect(""L""&amp;row())),5),0),
D40=$E$2,TIME(0,($A$6*60+$B$6)+CEILING(SUM(FILTER($L$7:indirect(""L""&amp;row()),REGEXMATCH($D$7:indirect(""D""&amp;row()),$E$2))),5),0),
A40=""=time(hh;mm;ss)"",CONCATENATE(""Sk"&amp;"riv tid i A""&amp;row()),
AND(A40&lt;&gt;"""",A40&lt;&gt;""=time(hh;mm;ss)""),A40+TIME(0,CEILING(indirect(""L""&amp;row()),5),0))"),0.375)</f>
        <v>0.375</v>
      </c>
      <c r="C40" s="37"/>
      <c r="D40" s="38" t="str">
        <f t="shared" si="3"/>
        <v>Stora salen</v>
      </c>
      <c r="E40" s="38" t="str">
        <f>IFERROR(__xludf.DUMMYFUNCTION("IFS(COUNTIF(Info!$A$22:A81,C40)&gt;0,"""",
AND(OR(""3x3 FMC""=C40,""3x3 MBLD""=C40),COUNTIF($C$7:indirect(""C""&amp;row()),indirect(""C""&amp;row()))&gt;=13),""E - Error"",
AND(OR(""3x3 FMC""=C40,""3x3 MBLD""=C40),COUNTIF($C$7:indirect(""C""&amp;row()),indirect(""C""&amp;row()"&amp;"))=12),""Final - A3"",
AND(OR(""3x3 FMC""=C40,""3x3 MBLD""=C40),COUNTIF($C$7:indirect(""C""&amp;row()),indirect(""C""&amp;row()))=11),""Final - A2"",
AND(OR(""3x3 FMC""=C40,""3x3 MBLD""=C40),COUNTIF($C$7:indirect(""C""&amp;row()),indirect(""C""&amp;row()))=10),""Final - "&amp;"A1"",
AND(OR(""3x3 FMC""=C40,""3x3 MBLD""=C40),COUNTIF($C$7:indirect(""C""&amp;row()),indirect(""C""&amp;row()))=9,
COUNTIF($C$7:$C$102,indirect(""C""&amp;row()))&gt;9),""R3 - A3"",
AND(OR(""3x3 FMC""=C40,""3x3 MBLD""=C40),COUNTIF($C$7:indirect(""C""&amp;row()),indirect(""C"&amp;"""&amp;row()))=9,
COUNTIF($C$7:$C$102,indirect(""C""&amp;row()))&lt;=9),""Final - A3"",
AND(OR(""3x3 FMC""=C40,""3x3 MBLD""=C40),COUNTIF($C$7:indirect(""C""&amp;row()),indirect(""C""&amp;row()))=8,
COUNTIF($C$7:$C$102,indirect(""C""&amp;row()))&gt;9),""R3 - A2"",
AND(OR(""3x3 FMC"&amp;"""=C40,""3x3 MBLD""=C40),COUNTIF($C$7:indirect(""C""&amp;row()),indirect(""C""&amp;row()))=8,
COUNTIF($C$7:$C$102,indirect(""C""&amp;row()))&lt;=9),""Final - A2"",
AND(OR(""3x3 FMC""=C40,""3x3 MBLD""=C40),COUNTIF($C$7:indirect(""C""&amp;row()),indirect(""C""&amp;row()))=7,
COUN"&amp;"TIF($C$7:$C$102,indirect(""C""&amp;row()))&gt;9),""R3 - A1"",
AND(OR(""3x3 FMC""=C40,""3x3 MBLD""=C40),COUNTIF($C$7:indirect(""C""&amp;row()),indirect(""C""&amp;row()))=7,
COUNTIF($C$7:$C$102,indirect(""C""&amp;row()))&lt;=9),""Final - A1"",
AND(OR(""3x3 FMC""=C40,""3x3 MBLD"""&amp;"=C40),COUNTIF($C$7:indirect(""C""&amp;row()),indirect(""C""&amp;row()))=6,
COUNTIF($C$7:$C$102,indirect(""C""&amp;row()))&gt;6),""R2 - A3"",
AND(OR(""3x3 FMC""=C40,""3x3 MBLD""=C40),COUNTIF($C$7:indirect(""C""&amp;row()),indirect(""C""&amp;row()))=6,
COUNTIF($C$7:$C$102,indirec"&amp;"t(""C""&amp;row()))&lt;=6),""Final - A3"",
AND(OR(""3x3 FMC""=C40,""3x3 MBLD""=C40),COUNTIF($C$7:indirect(""C""&amp;row()),indirect(""C""&amp;row()))=5,
COUNTIF($C$7:$C$102,indirect(""C""&amp;row()))&gt;6),""R2 - A2"",
AND(OR(""3x3 FMC""=C40,""3x3 MBLD""=C40),COUNTIF($C$7:indi"&amp;"rect(""C""&amp;row()),indirect(""C""&amp;row()))=5,
COUNTIF($C$7:$C$102,indirect(""C""&amp;row()))&lt;=6),""Final - A2"",
AND(OR(""3x3 FMC""=C40,""3x3 MBLD""=C40),COUNTIF($C$7:indirect(""C""&amp;row()),indirect(""C""&amp;row()))=4,
COUNTIF($C$7:$C$102,indirect(""C""&amp;row()))&gt;6),"&amp;"""R2 - A1"",
AND(OR(""3x3 FMC""=C40,""3x3 MBLD""=C40),COUNTIF($C$7:indirect(""C""&amp;row()),indirect(""C""&amp;row()))=4,
COUNTIF($C$7:$C$102,indirect(""C""&amp;row()))&lt;=6),""Final - A1"",
AND(OR(""3x3 FMC""=C40,""3x3 MBLD""=C40),COUNTIF($C$7:indirect(""C""&amp;row()),i"&amp;"ndirect(""C""&amp;row()))=3),""R1 - A3"",
AND(OR(""3x3 FMC""=C40,""3x3 MBLD""=C40),COUNTIF($C$7:indirect(""C""&amp;row()),indirect(""C""&amp;row()))=2),""R1 - A2"",
AND(OR(""3x3 FMC""=C40,""3x3 MBLD""=C40),COUNTIF($C$7:indirect(""C""&amp;row()),indirect(""C""&amp;row()))=1),"&amp;"""R1 -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C40),ROUNDUP((FILTER(Info!$H$2:H81,Info!$A$2:A81=C40)/FILTER(Info!$H$2:H81,Info!$A$2:A81=$K$2))*$I$2)&gt;99),3,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C40),ROUNDUP((FILTER(Info!$H$2:H81,Info!$A$2:A81=C40)/FILTER(Info!$H$2:H81,Info!$A$2:A81=$K$2))*$I$2)&gt;15),2,
AND(COUNTIF($C$7:indirect(""C""&amp;row()),indirect(""C""&amp;row()))=2,COUNTIF($C$7:$C$102,indirect(""C""&amp;row()))=COUNTIF($"&amp;"C$7:indirect(""C""&amp;row()),indirect(""C""&amp;row()))),""Final"",
COUNTIF($C$7:indirect(""C""&amp;row()),indirect(""C""&amp;row()))=1,1,
COUNTIF($C$7:indirect(""C""&amp;row()),indirect(""C""&amp;row()))=0,"""")"),"")</f>
        <v/>
      </c>
      <c r="F40" s="39" t="str">
        <f>IFERROR(__xludf.DUMMYFUNCTION("IFS(C40="""","""",
AND(C40=""3x3 FMC"",MOD(COUNTIF($C$7:indirect(""C""&amp;row()),indirect(""C""&amp;row())),3)=0),""Mean of 3"",
AND(C40=""3x3 MBLD"",MOD(COUNTIF($C$7:indirect(""C""&amp;row()),indirect(""C""&amp;row())),3)=0),""Best of 3"",
AND(C40=""3x3 FMC"",MOD(COUNT"&amp;"IF($C$7:indirect(""C""&amp;row()),indirect(""C""&amp;row())),3)=2,
COUNTIF($C$7:$C$102,indirect(""C""&amp;row()))&lt;=COUNTIF($C$7:indirect(""C""&amp;row()),indirect(""C""&amp;row()))),""Best of 2"",
AND(C40=""3x3 FMC"",MOD(COUNTIF($C$7:indirect(""C""&amp;row()),indirect(""C""&amp;row("&amp;"))),3)=2,
COUNTIF($C$7:$C$102,indirect(""C""&amp;row()))&gt;COUNTIF($C$7:indirect(""C""&amp;row()),indirect(""C""&amp;row()))),""Mean of 3"",
AND(C40=""3x3 MBLD"",MOD(COUNTIF($C$7:indirect(""C""&amp;row()),indirect(""C""&amp;row())),3)=2,
COUNTIF($C$7:$C$102,indirect(""C""&amp;row("&amp;")))&lt;=COUNTIF($C$7:indirect(""C""&amp;row()),indirect(""C""&amp;row()))),""Best of 2"",
AND(C40=""3x3 MBLD"",MOD(COUNTIF($C$7:indirect(""C""&amp;row()),indirect(""C""&amp;row())),3)=2,
COUNTIF($C$7:$C$102,indirect(""C""&amp;row()))&gt;COUNTIF($C$7:indirect(""C""&amp;row()),indirect("&amp;"""C""&amp;row()))),""Best of 3"",
AND(C40=""3x3 FMC"",MOD(COUNTIF($C$7:indirect(""C""&amp;row()),indirect(""C""&amp;row())),3)=1,
COUNTIF($C$7:$C$102,indirect(""C""&amp;row()))&lt;=COUNTIF($C$7:indirect(""C""&amp;row()),indirect(""C""&amp;row()))),""Best of 1"",
AND(C40=""3x3 FMC"""&amp;",MOD(COUNTIF($C$7:indirect(""C""&amp;row()),indirect(""C""&amp;row())),3)=1,
COUNTIF($C$7:$C$102,indirect(""C""&amp;row()))=COUNTIF($C$7:indirect(""C""&amp;row()),indirect(""C""&amp;row()))+1),""Best of 2"",
AND(C40=""3x3 FMC"",MOD(COUNTIF($C$7:indirect(""C""&amp;row()),indirect"&amp;"(""C""&amp;row())),3)=1,
COUNTIF($C$7:$C$102,indirect(""C""&amp;row()))&gt;COUNTIF($C$7:indirect(""C""&amp;row()),indirect(""C""&amp;row()))),""Mean of 3"",
AND(C40=""3x3 MBLD"",MOD(COUNTIF($C$7:indirect(""C""&amp;row()),indirect(""C""&amp;row())),3)=1,
COUNTIF($C$7:$C$102,indirect"&amp;"(""C""&amp;row()))&lt;=COUNTIF($C$7:indirect(""C""&amp;row()),indirect(""C""&amp;row()))),""Best of 1"",
AND(C40=""3x3 MBLD"",MOD(COUNTIF($C$7:indirect(""C""&amp;row()),indirect(""C""&amp;row())),3)=1,
COUNTIF($C$7:$C$102,indirect(""C""&amp;row()))=COUNTIF($C$7:indirect(""C""&amp;row()"&amp;"),indirect(""C""&amp;row()))+1),""Best of 2"",
AND(C40=""3x3 MBLD"",MOD(COUNTIF($C$7:indirect(""C""&amp;row()),indirect(""C""&amp;row())),3)=1,
COUNTIF($C$7:$C$102,indirect(""C""&amp;row()))&gt;COUNTIF($C$7:indirect(""C""&amp;row()),indirect(""C""&amp;row()))),""Best of 3"",
TRUE,("&amp;"IFERROR(FILTER(Info!$D$2:D81, Info!$A$2:A81 = C40), """")))"),"")</f>
        <v/>
      </c>
      <c r="G40" s="40" t="str">
        <f>IFERROR(__xludf.DUMMYFUNCTION("IFS(OR(COUNTIF(Info!$A$22:A81,C40)&gt;0,C40=""""),"""",
OR(""3x3 MBLD""=C40,""3x3 FMC""=C40),60,
AND(E40=1,FILTER(Info!$F$2:F81, Info!$A$2:A81 = C40) = ""No""),FILTER(Info!$P$2:P81, Info!$A$2:A81 = C40),
AND(E40=2,FILTER(Info!$F$2:F81, Info!$A$2:A81 = C40) ="&amp;" ""No""),FILTER(Info!$Q$2:Q81, Info!$A$2:A81 = C40),
AND(E40=3,FILTER(Info!$F$2:F81, Info!$A$2:A81 = C40) = ""No""),FILTER(Info!$R$2:R81, Info!$A$2:A81 = C40),
AND(E40=""Final"",FILTER(Info!$F$2:F81, Info!$A$2:A81 = C40) = ""No""),FILTER(Info!$S$2:S81, In"&amp;"fo!$A$2:A81 = C40),
FILTER(Info!$F$2:F81, Info!$A$2:A81 = C40) = ""Yes"","""")"),"")</f>
        <v/>
      </c>
      <c r="H40" s="40" t="str">
        <f>IFERROR(__xludf.DUMMYFUNCTION("IFS(OR(COUNTIF(Info!$A$22:A81,C40)&gt;0,C40=""""),"""",
OR(""3x3 MBLD""=C40,""3x3 FMC""=C40)=TRUE,"""",
FILTER(Info!$F$2:F81, Info!$A$2:A81 = C40) = ""Yes"",FILTER(Info!$O$2:O81, Info!$A$2:A81 = C40),
FILTER(Info!$F$2:F81, Info!$A$2:A81 = C40) = ""No"",IF(G4"&amp;"0="""",FILTER(Info!$O$2:O81, Info!$A$2:A81 = C40),""""))"),"")</f>
        <v/>
      </c>
      <c r="I40" s="40" t="str">
        <f>IFERROR(__xludf.DUMMYFUNCTION("IFS(OR(COUNTIF(Info!$A$22:A81,C40)&gt;0,C40="""",H40&lt;&gt;""""),"""",
AND(E40&lt;&gt;1,E40&lt;&gt;""R1 - A1"",E40&lt;&gt;""R1 - A2"",E40&lt;&gt;""R1 - A3""),"""",
FILTER(Info!$E$2:E81, Info!$A$2:A81 = C40) = ""Yes"",IF(H40="""",FILTER(Info!$L$2:L81, Info!$A$2:A81 = C40),""""),
FILTER(I"&amp;"nfo!$E$2:E81, Info!$A$2:A81 = C40) = ""No"","""")"),"")</f>
        <v/>
      </c>
      <c r="J40" s="40" t="str">
        <f>IFERROR(__xludf.DUMMYFUNCTION("IFS(OR(COUNTIF(Info!$A$22:A81,C40)&gt;0,C40="""",""3x3 MBLD""=C40,""3x3 FMC""=C40),"""",
AND(E40=1,FILTER(Info!$H$2:H81,Info!$A$2:A81 = C40)&lt;=FILTER(Info!$H$2:H81,Info!$A$2:A81=$K$2)),
ROUNDUP((FILTER(Info!$H$2:H81,Info!$A$2:A81 = C40)/FILTER(Info!$H$2:H81,I"&amp;"nfo!$A$2:A81=$K$2))*$I$2),
AND(E40=1,FILTER(Info!$H$2:H81,Info!$A$2:A81 = C40)&gt;FILTER(Info!$H$2:H81,Info!$A$2:A81=$K$2)),""K2 - Error"",
AND(E40=2,FILTER($J$7:indirect(""J""&amp;row()-1),$C$7:indirect(""C""&amp;row()-1)=C40)&lt;=7),""J - Error"",
E40=2,FLOOR(FILTER("&amp;"$J$7:indirect(""J""&amp;row()-1),$C$7:indirect(""C""&amp;row()-1)=C40)*Info!$T$32),
AND(E40=3,FILTER($J$7:indirect(""J""&amp;row()-1),$C$7:indirect(""C""&amp;row()-1)=C40)&lt;=15),""J - Error"",
E40=3,FLOOR(Info!$T$32*FLOOR(FILTER($J$7:indirect(""J""&amp;row()-1),$C$7:indirect("&amp;"""C""&amp;row()-1)=C40)*Info!$T$32)),
AND(E40=""Final"",COUNTIF($C$7:$C$102,C40)=2,FILTER($J$7:indirect(""J""&amp;row()-1),$C$7:indirect(""C""&amp;row()-1)=C40)&lt;=7),""J - Error"",
AND(E40=""Final"",COUNTIF($C$7:$C$102,C40)=2),
MIN(P40,FLOOR(FILTER($J$7:indirect(""J"""&amp;"&amp;row()-1),$C$7:indirect(""C""&amp;row()-1)=C40)*Info!$T$32)),
AND(E40=""Final"",COUNTIF($C$7:$C$102,C40)=3,FILTER($J$7:indirect(""J""&amp;row()-1),$C$7:indirect(""C""&amp;row()-1)=C40)&lt;=15),""J - Error"",
AND(E40=""Final"",COUNTIF($C$7:$C$102,C40)=3),
MIN(P40,FLOOR(I"&amp;"nfo!$T$32*FLOOR(FILTER($J$7:indirect(""J""&amp;row()-1),$C$7:indirect(""C""&amp;row()-1)=C40)*Info!$T$32))),
AND(E40=""Final"",COUNTIF($C$7:$C$102,C40)&gt;=4,FILTER($J$7:indirect(""J""&amp;row()-1),$C$7:indirect(""C""&amp;row()-1)=C40)&lt;=99),""J - Error"",
AND(E40=""Final"","&amp;"COUNTIF($C$7:$C$102,C40)&gt;=4),
MIN(P40,FLOOR(Info!$T$32*FLOOR(Info!$T$32*FLOOR(FILTER($J$7:indirect(""J""&amp;row()-1),$C$7:indirect(""C""&amp;row()-1)=C40)*Info!$T$32)))))"),"")</f>
        <v/>
      </c>
      <c r="K40" s="41" t="str">
        <f>IFERROR(__xludf.DUMMYFUNCTION("IFS(AND(indirect(""D""&amp;row()+2)&lt;&gt;$E$2,indirect(""D""&amp;row()+1)=""""),CONCATENATE(""Tom rad! Kopiera hela rad ""&amp;row()&amp;"" dit""),
AND(indirect(""D""&amp;row()-1)&lt;&gt;""Rum"",indirect(""D""&amp;row()-1)=""""),CONCATENATE(""Tom rad! Kopiera hela rad ""&amp;row()&amp;"" dit""),
"&amp;"C40="""","""",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OR(AND(D40&lt;&gt;$E$2,D40&lt;&gt;$E$4,D40&lt;&gt;$K$4,D40&lt;&gt;$Q$4),D40="&amp;"""""),CONCATENATE(""Rum: ""&amp;D40&amp;"" finns ej, byt i D""&amp;row()),
AND(indirect(""D""&amp;row()-1)=""Rum"",C40=""""),CONCATENATE(""För att börja: skriv i cell C""&amp;row()),
AND(C40=""Paus"",M40&lt;=0),CONCATENATE(""Skriv pausens längd i M""&amp;row()),
OR(COUNTIF(Info!$A$"&amp;"22:A81,C40)&gt;0,C40=""""),"""",
AND(D40&lt;&gt;$E$2,$O$2=""Yes"",A40=""=time(hh;mm;ss)""),CONCATENATE(""Skriv starttid för ""&amp;C40&amp;"" i A""&amp;row()),
E40=""E - Error"",CONCATENATE(""För många ""&amp;C40&amp;"" rundor!""),
AND(C40&lt;&gt;""3x3 FMC"",C40&lt;&gt;""3x3 MBLD"",E40&lt;&gt;1,E40&lt;&gt;"&amp;"""Final"",IFERROR(FILTER($E$7:indirect(""E""&amp;row()-1),
$E$7:indirect(""E""&amp;row()-1)=E40-1,$C$7:indirect(""C""&amp;row()-1)=C40))=FALSE),CONCATENATE(""Kan ej vara R""&amp;E40&amp;"", saknar R""&amp;(E40-1)),
AND(indirect(""E""&amp;row()-1)&lt;&gt;""Omgång"",IFERROR(FILTER($E$7:indi"&amp;"rect(""E""&amp;row()-1),
$E$7:indirect(""E""&amp;row()-1)=E40,$C$7:indirect(""C""&amp;row()-1)=C40)=E40)=TRUE),CONCATENATE(""Runda ""&amp;E40&amp;"" i ""&amp;C40&amp;"" finns redan""),
AND(C40&lt;&gt;""3x3 BLD"",C40&lt;&gt;""4x4 BLD"",C40&lt;&gt;""5x5 BLD"",C40&lt;&gt;""4x4 / 5x5 BLD"",OR(E40=2,E40=3,E40="&amp;"""Final""),H40&lt;&gt;""""),CONCATENATE(E40&amp;""-rundor brukar ej ha c.t.l.""),
AND(OR(E40=2,E40=3,E40=""Final""),I40&lt;&gt;""""),CONCATENATE(E40&amp;""-rundor brukar ej ha cutoff""),
AND(OR(C40=""3x3 FMC"",C40=""3x3 MBLD""),OR(E40=1,E40=2,E40=3,E40=""Final"")),CONCATENAT"&amp;"E(C40&amp;""s omgång är Rx - Ax""),
AND(C40&lt;&gt;""3x3 MBLD"",C40&lt;&gt;""3x3 FMC"",FILTER(Info!$D$2:D81, Info!$A$2:A81 = C40)&lt;&gt;F40),CONCATENATE(C40&amp;"" måste ha formatet ""&amp;FILTER(Info!$D$2:D81, Info!$A$2:A81 = C40)),
AND(C40=""3x3 MBLD"",OR(F40=""Avg of 5"",F40=""Mea"&amp;"n of 3"")),CONCATENATE(""Ogiltigt format för ""&amp;C40),
AND(C40=""3x3 FMC"",OR(F40=""Avg of 5"",F40=""Best of 3"")),CONCATENATE(""Ogiltigt format för ""&amp;C40),
AND(OR(F40=""Best of 1"",F40=""Best of 2"",F40=""Best of 3""),I40&lt;&gt;""""),CONCATENATE(F40&amp;""-rundor"&amp;" får ej ha cutoff""),
AND(OR(C40=""3x3 FMC"",C40=""3x3 MBLD""),G40&lt;&gt;60),CONCATENATE(C40&amp;"" måste ha time limit: 60""),
AND(OR(C40=""3x3 FMC"",C40=""3x3 MBLD""),H40&lt;&gt;""""),CONCATENATE(C40&amp;"" kan inte ha c.t.l.""),
AND(G40&lt;&gt;"""",H40&lt;&gt;""""),""Välj time limit"&amp;" ELLER c.t.l"",
AND(C40=""6x6 / 7x7"",G40="""",H40=""""),""Sätt time limit (x / y) eller c.t.l (z)"",
AND(G40="""",H40=""""),""Sätt en time limit eller c.t.l"",
AND(OR(C40=""6x6 / 7x7"",C40=""4x4 / 5x5 BLD""),G40&lt;&gt;"""",REGEXMATCH(TO_TEXT(G40),"" / "")=FAL"&amp;"SE),CONCATENATE(""Time limit måste vara x / y""),
AND(H40&lt;&gt;"""",I40&lt;&gt;""""),CONCATENATE(C40&amp;"" brukar ej ha cutoff OCH c.t.l""),
AND(E40=1,H40="""",I40="""",OR(FILTER(Info!$E$2:E81, Info!$A$2:A81 = C40) = ""Yes"",FILTER(Info!$F$2:F81, Info!$A$2:A81 = C40) "&amp;"= ""Yes""),OR(F40=""Avg of 5"",F40=""Mean of 3"")),CONCATENATE(C40&amp;"" bör ha cutoff eller c.t.l""),
AND(C40=""6x6 / 7x7"",I40&lt;&gt;"""",REGEXMATCH(TO_TEXT(I40),"" / "")=FALSE),CONCATENATE(""Cutoff måste vara x / y""),
AND(H40&lt;&gt;"""",ISNUMBER(H40)=FALSE),""C.t."&amp;"l. måste vara positivt tal (x)"",
AND(C40&lt;&gt;""6x6 / 7x7"",I40&lt;&gt;"""",ISNUMBER(I40)=FALSE),""Cutoff måste vara positivt tal (x)"",
AND(H40&lt;&gt;"""",FILTER(Info!$E$2:E81, Info!$A$2:A81 = C40) = ""No"",FILTER(Info!$F$2:F81, Info!$A$2:A81 = C40) = ""No""),CONCATEN"&amp;"ATE(C40&amp;"" brukar inte ha c.t.l.""),
AND(I40&lt;&gt;"""",FILTER(Info!$E$2:E81, Info!$A$2:A81 = C40) = ""No"",FILTER(Info!$F$2:F81, Info!$A$2:A81 = C40) = ""No""),CONCATENATE(C40&amp;"" brukar inte ha cutoff""),
AND(H40="""",FILTER(Info!$F$2:F81, Info!$A$2:A81 = C40"&amp;") = ""Yes""),CONCATENATE(C40&amp;"" brukar ha c.t.l.""),
AND(C40&lt;&gt;""6x6 / 7x7"",C40&lt;&gt;""4x4 / 5x5 BLD"",G40&lt;&gt;"""",ISNUMBER(G40)=FALSE),""Time limit måste vara positivt tal (x)"",
J40=""J - Error"",CONCATENATE(""För få deltagare i R1 för ""&amp;COUNTIF($C$7:$C$102,"&amp;"indirect(""C""&amp;row()))&amp;"" rundor""),
J40=""K2 - Error"",CONCATENATE(C40&amp;"" är mer populär - byt i K2!""),
AND(C40&lt;&gt;""6x6 / 7x7"",C40&lt;&gt;""4x4 / 5x5 BLD"",G40&lt;&gt;"""",I40&lt;&gt;"""",G40&lt;=I40),""Time limit måste vara &gt; cutoff"",
AND(C40&lt;&gt;""6x6 / 7x7"",C40&lt;&gt;""4x4 / 5"&amp;"x5 BLD"",H40&lt;&gt;"""",I40&lt;&gt;"""",H40&lt;=I40),""C.t.l. måste vara &gt; cutoff"",
AND(C40&lt;&gt;""3x3 FMC"",C40&lt;&gt;""3x3 MBLD"",J40=""""),CONCATENATE(""Fyll i antal deltagare i J""&amp;row()),
AND(C40="""",OR(E40&lt;&gt;"""",F40&lt;&gt;"""",G40&lt;&gt;"""",H40&lt;&gt;"""",I40&lt;&gt;"""",J40&lt;&gt;"""")),""Skri"&amp;"v ALLTID gren / aktivitet först"",
AND(I40="""",H40="""",J40&lt;&gt;""""),J40,
OR(""3x3 FMC""=C40,""3x3 MBLD""=C40),J40,
AND(I40&lt;&gt;"""",""6x6 / 7x7""=C40),
IFS(ArrayFormula(SUM(IFERROR(SPLIT(I40,"" / ""))))&lt;(Info!$J$6+Info!$J$7)*2/3,CONCATENATE(""Höj helst cutof"&amp;"fs i ""&amp;C40),
ArrayFormula(SUM(IFERROR(SPLIT(I40,"" / ""))))&lt;=(Info!$J$6+Info!$J$7),ROUNDUP(J40*Info!$J$22),
ArrayFormula(SUM(IFERROR(SPLIT(I40,"" / ""))))&lt;=Info!$J$6+Info!$J$7,ROUNDUP(J40*Info!$K$22),
ArrayFormula(SUM(IFERROR(SPLIT(I40,"" / ""))))&lt;=Info!"&amp;"$K$6+Info!$K$7,ROUNDUP(J40*Info!L$22),
ArrayFormula(SUM(IFERROR(SPLIT(I40,"" / ""))))&lt;=Info!$L$6+Info!$L$7,ROUNDUP(J40*Info!$M$22),
ArrayFormula(SUM(IFERROR(SPLIT(I40,"" / ""))))&lt;=Info!$M$6+Info!$M$7,ROUNDUP(J40*Info!$N$22),
ArrayFormula(SUM(IFERROR(SPLIT"&amp;"(I40,"" / ""))))&lt;=(Info!$N$6+Info!$N$7)*3/2,ROUNDUP(J40*Info!$J$26),
ArrayFormula(SUM(IFERROR(SPLIT(I40,"" / ""))))&gt;(Info!$N$6+Info!$N$7)*3/2,CONCATENATE(""Sänk helst cutoffs i ""&amp;C40)),
AND(I40&lt;&gt;"""",FILTER(Info!$E$2:E81, Info!$A$2:A81 = C40) = ""Yes""),"&amp;"
IFS(I40&lt;FILTER(Info!$J$2:J81, Info!$A$2:A81 = C40)*2/3,CONCATENATE(""Höj helst cutoff i ""&amp;C40),
I40&lt;=FILTER(Info!$J$2:J81, Info!$A$2:A81 = C40),ROUNDUP(J40*Info!$J$22),
I40&lt;=FILTER(Info!$K$2:K81, Info!$A$2:A81 = C40),ROUNDUP(J40*Info!$K$22),
I40&lt;=FILTER"&amp;"(Info!$L$2:L81, Info!$A$2:A81 = C40),ROUNDUP(J40*Info!L$22),
I40&lt;=FILTER(Info!$M$2:M81, Info!$A$2:A81 = C40),ROUNDUP(J40*Info!$M$22),
I40&lt;=FILTER(Info!$N$2:N81, Info!$A$2:A81 = C40),ROUNDUP(J40*Info!$N$22),
I40&lt;=FILTER(Info!$N$2:N81, Info!$A$2:A81 = C40)*"&amp;"3/2,ROUNDUP(J40*Info!$J$26),
I40&gt;FILTER(Info!$N$2:N81, Info!$A$2:A81 = C40)*3/2,CONCATENATE(""Sänk helst cutoff i ""&amp;C40)),
AND(H40&lt;&gt;"""",""6x6 / 7x7""=C40),
IFS(H40/3&lt;=(Info!$J$6+Info!$J$7)*2/3,""Höj helst cumulative time limit"",
H40/3&lt;=Info!$J$6+Info!$"&amp;"J$7,ROUNDUP(J40*Info!$J$24),
H40/3&lt;=Info!$K$6+Info!$K$7,ROUNDUP(J40*Info!$K$24),
H40/3&lt;=Info!$L$6+Info!$L$7,ROUNDUP(J40*Info!L$24),
H40/3&lt;=Info!$M$6+Info!$M$7,ROUNDUP(J40*Info!$M$24),
H40/3&lt;=Info!$N$6+Info!$N$7,ROUNDUP(J40*Info!$N$24),
H40/3&lt;=(Info!$N$6+I"&amp;"nfo!$N$7)*3/2,ROUNDUP(J40*Info!$L$26),
H40/3&gt;(Info!$J$6+Info!$J$7)*3/2,""Sänk helst cumulative time limit""),
AND(H40&lt;&gt;"""",FILTER(Info!$F$2:F81, Info!$A$2:A81 = C40) = ""Yes""),
IFS(H40&lt;=FILTER(Info!$J$2:J81, Info!$A$2:A81 = C40)*2/3,CONCATENATE(""Höj he"&amp;"lst c.t.l. i ""&amp;C40),
H40&lt;=FILTER(Info!$J$2:J81, Info!$A$2:A81 = C40),ROUNDUP(J40*Info!$J$24),
H40&lt;=FILTER(Info!$K$2:K81, Info!$A$2:A81 = C40),ROUNDUP(J40*Info!$K$24),
H40&lt;=FILTER(Info!$L$2:L81, Info!$A$2:A81 = C40),ROUNDUP(J40*Info!L$24),
H40&lt;=FILTER(Inf"&amp;"o!$M$2:M81, Info!$A$2:A81 = C40),ROUNDUP(J40*Info!$M$24),
H40&lt;=FILTER(Info!$N$2:N81, Info!$A$2:A81 = C40),ROUNDUP(J40*Info!$N$24),
H40&lt;=FILTER(Info!$N$2:N81, Info!$A$2:A81 = C40)*3/2,ROUNDUP(J40*Info!$L$26),
H40&gt;FILTER(Info!$N$2:N81, Info!$A$2:A81 = C40)*"&amp;"3/2,CONCATENATE(""Sänk helst c.t.l. i ""&amp;C40)),
AND(H40&lt;&gt;"""",FILTER(Info!$F$2:F81, Info!$A$2:A81 = C40) = ""No""),
IFS(H40/AA40&lt;=FILTER(Info!$J$2:J81, Info!$A$2:A81 = C40)*2/3,CONCATENATE(""Höj helst c.t.l. i ""&amp;C40),
H40/AA40&lt;=FILTER(Info!$J$2:J81, Info"&amp;"!$A$2:A81 = C40),ROUNDUP(J40*Info!$J$24),
H40/AA40&lt;=FILTER(Info!$K$2:K81, Info!$A$2:A81 = C40),ROUNDUP(J40*Info!$K$24),
H40/AA40&lt;=FILTER(Info!$L$2:L81, Info!$A$2:A81 = C40),ROUNDUP(J40*Info!L$24),
H40/AA40&lt;=FILTER(Info!$M$2:M81, Info!$A$2:A81 = C40),ROUND"&amp;"UP(J40*Info!$M$24),
H40/AA40&lt;=FILTER(Info!$N$2:N81, Info!$A$2:A81 = C40),ROUNDUP(J40*Info!$N$24),
H40/AA40&lt;=FILTER(Info!$N$2:N81, Info!$A$2:A81 = C40)*3/2,ROUNDUP(J40*Info!$L$26),
H40/AA40&gt;FILTER(Info!$N$2:N81, Info!$A$2:A81 = C40)*3/2,CONCATENATE(""Sänk "&amp;"helst c.t.l. i ""&amp;C40)),
AND(I40="""",H40&lt;&gt;"""",J40&lt;&gt;""""),ROUNDUP(J40*Info!$T$29),
AND(I40&lt;&gt;"""",H40="""",J40&lt;&gt;""""),ROUNDUP(J40*Info!$T$26))"),"")</f>
        <v/>
      </c>
      <c r="L40" s="42">
        <f>IFERROR(__xludf.DUMMYFUNCTION("IFS(C40="""",0,
C40=""3x3 FMC"",Info!$B$9*N40+M40, C40=""3x3 MBLD"",Info!$B$18*N40+M40,
COUNTIF(Info!$A$22:A81,C40)&gt;0,FILTER(Info!$B$22:B81,Info!$A$22:A81=C40)+M40,
AND(C40&lt;&gt;"""",E40=""""),CONCATENATE(""Fyll i E""&amp;row()),
AND(C40&lt;&gt;"""",E40&lt;&gt;"""",E40&lt;&gt;1,E4"&amp;"0&lt;&gt;2,E40&lt;&gt;3,E40&lt;&gt;""Final""),CONCATENATE(""Fel format på E""&amp;row()),
K40=CONCATENATE(""Runda ""&amp;E40&amp;"" i ""&amp;C40&amp;"" finns redan""),CONCATENATE(""Fel i E""&amp;row()),
AND(C40&lt;&gt;"""",F40=""""),CONCATENATE(""Fyll i F""&amp;row()),
K40=CONCATENATE(C40&amp;"" måste ha forma"&amp;"tet ""&amp;FILTER(Info!$D$2:D81, Info!$A$2:A81 = C40)),CONCATENATE(""Fel format på F""&amp;row()),
AND(C40&lt;&gt;"""",D40=1,H40="""",FILTER(Info!$F$2:F81, Info!$A$2:A81 = C40) = ""Yes""),CONCATENATE(""Fyll i H""&amp;row()),
AND(C40&lt;&gt;"""",D40=1,I40="""",FILTER(Info!$E$2:E8"&amp;"1, Info!$A$2:A81 = C40) = ""Yes""),CONCATENATE(""Fyll i I""&amp;row()),
AND(C40&lt;&gt;"""",J40=""""),CONCATENATE(""Fyll i J""&amp;row()),
AND(C40&lt;&gt;"""",K40="""",OR(H40&lt;&gt;"""",I40&lt;&gt;"""")),CONCATENATE(""Fyll i K""&amp;row()),
AND(C40&lt;&gt;"""",K40=""""),CONCATENATE(""Skriv samma"&amp;" i K""&amp;row()&amp;"" som i J""&amp;row()),
AND(OR(C40=""4x4 BLD"",C40=""5x5 BLD"",C40=""4x4 / 5x5 BLD"")=TRUE,V40&lt;=P40),
MROUND(H40*(Info!$T$20-((Info!$T$20-1)/2)*(1-V40/P40))*(1+((J40/K40)-1)*(1-Info!$J$24))*N40+(Info!$T$11/2)+(N40*Info!$T$11)+(N40*Info!$T$14*(O4"&amp;"0-1)),0.01)+M40,
AND(OR(C40=""4x4 BLD"",C40=""5x5 BLD"",C40=""4x4 / 5x5 BLD"")=TRUE,V40&gt;P40),
MROUND((((J40*Z40+K40*(AA40-Z40))*(H40*Info!$T$20/AA40))/X40)*(1+((J40/K40)-1)*(1-Info!$J$24))*(1+(X40-Info!$T$8)/100)+(Info!$T$11/2)+(N40*Info!$T$11)+(N40*Info!"&amp;"$T$14*(O40-1)),0.01)+M40,
AND(C40=""3x3 BLD"",V40&lt;=P40),
MROUND(H40*(Info!$T$23-((Info!$T$23-1)/2)*(1-V40/P40))*(1+((J40/K40)-1)*(1-Info!$J$24))*N40+(Info!$T$11/2)+(N40*Info!$T$11)+(N40*Info!$T$14*(O40-1)),0.01)+M40,
AND(C40=""3x3 BLD"",V40&gt;P40),
MROUND(("&amp;"((J40*Z40+K40*(AA40-Z40))*(H40*Info!$T$23/AA40))/X40)*(1+((J40/K40)-1)*(1-Info!$J$24))*(1+(X40-Info!$T$8)/100)+(Info!$T$11/2)+(N40*Info!$T$11)+(N40*Info!$T$14*(O40-1)),0.01)+M40,
E40=1,MROUND((((J40*Z40+K40*(AA40-Z40))*Y40)/X40)*(1+(X40-Info!$T$8)/100)+(N"&amp;"40*Info!$T$11)+(N40*Info!$T$14*(O40-1)),0.01)+M40,
AND(E40=""Final"",N40=1,FILTER(Info!$G$2:$G$20,Info!$A$2:$A$20=C40)=""Mycket svår""),
MROUND((((J40*Z40+K40*(AA40-Z40))*(Y40*Info!$T$38))/X40)*(1+(X40-Info!$T$8)/100)+(N40*Info!$T$11)+(N40*Info!$T$14*(O40"&amp;"-1)),0.01)+M40,
AND(E40=""Final"",N40=1,FILTER(Info!$G$2:$G$20,Info!$A$2:$A$20=C40)=""Svår""),
MROUND((((J40*Z40+K40*(AA40-Z40))*(Y40*Info!$T$35))/X40)*(1+(X40-Info!$T$8)/100)+(N40*Info!$T$11)+(N40*Info!$T$14*(O40-1)),0.01)+M40,
E40=""Final"",MROUND((((J4"&amp;"0*Z40+K40*(AA40-Z40))*(Y40*Info!$T$5))/X40)*(1+(X40-Info!$T$8)/100)+(N40*Info!$T$11)+(N40*Info!$T$14*(O40-1)),0.01)+M40,
OR(E40=2,E40=3),MROUND((((J40*Z40+K40*(AA40-Z40))*(Y40*Info!$T$2))/X40)*(1+(X40-Info!$T$8)/100)+(N40*Info!$T$11)+(N40*Info!$T$14*(O40-"&amp;"1)),0.01)+M40)"),0.0)</f>
        <v>0</v>
      </c>
      <c r="M40" s="43">
        <f t="shared" si="4"/>
        <v>0</v>
      </c>
      <c r="N40" s="43" t="str">
        <f>IFS(OR(COUNTIF(Info!$A$22:A81,C40)&gt;0,C40=""),"",
OR(C40="4x4 BLD",C40="5x5 BLD",C40="3x3 MBLD",C40="3x3 FMC",C40="4x4 / 5x5 BLD"),1,
AND(E40="Final",Q40="Yes",MAX(1,ROUNDUP(J40/P40))&gt;1),MAX(2,ROUNDUP(J40/P40)),
AND(E40="Final",Q40="No",MAX(1,ROUNDUP(J40/((P40*2)+2.625-Y40*1.5)))&gt;1),MAX(2,ROUNDUP(J40/((P40*2)+2.625-Y40*1.5))),
E40="Final",1,
Q40="Yes",MAX(2,ROUNDUP(J40/P40)),
TRUE,MAX(2,ROUNDUP(J40/((P40*2)+2.625-Y40*1.5))))</f>
        <v/>
      </c>
      <c r="O40" s="43" t="str">
        <f>IFS(OR(COUNTIF(Info!$A$22:A81,C40)&gt;0,C40=""),"",
OR("3x3 MBLD"=C40,"3x3 FMC"=C40)=TRUE,"",
D40=$E$4,$G$6,D40=$K$4,$M$6,D40=$Q$4,$S$6,D40=$W$4,$Y$6,
TRUE,$S$2)</f>
        <v/>
      </c>
      <c r="P40" s="43" t="str">
        <f>IFS(OR(COUNTIF(Info!$A$22:A81,C40)&gt;0,C40=""),"",
OR("3x3 MBLD"=C40,"3x3 FMC"=C40)=TRUE,"",
D40=$E$4,$E$6,D40=$K$4,$K$6,D40=$Q$4,$Q$6,D40=$W$4,$W$6,
TRUE,$Q$2)</f>
        <v/>
      </c>
      <c r="Q40" s="44" t="str">
        <f>IFS(OR(COUNTIF(Info!$A$22:A81,C40)&gt;0,C40=""),"",
OR("3x3 MBLD"=C40,"3x3 FMC"=C40)=TRUE,"",
D40=$E$4,$I$6,D40=$K$4,$O$6,D40=$Q$4,$U$6,D40=$W$4,$AA$6,
TRUE,$U$2)</f>
        <v/>
      </c>
      <c r="R40" s="45" t="str">
        <f>IFERROR(__xludf.DUMMYFUNCTION("IF(C40="""","""",IFERROR(FILTER(Info!$B$22:B81,Info!$A$22:A81=C40)+M40,""?""))"),"")</f>
        <v/>
      </c>
      <c r="S40" s="46" t="str">
        <f>IFS(OR(COUNTIF(Info!$A$22:A81,C40)&gt;0,C40=""),"",
AND(H40="",I40=""),J40,
TRUE,"?")</f>
        <v/>
      </c>
      <c r="T40" s="45" t="str">
        <f>IFS(OR(COUNTIF(Info!$A$22:A81,C40)&gt;0,C40=""),"",
AND(L40&lt;&gt;0,OR(R40="?",R40="")),"Fyll i R-kolumnen",
OR(C40="3x3 FMC",C40="3x3 MBLD"),R40,
AND(L40&lt;&gt;0,OR(S40="?",S40="")),"Fyll i S-kolumnen",
OR(COUNTIF(Info!$A$22:A81,C40)&gt;0,C40=""),"",
TRUE,Y40*R40/L40)</f>
        <v/>
      </c>
      <c r="U40" s="45"/>
      <c r="V40" s="47" t="str">
        <f>IFS(OR(COUNTIF(Info!$A$22:A81,C40)&gt;0,C40=""),"",
OR("3x3 MBLD"=C40,"3x3 FMC"=C40)=TRUE,"",
TRUE,MROUND((J40/N40),0.01))</f>
        <v/>
      </c>
      <c r="W40" s="48" t="str">
        <f>IFS(OR(COUNTIF(Info!$A$22:A81,C40)&gt;0,C40=""),"",
TRUE,L40/N40)</f>
        <v/>
      </c>
      <c r="X40" s="49" t="str">
        <f>IFS(OR(COUNTIF(Info!$A$22:A81,C40)&gt;0,C40=""),"",
OR("3x3 MBLD"=C40,"3x3 FMC"=C40)=TRUE,"",
OR(C40="4x4 BLD",C40="5x5 BLD",C40="4x4 / 5x5 BLD",AND(C40="3x3 BLD",H40&lt;&gt;""))=TRUE,MIN(V40,P40),
TRUE,MIN(P40,V40,MROUND(((V40*2/3)+((Y40-1.625)/2)),0.01)))</f>
        <v/>
      </c>
      <c r="Y40" s="48" t="str">
        <f>IFERROR(__xludf.DUMMYFUNCTION("IFS(OR(COUNTIF(Info!$A$22:A81,C40)&gt;0,C40=""""),"""",
FILTER(Info!$F$2:F81, Info!$A$2:A81 = C40) = ""Yes"",H40/AA40,
""3x3 FMC""=C40,Info!$B$9,""3x3 MBLD""=C40,Info!$B$18,
AND(E40=1,I40="""",H40="""",Q40=""No"",G40&gt;SUMIF(Info!$A$2:A81,C40,Info!$B$2:B81)*1."&amp;"5),
MIN(SUMIF(Info!$A$2:A81,C40,Info!$B$2:B81)*1.1,SUMIF(Info!$A$2:A81,C40,Info!$B$2:B81)*(1.15-(0.15*(SUMIF(Info!$A$2:A81,C40,Info!$B$2:B81)*1.5)/G40))),
AND(E40=1,I40="""",H40="""",Q40=""Yes"",G40&gt;SUMIF(Info!$A$2:A81,C40,Info!$C$2:C81)*1.5),
MIN(SUMIF(I"&amp;"nfo!$A$2:A81,C40,Info!$C$2:C81)*1.1,SUMIF(Info!$A$2:A81,C40,Info!$C$2:C81)*(1.15-(0.15*(SUMIF(Info!$A$2:A81,C40,Info!$C$2:C81)*1.5)/G40))),
Q40=""No"",SUMIF(Info!$A$2:A81,C40,Info!$B$2:B81),
Q40=""Yes"",SUMIF(Info!$A$2:A81,C40,Info!$C$2:C81))"),"")</f>
        <v/>
      </c>
      <c r="Z40" s="47" t="str">
        <f>IFS(OR(COUNTIF(Info!$A$22:A81,C40)&gt;0,C40=""),"",
AND(OR("3x3 FMC"=C40,"3x3 MBLD"=C40),I40&lt;&gt;""),1,
AND(OR(H40&lt;&gt;"",I40&lt;&gt;""),F40="Avg of 5"),2,
F40="Avg of 5",AA40,
AND(OR(H40&lt;&gt;"",I40&lt;&gt;""),F40="Mean of 3",C40="6x6 / 7x7"),2,
AND(OR(H40&lt;&gt;"",I40&lt;&gt;""),F40="Mean of 3"),1,
F40="Mean of 3",AA40,
AND(OR(H40&lt;&gt;"",I40&lt;&gt;""),F40="Best of 3",C40="4x4 / 5x5 BLD"),2,
AND(OR(H40&lt;&gt;"",I40&lt;&gt;""),F40="Best of 3"),1,
F40="Best of 2",AA40,
F40="Best of 1",AA40)</f>
        <v/>
      </c>
      <c r="AA40" s="47" t="str">
        <f>IFS(OR(COUNTIF(Info!$A$22:A81,C40)&gt;0,C40=""),"",
AND(OR("3x3 MBLD"=C40,"3x3 FMC"=C40),F40="Best of 1"=TRUE),1,
AND(OR("3x3 MBLD"=C40,"3x3 FMC"=C40),F40="Best of 2"=TRUE),2,
AND(OR("3x3 MBLD"=C40,"3x3 FMC"=C40),OR(F40="Best of 3",F40="Mean of 3")=TRUE),3,
AND(F40="Mean of 3",C40="6x6 / 7x7"),6,
AND(F40="Best of 3",C40="4x4 / 5x5 BLD"),6,
F40="Avg of 5",5,F40="Mean of 3",3,F40="Best of 3",3,F40="Best of 2",2,F40="Best of 1",1)</f>
        <v/>
      </c>
      <c r="AB40" s="50"/>
    </row>
    <row r="41" ht="15.75" customHeight="1">
      <c r="A41" s="35">
        <f>IFERROR(__xludf.DUMMYFUNCTION("IFS(indirect(""A""&amp;row()-1)=""Start"",TIME(indirect(""A""&amp;row()-2),indirect(""B""&amp;row()-2),0),
$O$2=""No"",TIME(0,($A$6*60+$B$6)+CEILING(SUM($L$7:indirect(""L""&amp;row()-1)),5),0),
D41=$E$2,TIME(0,($A$6*60+$B$6)+CEILING(SUM(IFERROR(FILTER($L$7:indirect(""L"""&amp;"&amp;row()-1),REGEXMATCH($D$7:indirect(""D""&amp;row()-1),$E$2)),0)),5),0),
TRUE,""=time(hh;mm;ss)"")"),0.375)</f>
        <v>0.375</v>
      </c>
      <c r="B41" s="36">
        <f>IFERROR(__xludf.DUMMYFUNCTION("IFS($O$2=""No"",TIME(0,($A$6*60+$B$6)+CEILING(SUM($L$7:indirect(""L""&amp;row())),5),0),
D41=$E$2,TIME(0,($A$6*60+$B$6)+CEILING(SUM(FILTER($L$7:indirect(""L""&amp;row()),REGEXMATCH($D$7:indirect(""D""&amp;row()),$E$2))),5),0),
A41=""=time(hh;mm;ss)"",CONCATENATE(""Sk"&amp;"riv tid i A""&amp;row()),
AND(A41&lt;&gt;"""",A41&lt;&gt;""=time(hh;mm;ss)""),A41+TIME(0,CEILING(indirect(""L""&amp;row()),5),0))"),0.375)</f>
        <v>0.375</v>
      </c>
      <c r="C41" s="37"/>
      <c r="D41" s="38" t="str">
        <f t="shared" si="3"/>
        <v>Stora salen</v>
      </c>
      <c r="E41" s="38" t="str">
        <f>IFERROR(__xludf.DUMMYFUNCTION("IFS(COUNTIF(Info!$A$22:A81,C41)&gt;0,"""",
AND(OR(""3x3 FMC""=C41,""3x3 MBLD""=C41),COUNTIF($C$7:indirect(""C""&amp;row()),indirect(""C""&amp;row()))&gt;=13),""E - Error"",
AND(OR(""3x3 FMC""=C41,""3x3 MBLD""=C41),COUNTIF($C$7:indirect(""C""&amp;row()),indirect(""C""&amp;row()"&amp;"))=12),""Final - A3"",
AND(OR(""3x3 FMC""=C41,""3x3 MBLD""=C41),COUNTIF($C$7:indirect(""C""&amp;row()),indirect(""C""&amp;row()))=11),""Final - A2"",
AND(OR(""3x3 FMC""=C41,""3x3 MBLD""=C41),COUNTIF($C$7:indirect(""C""&amp;row()),indirect(""C""&amp;row()))=10),""Final - "&amp;"A1"",
AND(OR(""3x3 FMC""=C41,""3x3 MBLD""=C41),COUNTIF($C$7:indirect(""C""&amp;row()),indirect(""C""&amp;row()))=9,
COUNTIF($C$7:$C$102,indirect(""C""&amp;row()))&gt;9),""R3 - A3"",
AND(OR(""3x3 FMC""=C41,""3x3 MBLD""=C41),COUNTIF($C$7:indirect(""C""&amp;row()),indirect(""C"&amp;"""&amp;row()))=9,
COUNTIF($C$7:$C$102,indirect(""C""&amp;row()))&lt;=9),""Final - A3"",
AND(OR(""3x3 FMC""=C41,""3x3 MBLD""=C41),COUNTIF($C$7:indirect(""C""&amp;row()),indirect(""C""&amp;row()))=8,
COUNTIF($C$7:$C$102,indirect(""C""&amp;row()))&gt;9),""R3 - A2"",
AND(OR(""3x3 FMC"&amp;"""=C41,""3x3 MBLD""=C41),COUNTIF($C$7:indirect(""C""&amp;row()),indirect(""C""&amp;row()))=8,
COUNTIF($C$7:$C$102,indirect(""C""&amp;row()))&lt;=9),""Final - A2"",
AND(OR(""3x3 FMC""=C41,""3x3 MBLD""=C41),COUNTIF($C$7:indirect(""C""&amp;row()),indirect(""C""&amp;row()))=7,
COUN"&amp;"TIF($C$7:$C$102,indirect(""C""&amp;row()))&gt;9),""R3 - A1"",
AND(OR(""3x3 FMC""=C41,""3x3 MBLD""=C41),COUNTIF($C$7:indirect(""C""&amp;row()),indirect(""C""&amp;row()))=7,
COUNTIF($C$7:$C$102,indirect(""C""&amp;row()))&lt;=9),""Final - A1"",
AND(OR(""3x3 FMC""=C41,""3x3 MBLD"""&amp;"=C41),COUNTIF($C$7:indirect(""C""&amp;row()),indirect(""C""&amp;row()))=6,
COUNTIF($C$7:$C$102,indirect(""C""&amp;row()))&gt;6),""R2 - A3"",
AND(OR(""3x3 FMC""=C41,""3x3 MBLD""=C41),COUNTIF($C$7:indirect(""C""&amp;row()),indirect(""C""&amp;row()))=6,
COUNTIF($C$7:$C$102,indirec"&amp;"t(""C""&amp;row()))&lt;=6),""Final - A3"",
AND(OR(""3x3 FMC""=C41,""3x3 MBLD""=C41),COUNTIF($C$7:indirect(""C""&amp;row()),indirect(""C""&amp;row()))=5,
COUNTIF($C$7:$C$102,indirect(""C""&amp;row()))&gt;6),""R2 - A2"",
AND(OR(""3x3 FMC""=C41,""3x3 MBLD""=C41),COUNTIF($C$7:indi"&amp;"rect(""C""&amp;row()),indirect(""C""&amp;row()))=5,
COUNTIF($C$7:$C$102,indirect(""C""&amp;row()))&lt;=6),""Final - A2"",
AND(OR(""3x3 FMC""=C41,""3x3 MBLD""=C41),COUNTIF($C$7:indirect(""C""&amp;row()),indirect(""C""&amp;row()))=4,
COUNTIF($C$7:$C$102,indirect(""C""&amp;row()))&gt;6),"&amp;"""R2 - A1"",
AND(OR(""3x3 FMC""=C41,""3x3 MBLD""=C41),COUNTIF($C$7:indirect(""C""&amp;row()),indirect(""C""&amp;row()))=4,
COUNTIF($C$7:$C$102,indirect(""C""&amp;row()))&lt;=6),""Final - A1"",
AND(OR(""3x3 FMC""=C41,""3x3 MBLD""=C41),COUNTIF($C$7:indirect(""C""&amp;row()),i"&amp;"ndirect(""C""&amp;row()))=3),""R1 - A3"",
AND(OR(""3x3 FMC""=C41,""3x3 MBLD""=C41),COUNTIF($C$7:indirect(""C""&amp;row()),indirect(""C""&amp;row()))=2),""R1 - A2"",
AND(OR(""3x3 FMC""=C41,""3x3 MBLD""=C41),COUNTIF($C$7:indirect(""C""&amp;row()),indirect(""C""&amp;row()))=1),"&amp;"""R1 -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C41),ROUNDUP((FILTER(Info!$H$2:H81,Info!$A$2:A81=C41)/FILTER(Info!$H$2:H81,Info!$A$2:A81=$K$2))*$I$2)&gt;99),3,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C41),ROUNDUP((FILTER(Info!$H$2:H81,Info!$A$2:A81=C41)/FILTER(Info!$H$2:H81,Info!$A$2:A81=$K$2))*$I$2)&gt;15),2,
AND(COUNTIF($C$7:indirect(""C""&amp;row()),indirect(""C""&amp;row()))=2,COUNTIF($C$7:$C$102,indirect(""C""&amp;row()))=COUNTIF($"&amp;"C$7:indirect(""C""&amp;row()),indirect(""C""&amp;row()))),""Final"",
COUNTIF($C$7:indirect(""C""&amp;row()),indirect(""C""&amp;row()))=1,1,
COUNTIF($C$7:indirect(""C""&amp;row()),indirect(""C""&amp;row()))=0,"""")"),"")</f>
        <v/>
      </c>
      <c r="F41" s="39" t="str">
        <f>IFERROR(__xludf.DUMMYFUNCTION("IFS(C41="""","""",
AND(C41=""3x3 FMC"",MOD(COUNTIF($C$7:indirect(""C""&amp;row()),indirect(""C""&amp;row())),3)=0),""Mean of 3"",
AND(C41=""3x3 MBLD"",MOD(COUNTIF($C$7:indirect(""C""&amp;row()),indirect(""C""&amp;row())),3)=0),""Best of 3"",
AND(C41=""3x3 FMC"",MOD(COUNT"&amp;"IF($C$7:indirect(""C""&amp;row()),indirect(""C""&amp;row())),3)=2,
COUNTIF($C$7:$C$102,indirect(""C""&amp;row()))&lt;=COUNTIF($C$7:indirect(""C""&amp;row()),indirect(""C""&amp;row()))),""Best of 2"",
AND(C41=""3x3 FMC"",MOD(COUNTIF($C$7:indirect(""C""&amp;row()),indirect(""C""&amp;row("&amp;"))),3)=2,
COUNTIF($C$7:$C$102,indirect(""C""&amp;row()))&gt;COUNTIF($C$7:indirect(""C""&amp;row()),indirect(""C""&amp;row()))),""Mean of 3"",
AND(C41=""3x3 MBLD"",MOD(COUNTIF($C$7:indirect(""C""&amp;row()),indirect(""C""&amp;row())),3)=2,
COUNTIF($C$7:$C$102,indirect(""C""&amp;row("&amp;")))&lt;=COUNTIF($C$7:indirect(""C""&amp;row()),indirect(""C""&amp;row()))),""Best of 2"",
AND(C41=""3x3 MBLD"",MOD(COUNTIF($C$7:indirect(""C""&amp;row()),indirect(""C""&amp;row())),3)=2,
COUNTIF($C$7:$C$102,indirect(""C""&amp;row()))&gt;COUNTIF($C$7:indirect(""C""&amp;row()),indirect("&amp;"""C""&amp;row()))),""Best of 3"",
AND(C41=""3x3 FMC"",MOD(COUNTIF($C$7:indirect(""C""&amp;row()),indirect(""C""&amp;row())),3)=1,
COUNTIF($C$7:$C$102,indirect(""C""&amp;row()))&lt;=COUNTIF($C$7:indirect(""C""&amp;row()),indirect(""C""&amp;row()))),""Best of 1"",
AND(C41=""3x3 FMC"""&amp;",MOD(COUNTIF($C$7:indirect(""C""&amp;row()),indirect(""C""&amp;row())),3)=1,
COUNTIF($C$7:$C$102,indirect(""C""&amp;row()))=COUNTIF($C$7:indirect(""C""&amp;row()),indirect(""C""&amp;row()))+1),""Best of 2"",
AND(C41=""3x3 FMC"",MOD(COUNTIF($C$7:indirect(""C""&amp;row()),indirect"&amp;"(""C""&amp;row())),3)=1,
COUNTIF($C$7:$C$102,indirect(""C""&amp;row()))&gt;COUNTIF($C$7:indirect(""C""&amp;row()),indirect(""C""&amp;row()))),""Mean of 3"",
AND(C41=""3x3 MBLD"",MOD(COUNTIF($C$7:indirect(""C""&amp;row()),indirect(""C""&amp;row())),3)=1,
COUNTIF($C$7:$C$102,indirect"&amp;"(""C""&amp;row()))&lt;=COUNTIF($C$7:indirect(""C""&amp;row()),indirect(""C""&amp;row()))),""Best of 1"",
AND(C41=""3x3 MBLD"",MOD(COUNTIF($C$7:indirect(""C""&amp;row()),indirect(""C""&amp;row())),3)=1,
COUNTIF($C$7:$C$102,indirect(""C""&amp;row()))=COUNTIF($C$7:indirect(""C""&amp;row()"&amp;"),indirect(""C""&amp;row()))+1),""Best of 2"",
AND(C41=""3x3 MBLD"",MOD(COUNTIF($C$7:indirect(""C""&amp;row()),indirect(""C""&amp;row())),3)=1,
COUNTIF($C$7:$C$102,indirect(""C""&amp;row()))&gt;COUNTIF($C$7:indirect(""C""&amp;row()),indirect(""C""&amp;row()))),""Best of 3"",
TRUE,("&amp;"IFERROR(FILTER(Info!$D$2:D81, Info!$A$2:A81 = C41), """")))"),"")</f>
        <v/>
      </c>
      <c r="G41" s="40" t="str">
        <f>IFERROR(__xludf.DUMMYFUNCTION("IFS(OR(COUNTIF(Info!$A$22:A81,C41)&gt;0,C41=""""),"""",
OR(""3x3 MBLD""=C41,""3x3 FMC""=C41),60,
AND(E41=1,FILTER(Info!$F$2:F81, Info!$A$2:A81 = C41) = ""No""),FILTER(Info!$P$2:P81, Info!$A$2:A81 = C41),
AND(E41=2,FILTER(Info!$F$2:F81, Info!$A$2:A81 = C41) ="&amp;" ""No""),FILTER(Info!$Q$2:Q81, Info!$A$2:A81 = C41),
AND(E41=3,FILTER(Info!$F$2:F81, Info!$A$2:A81 = C41) = ""No""),FILTER(Info!$R$2:R81, Info!$A$2:A81 = C41),
AND(E41=""Final"",FILTER(Info!$F$2:F81, Info!$A$2:A81 = C41) = ""No""),FILTER(Info!$S$2:S81, In"&amp;"fo!$A$2:A81 = C41),
FILTER(Info!$F$2:F81, Info!$A$2:A81 = C41) = ""Yes"","""")"),"")</f>
        <v/>
      </c>
      <c r="H41" s="40" t="str">
        <f>IFERROR(__xludf.DUMMYFUNCTION("IFS(OR(COUNTIF(Info!$A$22:A81,C41)&gt;0,C41=""""),"""",
OR(""3x3 MBLD""=C41,""3x3 FMC""=C41)=TRUE,"""",
FILTER(Info!$F$2:F81, Info!$A$2:A81 = C41) = ""Yes"",FILTER(Info!$O$2:O81, Info!$A$2:A81 = C41),
FILTER(Info!$F$2:F81, Info!$A$2:A81 = C41) = ""No"",IF(G4"&amp;"1="""",FILTER(Info!$O$2:O81, Info!$A$2:A81 = C41),""""))"),"")</f>
        <v/>
      </c>
      <c r="I41" s="40" t="str">
        <f>IFERROR(__xludf.DUMMYFUNCTION("IFS(OR(COUNTIF(Info!$A$22:A81,C41)&gt;0,C41="""",H41&lt;&gt;""""),"""",
AND(E41&lt;&gt;1,E41&lt;&gt;""R1 - A1"",E41&lt;&gt;""R1 - A2"",E41&lt;&gt;""R1 - A3""),"""",
FILTER(Info!$E$2:E81, Info!$A$2:A81 = C41) = ""Yes"",IF(H41="""",FILTER(Info!$L$2:L81, Info!$A$2:A81 = C41),""""),
FILTER(I"&amp;"nfo!$E$2:E81, Info!$A$2:A81 = C41) = ""No"","""")"),"")</f>
        <v/>
      </c>
      <c r="J41" s="40" t="str">
        <f>IFERROR(__xludf.DUMMYFUNCTION("IFS(OR(COUNTIF(Info!$A$22:A81,C41)&gt;0,C41="""",""3x3 MBLD""=C41,""3x3 FMC""=C41),"""",
AND(E41=1,FILTER(Info!$H$2:H81,Info!$A$2:A81 = C41)&lt;=FILTER(Info!$H$2:H81,Info!$A$2:A81=$K$2)),
ROUNDUP((FILTER(Info!$H$2:H81,Info!$A$2:A81 = C41)/FILTER(Info!$H$2:H81,I"&amp;"nfo!$A$2:A81=$K$2))*$I$2),
AND(E41=1,FILTER(Info!$H$2:H81,Info!$A$2:A81 = C41)&gt;FILTER(Info!$H$2:H81,Info!$A$2:A81=$K$2)),""K2 - Error"",
AND(E41=2,FILTER($J$7:indirect(""J""&amp;row()-1),$C$7:indirect(""C""&amp;row()-1)=C41)&lt;=7),""J - Error"",
E41=2,FLOOR(FILTER("&amp;"$J$7:indirect(""J""&amp;row()-1),$C$7:indirect(""C""&amp;row()-1)=C41)*Info!$T$32),
AND(E41=3,FILTER($J$7:indirect(""J""&amp;row()-1),$C$7:indirect(""C""&amp;row()-1)=C41)&lt;=15),""J - Error"",
E41=3,FLOOR(Info!$T$32*FLOOR(FILTER($J$7:indirect(""J""&amp;row()-1),$C$7:indirect("&amp;"""C""&amp;row()-1)=C41)*Info!$T$32)),
AND(E41=""Final"",COUNTIF($C$7:$C$102,C41)=2,FILTER($J$7:indirect(""J""&amp;row()-1),$C$7:indirect(""C""&amp;row()-1)=C41)&lt;=7),""J - Error"",
AND(E41=""Final"",COUNTIF($C$7:$C$102,C41)=2),
MIN(P41,FLOOR(FILTER($J$7:indirect(""J"""&amp;"&amp;row()-1),$C$7:indirect(""C""&amp;row()-1)=C41)*Info!$T$32)),
AND(E41=""Final"",COUNTIF($C$7:$C$102,C41)=3,FILTER($J$7:indirect(""J""&amp;row()-1),$C$7:indirect(""C""&amp;row()-1)=C41)&lt;=15),""J - Error"",
AND(E41=""Final"",COUNTIF($C$7:$C$102,C41)=3),
MIN(P41,FLOOR(I"&amp;"nfo!$T$32*FLOOR(FILTER($J$7:indirect(""J""&amp;row()-1),$C$7:indirect(""C""&amp;row()-1)=C41)*Info!$T$32))),
AND(E41=""Final"",COUNTIF($C$7:$C$102,C41)&gt;=4,FILTER($J$7:indirect(""J""&amp;row()-1),$C$7:indirect(""C""&amp;row()-1)=C41)&lt;=99),""J - Error"",
AND(E41=""Final"","&amp;"COUNTIF($C$7:$C$102,C41)&gt;=4),
MIN(P41,FLOOR(Info!$T$32*FLOOR(Info!$T$32*FLOOR(FILTER($J$7:indirect(""J""&amp;row()-1),$C$7:indirect(""C""&amp;row()-1)=C41)*Info!$T$32)))))"),"")</f>
        <v/>
      </c>
      <c r="K41" s="41" t="str">
        <f>IFERROR(__xludf.DUMMYFUNCTION("IFS(AND(indirect(""D""&amp;row()+2)&lt;&gt;$E$2,indirect(""D""&amp;row()+1)=""""),CONCATENATE(""Tom rad! Kopiera hela rad ""&amp;row()&amp;"" dit""),
AND(indirect(""D""&amp;row()-1)&lt;&gt;""Rum"",indirect(""D""&amp;row()-1)=""""),CONCATENATE(""Tom rad! Kopiera hela rad ""&amp;row()&amp;"" dit""),
"&amp;"C41="""","""",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OR(AND(D41&lt;&gt;$E$2,D41&lt;&gt;$E$4,D41&lt;&gt;$K$4,D41&lt;&gt;$Q$4),D41="&amp;"""""),CONCATENATE(""Rum: ""&amp;D41&amp;"" finns ej, byt i D""&amp;row()),
AND(indirect(""D""&amp;row()-1)=""Rum"",C41=""""),CONCATENATE(""För att börja: skriv i cell C""&amp;row()),
AND(C41=""Paus"",M41&lt;=0),CONCATENATE(""Skriv pausens längd i M""&amp;row()),
OR(COUNTIF(Info!$A$"&amp;"22:A81,C41)&gt;0,C41=""""),"""",
AND(D41&lt;&gt;$E$2,$O$2=""Yes"",A41=""=time(hh;mm;ss)""),CONCATENATE(""Skriv starttid för ""&amp;C41&amp;"" i A""&amp;row()),
E41=""E - Error"",CONCATENATE(""För många ""&amp;C41&amp;"" rundor!""),
AND(C41&lt;&gt;""3x3 FMC"",C41&lt;&gt;""3x3 MBLD"",E41&lt;&gt;1,E41&lt;&gt;"&amp;"""Final"",IFERROR(FILTER($E$7:indirect(""E""&amp;row()-1),
$E$7:indirect(""E""&amp;row()-1)=E41-1,$C$7:indirect(""C""&amp;row()-1)=C41))=FALSE),CONCATENATE(""Kan ej vara R""&amp;E41&amp;"", saknar R""&amp;(E41-1)),
AND(indirect(""E""&amp;row()-1)&lt;&gt;""Omgång"",IFERROR(FILTER($E$7:indi"&amp;"rect(""E""&amp;row()-1),
$E$7:indirect(""E""&amp;row()-1)=E41,$C$7:indirect(""C""&amp;row()-1)=C41)=E41)=TRUE),CONCATENATE(""Runda ""&amp;E41&amp;"" i ""&amp;C41&amp;"" finns redan""),
AND(C41&lt;&gt;""3x3 BLD"",C41&lt;&gt;""4x4 BLD"",C41&lt;&gt;""5x5 BLD"",C41&lt;&gt;""4x4 / 5x5 BLD"",OR(E41=2,E41=3,E41="&amp;"""Final""),H41&lt;&gt;""""),CONCATENATE(E41&amp;""-rundor brukar ej ha c.t.l.""),
AND(OR(E41=2,E41=3,E41=""Final""),I41&lt;&gt;""""),CONCATENATE(E41&amp;""-rundor brukar ej ha cutoff""),
AND(OR(C41=""3x3 FMC"",C41=""3x3 MBLD""),OR(E41=1,E41=2,E41=3,E41=""Final"")),CONCATENAT"&amp;"E(C41&amp;""s omgång är Rx - Ax""),
AND(C41&lt;&gt;""3x3 MBLD"",C41&lt;&gt;""3x3 FMC"",FILTER(Info!$D$2:D81, Info!$A$2:A81 = C41)&lt;&gt;F41),CONCATENATE(C41&amp;"" måste ha formatet ""&amp;FILTER(Info!$D$2:D81, Info!$A$2:A81 = C41)),
AND(C41=""3x3 MBLD"",OR(F41=""Avg of 5"",F41=""Mea"&amp;"n of 3"")),CONCATENATE(""Ogiltigt format för ""&amp;C41),
AND(C41=""3x3 FMC"",OR(F41=""Avg of 5"",F41=""Best of 3"")),CONCATENATE(""Ogiltigt format för ""&amp;C41),
AND(OR(F41=""Best of 1"",F41=""Best of 2"",F41=""Best of 3""),I41&lt;&gt;""""),CONCATENATE(F41&amp;""-rundor"&amp;" får ej ha cutoff""),
AND(OR(C41=""3x3 FMC"",C41=""3x3 MBLD""),G41&lt;&gt;60),CONCATENATE(C41&amp;"" måste ha time limit: 60""),
AND(OR(C41=""3x3 FMC"",C41=""3x3 MBLD""),H41&lt;&gt;""""),CONCATENATE(C41&amp;"" kan inte ha c.t.l.""),
AND(G41&lt;&gt;"""",H41&lt;&gt;""""),""Välj time limit"&amp;" ELLER c.t.l"",
AND(C41=""6x6 / 7x7"",G41="""",H41=""""),""Sätt time limit (x / y) eller c.t.l (z)"",
AND(G41="""",H41=""""),""Sätt en time limit eller c.t.l"",
AND(OR(C41=""6x6 / 7x7"",C41=""4x4 / 5x5 BLD""),G41&lt;&gt;"""",REGEXMATCH(TO_TEXT(G41),"" / "")=FAL"&amp;"SE),CONCATENATE(""Time limit måste vara x / y""),
AND(H41&lt;&gt;"""",I41&lt;&gt;""""),CONCATENATE(C41&amp;"" brukar ej ha cutoff OCH c.t.l""),
AND(E41=1,H41="""",I41="""",OR(FILTER(Info!$E$2:E81, Info!$A$2:A81 = C41) = ""Yes"",FILTER(Info!$F$2:F81, Info!$A$2:A81 = C41) "&amp;"= ""Yes""),OR(F41=""Avg of 5"",F41=""Mean of 3"")),CONCATENATE(C41&amp;"" bör ha cutoff eller c.t.l""),
AND(C41=""6x6 / 7x7"",I41&lt;&gt;"""",REGEXMATCH(TO_TEXT(I41),"" / "")=FALSE),CONCATENATE(""Cutoff måste vara x / y""),
AND(H41&lt;&gt;"""",ISNUMBER(H41)=FALSE),""C.t."&amp;"l. måste vara positivt tal (x)"",
AND(C41&lt;&gt;""6x6 / 7x7"",I41&lt;&gt;"""",ISNUMBER(I41)=FALSE),""Cutoff måste vara positivt tal (x)"",
AND(H41&lt;&gt;"""",FILTER(Info!$E$2:E81, Info!$A$2:A81 = C41) = ""No"",FILTER(Info!$F$2:F81, Info!$A$2:A81 = C41) = ""No""),CONCATEN"&amp;"ATE(C41&amp;"" brukar inte ha c.t.l.""),
AND(I41&lt;&gt;"""",FILTER(Info!$E$2:E81, Info!$A$2:A81 = C41) = ""No"",FILTER(Info!$F$2:F81, Info!$A$2:A81 = C41) = ""No""),CONCATENATE(C41&amp;"" brukar inte ha cutoff""),
AND(H41="""",FILTER(Info!$F$2:F81, Info!$A$2:A81 = C41"&amp;") = ""Yes""),CONCATENATE(C41&amp;"" brukar ha c.t.l.""),
AND(C41&lt;&gt;""6x6 / 7x7"",C41&lt;&gt;""4x4 / 5x5 BLD"",G41&lt;&gt;"""",ISNUMBER(G41)=FALSE),""Time limit måste vara positivt tal (x)"",
J41=""J - Error"",CONCATENATE(""För få deltagare i R1 för ""&amp;COUNTIF($C$7:$C$102,"&amp;"indirect(""C""&amp;row()))&amp;"" rundor""),
J41=""K2 - Error"",CONCATENATE(C41&amp;"" är mer populär - byt i K2!""),
AND(C41&lt;&gt;""6x6 / 7x7"",C41&lt;&gt;""4x4 / 5x5 BLD"",G41&lt;&gt;"""",I41&lt;&gt;"""",G41&lt;=I41),""Time limit måste vara &gt; cutoff"",
AND(C41&lt;&gt;""6x6 / 7x7"",C41&lt;&gt;""4x4 / 5"&amp;"x5 BLD"",H41&lt;&gt;"""",I41&lt;&gt;"""",H41&lt;=I41),""C.t.l. måste vara &gt; cutoff"",
AND(C41&lt;&gt;""3x3 FMC"",C41&lt;&gt;""3x3 MBLD"",J41=""""),CONCATENATE(""Fyll i antal deltagare i J""&amp;row()),
AND(C41="""",OR(E41&lt;&gt;"""",F41&lt;&gt;"""",G41&lt;&gt;"""",H41&lt;&gt;"""",I41&lt;&gt;"""",J41&lt;&gt;"""")),""Skri"&amp;"v ALLTID gren / aktivitet först"",
AND(I41="""",H41="""",J41&lt;&gt;""""),J41,
OR(""3x3 FMC""=C41,""3x3 MBLD""=C41),J41,
AND(I41&lt;&gt;"""",""6x6 / 7x7""=C41),
IFS(ArrayFormula(SUM(IFERROR(SPLIT(I41,"" / ""))))&lt;(Info!$J$6+Info!$J$7)*2/3,CONCATENATE(""Höj helst cutof"&amp;"fs i ""&amp;C41),
ArrayFormula(SUM(IFERROR(SPLIT(I41,"" / ""))))&lt;=(Info!$J$6+Info!$J$7),ROUNDUP(J41*Info!$J$22),
ArrayFormula(SUM(IFERROR(SPLIT(I41,"" / ""))))&lt;=Info!$J$6+Info!$J$7,ROUNDUP(J41*Info!$K$22),
ArrayFormula(SUM(IFERROR(SPLIT(I41,"" / ""))))&lt;=Info!"&amp;"$K$6+Info!$K$7,ROUNDUP(J41*Info!L$22),
ArrayFormula(SUM(IFERROR(SPLIT(I41,"" / ""))))&lt;=Info!$L$6+Info!$L$7,ROUNDUP(J41*Info!$M$22),
ArrayFormula(SUM(IFERROR(SPLIT(I41,"" / ""))))&lt;=Info!$M$6+Info!$M$7,ROUNDUP(J41*Info!$N$22),
ArrayFormula(SUM(IFERROR(SPLIT"&amp;"(I41,"" / ""))))&lt;=(Info!$N$6+Info!$N$7)*3/2,ROUNDUP(J41*Info!$J$26),
ArrayFormula(SUM(IFERROR(SPLIT(I41,"" / ""))))&gt;(Info!$N$6+Info!$N$7)*3/2,CONCATENATE(""Sänk helst cutoffs i ""&amp;C41)),
AND(I41&lt;&gt;"""",FILTER(Info!$E$2:E81, Info!$A$2:A81 = C41) = ""Yes""),"&amp;"
IFS(I41&lt;FILTER(Info!$J$2:J81, Info!$A$2:A81 = C41)*2/3,CONCATENATE(""Höj helst cutoff i ""&amp;C41),
I41&lt;=FILTER(Info!$J$2:J81, Info!$A$2:A81 = C41),ROUNDUP(J41*Info!$J$22),
I41&lt;=FILTER(Info!$K$2:K81, Info!$A$2:A81 = C41),ROUNDUP(J41*Info!$K$22),
I41&lt;=FILTER"&amp;"(Info!$L$2:L81, Info!$A$2:A81 = C41),ROUNDUP(J41*Info!L$22),
I41&lt;=FILTER(Info!$M$2:M81, Info!$A$2:A81 = C41),ROUNDUP(J41*Info!$M$22),
I41&lt;=FILTER(Info!$N$2:N81, Info!$A$2:A81 = C41),ROUNDUP(J41*Info!$N$22),
I41&lt;=FILTER(Info!$N$2:N81, Info!$A$2:A81 = C41)*"&amp;"3/2,ROUNDUP(J41*Info!$J$26),
I41&gt;FILTER(Info!$N$2:N81, Info!$A$2:A81 = C41)*3/2,CONCATENATE(""Sänk helst cutoff i ""&amp;C41)),
AND(H41&lt;&gt;"""",""6x6 / 7x7""=C41),
IFS(H41/3&lt;=(Info!$J$6+Info!$J$7)*2/3,""Höj helst cumulative time limit"",
H41/3&lt;=Info!$J$6+Info!$"&amp;"J$7,ROUNDUP(J41*Info!$J$24),
H41/3&lt;=Info!$K$6+Info!$K$7,ROUNDUP(J41*Info!$K$24),
H41/3&lt;=Info!$L$6+Info!$L$7,ROUNDUP(J41*Info!L$24),
H41/3&lt;=Info!$M$6+Info!$M$7,ROUNDUP(J41*Info!$M$24),
H41/3&lt;=Info!$N$6+Info!$N$7,ROUNDUP(J41*Info!$N$24),
H41/3&lt;=(Info!$N$6+I"&amp;"nfo!$N$7)*3/2,ROUNDUP(J41*Info!$L$26),
H41/3&gt;(Info!$J$6+Info!$J$7)*3/2,""Sänk helst cumulative time limit""),
AND(H41&lt;&gt;"""",FILTER(Info!$F$2:F81, Info!$A$2:A81 = C41) = ""Yes""),
IFS(H41&lt;=FILTER(Info!$J$2:J81, Info!$A$2:A81 = C41)*2/3,CONCATENATE(""Höj he"&amp;"lst c.t.l. i ""&amp;C41),
H41&lt;=FILTER(Info!$J$2:J81, Info!$A$2:A81 = C41),ROUNDUP(J41*Info!$J$24),
H41&lt;=FILTER(Info!$K$2:K81, Info!$A$2:A81 = C41),ROUNDUP(J41*Info!$K$24),
H41&lt;=FILTER(Info!$L$2:L81, Info!$A$2:A81 = C41),ROUNDUP(J41*Info!L$24),
H41&lt;=FILTER(Inf"&amp;"o!$M$2:M81, Info!$A$2:A81 = C41),ROUNDUP(J41*Info!$M$24),
H41&lt;=FILTER(Info!$N$2:N81, Info!$A$2:A81 = C41),ROUNDUP(J41*Info!$N$24),
H41&lt;=FILTER(Info!$N$2:N81, Info!$A$2:A81 = C41)*3/2,ROUNDUP(J41*Info!$L$26),
H41&gt;FILTER(Info!$N$2:N81, Info!$A$2:A81 = C41)*"&amp;"3/2,CONCATENATE(""Sänk helst c.t.l. i ""&amp;C41)),
AND(H41&lt;&gt;"""",FILTER(Info!$F$2:F81, Info!$A$2:A81 = C41) = ""No""),
IFS(H41/AA41&lt;=FILTER(Info!$J$2:J81, Info!$A$2:A81 = C41)*2/3,CONCATENATE(""Höj helst c.t.l. i ""&amp;C41),
H41/AA41&lt;=FILTER(Info!$J$2:J81, Info"&amp;"!$A$2:A81 = C41),ROUNDUP(J41*Info!$J$24),
H41/AA41&lt;=FILTER(Info!$K$2:K81, Info!$A$2:A81 = C41),ROUNDUP(J41*Info!$K$24),
H41/AA41&lt;=FILTER(Info!$L$2:L81, Info!$A$2:A81 = C41),ROUNDUP(J41*Info!L$24),
H41/AA41&lt;=FILTER(Info!$M$2:M81, Info!$A$2:A81 = C41),ROUND"&amp;"UP(J41*Info!$M$24),
H41/AA41&lt;=FILTER(Info!$N$2:N81, Info!$A$2:A81 = C41),ROUNDUP(J41*Info!$N$24),
H41/AA41&lt;=FILTER(Info!$N$2:N81, Info!$A$2:A81 = C41)*3/2,ROUNDUP(J41*Info!$L$26),
H41/AA41&gt;FILTER(Info!$N$2:N81, Info!$A$2:A81 = C41)*3/2,CONCATENATE(""Sänk "&amp;"helst c.t.l. i ""&amp;C41)),
AND(I41="""",H41&lt;&gt;"""",J41&lt;&gt;""""),ROUNDUP(J41*Info!$T$29),
AND(I41&lt;&gt;"""",H41="""",J41&lt;&gt;""""),ROUNDUP(J41*Info!$T$26))"),"")</f>
        <v/>
      </c>
      <c r="L41" s="42">
        <f>IFERROR(__xludf.DUMMYFUNCTION("IFS(C41="""",0,
C41=""3x3 FMC"",Info!$B$9*N41+M41, C41=""3x3 MBLD"",Info!$B$18*N41+M41,
COUNTIF(Info!$A$22:A81,C41)&gt;0,FILTER(Info!$B$22:B81,Info!$A$22:A81=C41)+M41,
AND(C41&lt;&gt;"""",E41=""""),CONCATENATE(""Fyll i E""&amp;row()),
AND(C41&lt;&gt;"""",E41&lt;&gt;"""",E41&lt;&gt;1,E4"&amp;"1&lt;&gt;2,E41&lt;&gt;3,E41&lt;&gt;""Final""),CONCATENATE(""Fel format på E""&amp;row()),
K41=CONCATENATE(""Runda ""&amp;E41&amp;"" i ""&amp;C41&amp;"" finns redan""),CONCATENATE(""Fel i E""&amp;row()),
AND(C41&lt;&gt;"""",F41=""""),CONCATENATE(""Fyll i F""&amp;row()),
K41=CONCATENATE(C41&amp;"" måste ha forma"&amp;"tet ""&amp;FILTER(Info!$D$2:D81, Info!$A$2:A81 = C41)),CONCATENATE(""Fel format på F""&amp;row()),
AND(C41&lt;&gt;"""",D41=1,H41="""",FILTER(Info!$F$2:F81, Info!$A$2:A81 = C41) = ""Yes""),CONCATENATE(""Fyll i H""&amp;row()),
AND(C41&lt;&gt;"""",D41=1,I41="""",FILTER(Info!$E$2:E8"&amp;"1, Info!$A$2:A81 = C41) = ""Yes""),CONCATENATE(""Fyll i I""&amp;row()),
AND(C41&lt;&gt;"""",J41=""""),CONCATENATE(""Fyll i J""&amp;row()),
AND(C41&lt;&gt;"""",K41="""",OR(H41&lt;&gt;"""",I41&lt;&gt;"""")),CONCATENATE(""Fyll i K""&amp;row()),
AND(C41&lt;&gt;"""",K41=""""),CONCATENATE(""Skriv samma"&amp;" i K""&amp;row()&amp;"" som i J""&amp;row()),
AND(OR(C41=""4x4 BLD"",C41=""5x5 BLD"",C41=""4x4 / 5x5 BLD"")=TRUE,V41&lt;=P41),
MROUND(H41*(Info!$T$20-((Info!$T$20-1)/2)*(1-V41/P41))*(1+((J41/K41)-1)*(1-Info!$J$24))*N41+(Info!$T$11/2)+(N41*Info!$T$11)+(N41*Info!$T$14*(O4"&amp;"1-1)),0.01)+M41,
AND(OR(C41=""4x4 BLD"",C41=""5x5 BLD"",C41=""4x4 / 5x5 BLD"")=TRUE,V41&gt;P41),
MROUND((((J41*Z41+K41*(AA41-Z41))*(H41*Info!$T$20/AA41))/X41)*(1+((J41/K41)-1)*(1-Info!$J$24))*(1+(X41-Info!$T$8)/100)+(Info!$T$11/2)+(N41*Info!$T$11)+(N41*Info!"&amp;"$T$14*(O41-1)),0.01)+M41,
AND(C41=""3x3 BLD"",V41&lt;=P41),
MROUND(H41*(Info!$T$23-((Info!$T$23-1)/2)*(1-V41/P41))*(1+((J41/K41)-1)*(1-Info!$J$24))*N41+(Info!$T$11/2)+(N41*Info!$T$11)+(N41*Info!$T$14*(O41-1)),0.01)+M41,
AND(C41=""3x3 BLD"",V41&gt;P41),
MROUND(("&amp;"((J41*Z41+K41*(AA41-Z41))*(H41*Info!$T$23/AA41))/X41)*(1+((J41/K41)-1)*(1-Info!$J$24))*(1+(X41-Info!$T$8)/100)+(Info!$T$11/2)+(N41*Info!$T$11)+(N41*Info!$T$14*(O41-1)),0.01)+M41,
E41=1,MROUND((((J41*Z41+K41*(AA41-Z41))*Y41)/X41)*(1+(X41-Info!$T$8)/100)+(N"&amp;"41*Info!$T$11)+(N41*Info!$T$14*(O41-1)),0.01)+M41,
AND(E41=""Final"",N41=1,FILTER(Info!$G$2:$G$20,Info!$A$2:$A$20=C41)=""Mycket svår""),
MROUND((((J41*Z41+K41*(AA41-Z41))*(Y41*Info!$T$38))/X41)*(1+(X41-Info!$T$8)/100)+(N41*Info!$T$11)+(N41*Info!$T$14*(O41"&amp;"-1)),0.01)+M41,
AND(E41=""Final"",N41=1,FILTER(Info!$G$2:$G$20,Info!$A$2:$A$20=C41)=""Svår""),
MROUND((((J41*Z41+K41*(AA41-Z41))*(Y41*Info!$T$35))/X41)*(1+(X41-Info!$T$8)/100)+(N41*Info!$T$11)+(N41*Info!$T$14*(O41-1)),0.01)+M41,
E41=""Final"",MROUND((((J4"&amp;"1*Z41+K41*(AA41-Z41))*(Y41*Info!$T$5))/X41)*(1+(X41-Info!$T$8)/100)+(N41*Info!$T$11)+(N41*Info!$T$14*(O41-1)),0.01)+M41,
OR(E41=2,E41=3),MROUND((((J41*Z41+K41*(AA41-Z41))*(Y41*Info!$T$2))/X41)*(1+(X41-Info!$T$8)/100)+(N41*Info!$T$11)+(N41*Info!$T$14*(O41-"&amp;"1)),0.01)+M41)"),0.0)</f>
        <v>0</v>
      </c>
      <c r="M41" s="43">
        <f t="shared" si="4"/>
        <v>0</v>
      </c>
      <c r="N41" s="43" t="str">
        <f>IFS(OR(COUNTIF(Info!$A$22:A81,C41)&gt;0,C41=""),"",
OR(C41="4x4 BLD",C41="5x5 BLD",C41="3x3 MBLD",C41="3x3 FMC",C41="4x4 / 5x5 BLD"),1,
AND(E41="Final",Q41="Yes",MAX(1,ROUNDUP(J41/P41))&gt;1),MAX(2,ROUNDUP(J41/P41)),
AND(E41="Final",Q41="No",MAX(1,ROUNDUP(J41/((P41*2)+2.625-Y41*1.5)))&gt;1),MAX(2,ROUNDUP(J41/((P41*2)+2.625-Y41*1.5))),
E41="Final",1,
Q41="Yes",MAX(2,ROUNDUP(J41/P41)),
TRUE,MAX(2,ROUNDUP(J41/((P41*2)+2.625-Y41*1.5))))</f>
        <v/>
      </c>
      <c r="O41" s="43" t="str">
        <f>IFS(OR(COUNTIF(Info!$A$22:A81,C41)&gt;0,C41=""),"",
OR("3x3 MBLD"=C41,"3x3 FMC"=C41)=TRUE,"",
D41=$E$4,$G$6,D41=$K$4,$M$6,D41=$Q$4,$S$6,D41=$W$4,$Y$6,
TRUE,$S$2)</f>
        <v/>
      </c>
      <c r="P41" s="43" t="str">
        <f>IFS(OR(COUNTIF(Info!$A$22:A81,C41)&gt;0,C41=""),"",
OR("3x3 MBLD"=C41,"3x3 FMC"=C41)=TRUE,"",
D41=$E$4,$E$6,D41=$K$4,$K$6,D41=$Q$4,$Q$6,D41=$W$4,$W$6,
TRUE,$Q$2)</f>
        <v/>
      </c>
      <c r="Q41" s="44" t="str">
        <f>IFS(OR(COUNTIF(Info!$A$22:A81,C41)&gt;0,C41=""),"",
OR("3x3 MBLD"=C41,"3x3 FMC"=C41)=TRUE,"",
D41=$E$4,$I$6,D41=$K$4,$O$6,D41=$Q$4,$U$6,D41=$W$4,$AA$6,
TRUE,$U$2)</f>
        <v/>
      </c>
      <c r="R41" s="45" t="str">
        <f>IFERROR(__xludf.DUMMYFUNCTION("IF(C41="""","""",IFERROR(FILTER(Info!$B$22:B81,Info!$A$22:A81=C41)+M41,""?""))"),"")</f>
        <v/>
      </c>
      <c r="S41" s="46" t="str">
        <f>IFS(OR(COUNTIF(Info!$A$22:A81,C41)&gt;0,C41=""),"",
AND(H41="",I41=""),J41,
TRUE,"?")</f>
        <v/>
      </c>
      <c r="T41" s="45" t="str">
        <f>IFS(OR(COUNTIF(Info!$A$22:A81,C41)&gt;0,C41=""),"",
AND(L41&lt;&gt;0,OR(R41="?",R41="")),"Fyll i R-kolumnen",
OR(C41="3x3 FMC",C41="3x3 MBLD"),R41,
AND(L41&lt;&gt;0,OR(S41="?",S41="")),"Fyll i S-kolumnen",
OR(COUNTIF(Info!$A$22:A81,C41)&gt;0,C41=""),"",
TRUE,Y41*R41/L41)</f>
        <v/>
      </c>
      <c r="U41" s="45"/>
      <c r="V41" s="47" t="str">
        <f>IFS(OR(COUNTIF(Info!$A$22:A81,C41)&gt;0,C41=""),"",
OR("3x3 MBLD"=C41,"3x3 FMC"=C41)=TRUE,"",
TRUE,MROUND((J41/N41),0.01))</f>
        <v/>
      </c>
      <c r="W41" s="48" t="str">
        <f>IFS(OR(COUNTIF(Info!$A$22:A81,C41)&gt;0,C41=""),"",
TRUE,L41/N41)</f>
        <v/>
      </c>
      <c r="X41" s="49" t="str">
        <f>IFS(OR(COUNTIF(Info!$A$22:A81,C41)&gt;0,C41=""),"",
OR("3x3 MBLD"=C41,"3x3 FMC"=C41)=TRUE,"",
OR(C41="4x4 BLD",C41="5x5 BLD",C41="4x4 / 5x5 BLD",AND(C41="3x3 BLD",H41&lt;&gt;""))=TRUE,MIN(V41,P41),
TRUE,MIN(P41,V41,MROUND(((V41*2/3)+((Y41-1.625)/2)),0.01)))</f>
        <v/>
      </c>
      <c r="Y41" s="48" t="str">
        <f>IFERROR(__xludf.DUMMYFUNCTION("IFS(OR(COUNTIF(Info!$A$22:A81,C41)&gt;0,C41=""""),"""",
FILTER(Info!$F$2:F81, Info!$A$2:A81 = C41) = ""Yes"",H41/AA41,
""3x3 FMC""=C41,Info!$B$9,""3x3 MBLD""=C41,Info!$B$18,
AND(E41=1,I41="""",H41="""",Q41=""No"",G41&gt;SUMIF(Info!$A$2:A81,C41,Info!$B$2:B81)*1."&amp;"5),
MIN(SUMIF(Info!$A$2:A81,C41,Info!$B$2:B81)*1.1,SUMIF(Info!$A$2:A81,C41,Info!$B$2:B81)*(1.15-(0.15*(SUMIF(Info!$A$2:A81,C41,Info!$B$2:B81)*1.5)/G41))),
AND(E41=1,I41="""",H41="""",Q41=""Yes"",G41&gt;SUMIF(Info!$A$2:A81,C41,Info!$C$2:C81)*1.5),
MIN(SUMIF(I"&amp;"nfo!$A$2:A81,C41,Info!$C$2:C81)*1.1,SUMIF(Info!$A$2:A81,C41,Info!$C$2:C81)*(1.15-(0.15*(SUMIF(Info!$A$2:A81,C41,Info!$C$2:C81)*1.5)/G41))),
Q41=""No"",SUMIF(Info!$A$2:A81,C41,Info!$B$2:B81),
Q41=""Yes"",SUMIF(Info!$A$2:A81,C41,Info!$C$2:C81))"),"")</f>
        <v/>
      </c>
      <c r="Z41" s="47" t="str">
        <f>IFS(OR(COUNTIF(Info!$A$22:A81,C41)&gt;0,C41=""),"",
AND(OR("3x3 FMC"=C41,"3x3 MBLD"=C41),I41&lt;&gt;""),1,
AND(OR(H41&lt;&gt;"",I41&lt;&gt;""),F41="Avg of 5"),2,
F41="Avg of 5",AA41,
AND(OR(H41&lt;&gt;"",I41&lt;&gt;""),F41="Mean of 3",C41="6x6 / 7x7"),2,
AND(OR(H41&lt;&gt;"",I41&lt;&gt;""),F41="Mean of 3"),1,
F41="Mean of 3",AA41,
AND(OR(H41&lt;&gt;"",I41&lt;&gt;""),F41="Best of 3",C41="4x4 / 5x5 BLD"),2,
AND(OR(H41&lt;&gt;"",I41&lt;&gt;""),F41="Best of 3"),1,
F41="Best of 2",AA41,
F41="Best of 1",AA41)</f>
        <v/>
      </c>
      <c r="AA41" s="47" t="str">
        <f>IFS(OR(COUNTIF(Info!$A$22:A81,C41)&gt;0,C41=""),"",
AND(OR("3x3 MBLD"=C41,"3x3 FMC"=C41),F41="Best of 1"=TRUE),1,
AND(OR("3x3 MBLD"=C41,"3x3 FMC"=C41),F41="Best of 2"=TRUE),2,
AND(OR("3x3 MBLD"=C41,"3x3 FMC"=C41),OR(F41="Best of 3",F41="Mean of 3")=TRUE),3,
AND(F41="Mean of 3",C41="6x6 / 7x7"),6,
AND(F41="Best of 3",C41="4x4 / 5x5 BLD"),6,
F41="Avg of 5",5,F41="Mean of 3",3,F41="Best of 3",3,F41="Best of 2",2,F41="Best of 1",1)</f>
        <v/>
      </c>
      <c r="AB41" s="50"/>
    </row>
    <row r="42" ht="15.75" customHeight="1">
      <c r="A42" s="35">
        <f>IFERROR(__xludf.DUMMYFUNCTION("IFS(indirect(""A""&amp;row()-1)=""Start"",TIME(indirect(""A""&amp;row()-2),indirect(""B""&amp;row()-2),0),
$O$2=""No"",TIME(0,($A$6*60+$B$6)+CEILING(SUM($L$7:indirect(""L""&amp;row()-1)),5),0),
D42=$E$2,TIME(0,($A$6*60+$B$6)+CEILING(SUM(IFERROR(FILTER($L$7:indirect(""L"""&amp;"&amp;row()-1),REGEXMATCH($D$7:indirect(""D""&amp;row()-1),$E$2)),0)),5),0),
TRUE,""=time(hh;mm;ss)"")"),0.375)</f>
        <v>0.375</v>
      </c>
      <c r="B42" s="36">
        <f>IFERROR(__xludf.DUMMYFUNCTION("IFS($O$2=""No"",TIME(0,($A$6*60+$B$6)+CEILING(SUM($L$7:indirect(""L""&amp;row())),5),0),
D42=$E$2,TIME(0,($A$6*60+$B$6)+CEILING(SUM(FILTER($L$7:indirect(""L""&amp;row()),REGEXMATCH($D$7:indirect(""D""&amp;row()),$E$2))),5),0),
A42=""=time(hh;mm;ss)"",CONCATENATE(""Sk"&amp;"riv tid i A""&amp;row()),
AND(A42&lt;&gt;"""",A42&lt;&gt;""=time(hh;mm;ss)""),A42+TIME(0,CEILING(indirect(""L""&amp;row()),5),0))"),0.375)</f>
        <v>0.375</v>
      </c>
      <c r="C42" s="37"/>
      <c r="D42" s="38" t="str">
        <f t="shared" si="3"/>
        <v>Stora salen</v>
      </c>
      <c r="E42" s="38" t="str">
        <f>IFERROR(__xludf.DUMMYFUNCTION("IFS(COUNTIF(Info!$A$22:A81,C42)&gt;0,"""",
AND(OR(""3x3 FMC""=C42,""3x3 MBLD""=C42),COUNTIF($C$7:indirect(""C""&amp;row()),indirect(""C""&amp;row()))&gt;=13),""E - Error"",
AND(OR(""3x3 FMC""=C42,""3x3 MBLD""=C42),COUNTIF($C$7:indirect(""C""&amp;row()),indirect(""C""&amp;row()"&amp;"))=12),""Final - A3"",
AND(OR(""3x3 FMC""=C42,""3x3 MBLD""=C42),COUNTIF($C$7:indirect(""C""&amp;row()),indirect(""C""&amp;row()))=11),""Final - A2"",
AND(OR(""3x3 FMC""=C42,""3x3 MBLD""=C42),COUNTIF($C$7:indirect(""C""&amp;row()),indirect(""C""&amp;row()))=10),""Final - "&amp;"A1"",
AND(OR(""3x3 FMC""=C42,""3x3 MBLD""=C42),COUNTIF($C$7:indirect(""C""&amp;row()),indirect(""C""&amp;row()))=9,
COUNTIF($C$7:$C$102,indirect(""C""&amp;row()))&gt;9),""R3 - A3"",
AND(OR(""3x3 FMC""=C42,""3x3 MBLD""=C42),COUNTIF($C$7:indirect(""C""&amp;row()),indirect(""C"&amp;"""&amp;row()))=9,
COUNTIF($C$7:$C$102,indirect(""C""&amp;row()))&lt;=9),""Final - A3"",
AND(OR(""3x3 FMC""=C42,""3x3 MBLD""=C42),COUNTIF($C$7:indirect(""C""&amp;row()),indirect(""C""&amp;row()))=8,
COUNTIF($C$7:$C$102,indirect(""C""&amp;row()))&gt;9),""R3 - A2"",
AND(OR(""3x3 FMC"&amp;"""=C42,""3x3 MBLD""=C42),COUNTIF($C$7:indirect(""C""&amp;row()),indirect(""C""&amp;row()))=8,
COUNTIF($C$7:$C$102,indirect(""C""&amp;row()))&lt;=9),""Final - A2"",
AND(OR(""3x3 FMC""=C42,""3x3 MBLD""=C42),COUNTIF($C$7:indirect(""C""&amp;row()),indirect(""C""&amp;row()))=7,
COUN"&amp;"TIF($C$7:$C$102,indirect(""C""&amp;row()))&gt;9),""R3 - A1"",
AND(OR(""3x3 FMC""=C42,""3x3 MBLD""=C42),COUNTIF($C$7:indirect(""C""&amp;row()),indirect(""C""&amp;row()))=7,
COUNTIF($C$7:$C$102,indirect(""C""&amp;row()))&lt;=9),""Final - A1"",
AND(OR(""3x3 FMC""=C42,""3x3 MBLD"""&amp;"=C42),COUNTIF($C$7:indirect(""C""&amp;row()),indirect(""C""&amp;row()))=6,
COUNTIF($C$7:$C$102,indirect(""C""&amp;row()))&gt;6),""R2 - A3"",
AND(OR(""3x3 FMC""=C42,""3x3 MBLD""=C42),COUNTIF($C$7:indirect(""C""&amp;row()),indirect(""C""&amp;row()))=6,
COUNTIF($C$7:$C$102,indirec"&amp;"t(""C""&amp;row()))&lt;=6),""Final - A3"",
AND(OR(""3x3 FMC""=C42,""3x3 MBLD""=C42),COUNTIF($C$7:indirect(""C""&amp;row()),indirect(""C""&amp;row()))=5,
COUNTIF($C$7:$C$102,indirect(""C""&amp;row()))&gt;6),""R2 - A2"",
AND(OR(""3x3 FMC""=C42,""3x3 MBLD""=C42),COUNTIF($C$7:indi"&amp;"rect(""C""&amp;row()),indirect(""C""&amp;row()))=5,
COUNTIF($C$7:$C$102,indirect(""C""&amp;row()))&lt;=6),""Final - A2"",
AND(OR(""3x3 FMC""=C42,""3x3 MBLD""=C42),COUNTIF($C$7:indirect(""C""&amp;row()),indirect(""C""&amp;row()))=4,
COUNTIF($C$7:$C$102,indirect(""C""&amp;row()))&gt;6),"&amp;"""R2 - A1"",
AND(OR(""3x3 FMC""=C42,""3x3 MBLD""=C42),COUNTIF($C$7:indirect(""C""&amp;row()),indirect(""C""&amp;row()))=4,
COUNTIF($C$7:$C$102,indirect(""C""&amp;row()))&lt;=6),""Final - A1"",
AND(OR(""3x3 FMC""=C42,""3x3 MBLD""=C42),COUNTIF($C$7:indirect(""C""&amp;row()),i"&amp;"ndirect(""C""&amp;row()))=3),""R1 - A3"",
AND(OR(""3x3 FMC""=C42,""3x3 MBLD""=C42),COUNTIF($C$7:indirect(""C""&amp;row()),indirect(""C""&amp;row()))=2),""R1 - A2"",
AND(OR(""3x3 FMC""=C42,""3x3 MBLD""=C42),COUNTIF($C$7:indirect(""C""&amp;row()),indirect(""C""&amp;row()))=1),"&amp;"""R1 -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C42),ROUNDUP((FILTER(Info!$H$2:H81,Info!$A$2:A81=C42)/FILTER(Info!$H$2:H81,Info!$A$2:A81=$K$2))*$I$2)&gt;99),3,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C42),ROUNDUP((FILTER(Info!$H$2:H81,Info!$A$2:A81=C42)/FILTER(Info!$H$2:H81,Info!$A$2:A81=$K$2))*$I$2)&gt;15),2,
AND(COUNTIF($C$7:indirect(""C""&amp;row()),indirect(""C""&amp;row()))=2,COUNTIF($C$7:$C$102,indirect(""C""&amp;row()))=COUNTIF($"&amp;"C$7:indirect(""C""&amp;row()),indirect(""C""&amp;row()))),""Final"",
COUNTIF($C$7:indirect(""C""&amp;row()),indirect(""C""&amp;row()))=1,1,
COUNTIF($C$7:indirect(""C""&amp;row()),indirect(""C""&amp;row()))=0,"""")"),"")</f>
        <v/>
      </c>
      <c r="F42" s="39" t="str">
        <f>IFERROR(__xludf.DUMMYFUNCTION("IFS(C42="""","""",
AND(C42=""3x3 FMC"",MOD(COUNTIF($C$7:indirect(""C""&amp;row()),indirect(""C""&amp;row())),3)=0),""Mean of 3"",
AND(C42=""3x3 MBLD"",MOD(COUNTIF($C$7:indirect(""C""&amp;row()),indirect(""C""&amp;row())),3)=0),""Best of 3"",
AND(C42=""3x3 FMC"",MOD(COUNT"&amp;"IF($C$7:indirect(""C""&amp;row()),indirect(""C""&amp;row())),3)=2,
COUNTIF($C$7:$C$102,indirect(""C""&amp;row()))&lt;=COUNTIF($C$7:indirect(""C""&amp;row()),indirect(""C""&amp;row()))),""Best of 2"",
AND(C42=""3x3 FMC"",MOD(COUNTIF($C$7:indirect(""C""&amp;row()),indirect(""C""&amp;row("&amp;"))),3)=2,
COUNTIF($C$7:$C$102,indirect(""C""&amp;row()))&gt;COUNTIF($C$7:indirect(""C""&amp;row()),indirect(""C""&amp;row()))),""Mean of 3"",
AND(C42=""3x3 MBLD"",MOD(COUNTIF($C$7:indirect(""C""&amp;row()),indirect(""C""&amp;row())),3)=2,
COUNTIF($C$7:$C$102,indirect(""C""&amp;row("&amp;")))&lt;=COUNTIF($C$7:indirect(""C""&amp;row()),indirect(""C""&amp;row()))),""Best of 2"",
AND(C42=""3x3 MBLD"",MOD(COUNTIF($C$7:indirect(""C""&amp;row()),indirect(""C""&amp;row())),3)=2,
COUNTIF($C$7:$C$102,indirect(""C""&amp;row()))&gt;COUNTIF($C$7:indirect(""C""&amp;row()),indirect("&amp;"""C""&amp;row()))),""Best of 3"",
AND(C42=""3x3 FMC"",MOD(COUNTIF($C$7:indirect(""C""&amp;row()),indirect(""C""&amp;row())),3)=1,
COUNTIF($C$7:$C$102,indirect(""C""&amp;row()))&lt;=COUNTIF($C$7:indirect(""C""&amp;row()),indirect(""C""&amp;row()))),""Best of 1"",
AND(C42=""3x3 FMC"""&amp;",MOD(COUNTIF($C$7:indirect(""C""&amp;row()),indirect(""C""&amp;row())),3)=1,
COUNTIF($C$7:$C$102,indirect(""C""&amp;row()))=COUNTIF($C$7:indirect(""C""&amp;row()),indirect(""C""&amp;row()))+1),""Best of 2"",
AND(C42=""3x3 FMC"",MOD(COUNTIF($C$7:indirect(""C""&amp;row()),indirect"&amp;"(""C""&amp;row())),3)=1,
COUNTIF($C$7:$C$102,indirect(""C""&amp;row()))&gt;COUNTIF($C$7:indirect(""C""&amp;row()),indirect(""C""&amp;row()))),""Mean of 3"",
AND(C42=""3x3 MBLD"",MOD(COUNTIF($C$7:indirect(""C""&amp;row()),indirect(""C""&amp;row())),3)=1,
COUNTIF($C$7:$C$102,indirect"&amp;"(""C""&amp;row()))&lt;=COUNTIF($C$7:indirect(""C""&amp;row()),indirect(""C""&amp;row()))),""Best of 1"",
AND(C42=""3x3 MBLD"",MOD(COUNTIF($C$7:indirect(""C""&amp;row()),indirect(""C""&amp;row())),3)=1,
COUNTIF($C$7:$C$102,indirect(""C""&amp;row()))=COUNTIF($C$7:indirect(""C""&amp;row()"&amp;"),indirect(""C""&amp;row()))+1),""Best of 2"",
AND(C42=""3x3 MBLD"",MOD(COUNTIF($C$7:indirect(""C""&amp;row()),indirect(""C""&amp;row())),3)=1,
COUNTIF($C$7:$C$102,indirect(""C""&amp;row()))&gt;COUNTIF($C$7:indirect(""C""&amp;row()),indirect(""C""&amp;row()))),""Best of 3"",
TRUE,("&amp;"IFERROR(FILTER(Info!$D$2:D81, Info!$A$2:A81 = C42), """")))"),"")</f>
        <v/>
      </c>
      <c r="G42" s="40" t="str">
        <f>IFERROR(__xludf.DUMMYFUNCTION("IFS(OR(COUNTIF(Info!$A$22:A81,C42)&gt;0,C42=""""),"""",
OR(""3x3 MBLD""=C42,""3x3 FMC""=C42),60,
AND(E42=1,FILTER(Info!$F$2:F81, Info!$A$2:A81 = C42) = ""No""),FILTER(Info!$P$2:P81, Info!$A$2:A81 = C42),
AND(E42=2,FILTER(Info!$F$2:F81, Info!$A$2:A81 = C42) ="&amp;" ""No""),FILTER(Info!$Q$2:Q81, Info!$A$2:A81 = C42),
AND(E42=3,FILTER(Info!$F$2:F81, Info!$A$2:A81 = C42) = ""No""),FILTER(Info!$R$2:R81, Info!$A$2:A81 = C42),
AND(E42=""Final"",FILTER(Info!$F$2:F81, Info!$A$2:A81 = C42) = ""No""),FILTER(Info!$S$2:S81, In"&amp;"fo!$A$2:A81 = C42),
FILTER(Info!$F$2:F81, Info!$A$2:A81 = C42) = ""Yes"","""")"),"")</f>
        <v/>
      </c>
      <c r="H42" s="40" t="str">
        <f>IFERROR(__xludf.DUMMYFUNCTION("IFS(OR(COUNTIF(Info!$A$22:A81,C42)&gt;0,C42=""""),"""",
OR(""3x3 MBLD""=C42,""3x3 FMC""=C42)=TRUE,"""",
FILTER(Info!$F$2:F81, Info!$A$2:A81 = C42) = ""Yes"",FILTER(Info!$O$2:O81, Info!$A$2:A81 = C42),
FILTER(Info!$F$2:F81, Info!$A$2:A81 = C42) = ""No"",IF(G4"&amp;"2="""",FILTER(Info!$O$2:O81, Info!$A$2:A81 = C42),""""))"),"")</f>
        <v/>
      </c>
      <c r="I42" s="40" t="str">
        <f>IFERROR(__xludf.DUMMYFUNCTION("IFS(OR(COUNTIF(Info!$A$22:A81,C42)&gt;0,C42="""",H42&lt;&gt;""""),"""",
AND(E42&lt;&gt;1,E42&lt;&gt;""R1 - A1"",E42&lt;&gt;""R1 - A2"",E42&lt;&gt;""R1 - A3""),"""",
FILTER(Info!$E$2:E81, Info!$A$2:A81 = C42) = ""Yes"",IF(H42="""",FILTER(Info!$L$2:L81, Info!$A$2:A81 = C42),""""),
FILTER(I"&amp;"nfo!$E$2:E81, Info!$A$2:A81 = C42) = ""No"","""")"),"")</f>
        <v/>
      </c>
      <c r="J42" s="40" t="str">
        <f>IFERROR(__xludf.DUMMYFUNCTION("IFS(OR(COUNTIF(Info!$A$22:A81,C42)&gt;0,C42="""",""3x3 MBLD""=C42,""3x3 FMC""=C42),"""",
AND(E42=1,FILTER(Info!$H$2:H81,Info!$A$2:A81 = C42)&lt;=FILTER(Info!$H$2:H81,Info!$A$2:A81=$K$2)),
ROUNDUP((FILTER(Info!$H$2:H81,Info!$A$2:A81 = C42)/FILTER(Info!$H$2:H81,I"&amp;"nfo!$A$2:A81=$K$2))*$I$2),
AND(E42=1,FILTER(Info!$H$2:H81,Info!$A$2:A81 = C42)&gt;FILTER(Info!$H$2:H81,Info!$A$2:A81=$K$2)),""K2 - Error"",
AND(E42=2,FILTER($J$7:indirect(""J""&amp;row()-1),$C$7:indirect(""C""&amp;row()-1)=C42)&lt;=7),""J - Error"",
E42=2,FLOOR(FILTER("&amp;"$J$7:indirect(""J""&amp;row()-1),$C$7:indirect(""C""&amp;row()-1)=C42)*Info!$T$32),
AND(E42=3,FILTER($J$7:indirect(""J""&amp;row()-1),$C$7:indirect(""C""&amp;row()-1)=C42)&lt;=15),""J - Error"",
E42=3,FLOOR(Info!$T$32*FLOOR(FILTER($J$7:indirect(""J""&amp;row()-1),$C$7:indirect("&amp;"""C""&amp;row()-1)=C42)*Info!$T$32)),
AND(E42=""Final"",COUNTIF($C$7:$C$102,C42)=2,FILTER($J$7:indirect(""J""&amp;row()-1),$C$7:indirect(""C""&amp;row()-1)=C42)&lt;=7),""J - Error"",
AND(E42=""Final"",COUNTIF($C$7:$C$102,C42)=2),
MIN(P42,FLOOR(FILTER($J$7:indirect(""J"""&amp;"&amp;row()-1),$C$7:indirect(""C""&amp;row()-1)=C42)*Info!$T$32)),
AND(E42=""Final"",COUNTIF($C$7:$C$102,C42)=3,FILTER($J$7:indirect(""J""&amp;row()-1),$C$7:indirect(""C""&amp;row()-1)=C42)&lt;=15),""J - Error"",
AND(E42=""Final"",COUNTIF($C$7:$C$102,C42)=3),
MIN(P42,FLOOR(I"&amp;"nfo!$T$32*FLOOR(FILTER($J$7:indirect(""J""&amp;row()-1),$C$7:indirect(""C""&amp;row()-1)=C42)*Info!$T$32))),
AND(E42=""Final"",COUNTIF($C$7:$C$102,C42)&gt;=4,FILTER($J$7:indirect(""J""&amp;row()-1),$C$7:indirect(""C""&amp;row()-1)=C42)&lt;=99),""J - Error"",
AND(E42=""Final"","&amp;"COUNTIF($C$7:$C$102,C42)&gt;=4),
MIN(P42,FLOOR(Info!$T$32*FLOOR(Info!$T$32*FLOOR(FILTER($J$7:indirect(""J""&amp;row()-1),$C$7:indirect(""C""&amp;row()-1)=C42)*Info!$T$32)))))"),"")</f>
        <v/>
      </c>
      <c r="K42" s="41" t="str">
        <f>IFERROR(__xludf.DUMMYFUNCTION("IFS(AND(indirect(""D""&amp;row()+2)&lt;&gt;$E$2,indirect(""D""&amp;row()+1)=""""),CONCATENATE(""Tom rad! Kopiera hela rad ""&amp;row()&amp;"" dit""),
AND(indirect(""D""&amp;row()-1)&lt;&gt;""Rum"",indirect(""D""&amp;row()-1)=""""),CONCATENATE(""Tom rad! Kopiera hela rad ""&amp;row()&amp;"" dit""),
"&amp;"C42="""","""",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OR(AND(D42&lt;&gt;$E$2,D42&lt;&gt;$E$4,D42&lt;&gt;$K$4,D42&lt;&gt;$Q$4),D42="&amp;"""""),CONCATENATE(""Rum: ""&amp;D42&amp;"" finns ej, byt i D""&amp;row()),
AND(indirect(""D""&amp;row()-1)=""Rum"",C42=""""),CONCATENATE(""För att börja: skriv i cell C""&amp;row()),
AND(C42=""Paus"",M42&lt;=0),CONCATENATE(""Skriv pausens längd i M""&amp;row()),
OR(COUNTIF(Info!$A$"&amp;"22:A81,C42)&gt;0,C42=""""),"""",
AND(D42&lt;&gt;$E$2,$O$2=""Yes"",A42=""=time(hh;mm;ss)""),CONCATENATE(""Skriv starttid för ""&amp;C42&amp;"" i A""&amp;row()),
E42=""E - Error"",CONCATENATE(""För många ""&amp;C42&amp;"" rundor!""),
AND(C42&lt;&gt;""3x3 FMC"",C42&lt;&gt;""3x3 MBLD"",E42&lt;&gt;1,E42&lt;&gt;"&amp;"""Final"",IFERROR(FILTER($E$7:indirect(""E""&amp;row()-1),
$E$7:indirect(""E""&amp;row()-1)=E42-1,$C$7:indirect(""C""&amp;row()-1)=C42))=FALSE),CONCATENATE(""Kan ej vara R""&amp;E42&amp;"", saknar R""&amp;(E42-1)),
AND(indirect(""E""&amp;row()-1)&lt;&gt;""Omgång"",IFERROR(FILTER($E$7:indi"&amp;"rect(""E""&amp;row()-1),
$E$7:indirect(""E""&amp;row()-1)=E42,$C$7:indirect(""C""&amp;row()-1)=C42)=E42)=TRUE),CONCATENATE(""Runda ""&amp;E42&amp;"" i ""&amp;C42&amp;"" finns redan""),
AND(C42&lt;&gt;""3x3 BLD"",C42&lt;&gt;""4x4 BLD"",C42&lt;&gt;""5x5 BLD"",C42&lt;&gt;""4x4 / 5x5 BLD"",OR(E42=2,E42=3,E42="&amp;"""Final""),H42&lt;&gt;""""),CONCATENATE(E42&amp;""-rundor brukar ej ha c.t.l.""),
AND(OR(E42=2,E42=3,E42=""Final""),I42&lt;&gt;""""),CONCATENATE(E42&amp;""-rundor brukar ej ha cutoff""),
AND(OR(C42=""3x3 FMC"",C42=""3x3 MBLD""),OR(E42=1,E42=2,E42=3,E42=""Final"")),CONCATENAT"&amp;"E(C42&amp;""s omgång är Rx - Ax""),
AND(C42&lt;&gt;""3x3 MBLD"",C42&lt;&gt;""3x3 FMC"",FILTER(Info!$D$2:D81, Info!$A$2:A81 = C42)&lt;&gt;F42),CONCATENATE(C42&amp;"" måste ha formatet ""&amp;FILTER(Info!$D$2:D81, Info!$A$2:A81 = C42)),
AND(C42=""3x3 MBLD"",OR(F42=""Avg of 5"",F42=""Mea"&amp;"n of 3"")),CONCATENATE(""Ogiltigt format för ""&amp;C42),
AND(C42=""3x3 FMC"",OR(F42=""Avg of 5"",F42=""Best of 3"")),CONCATENATE(""Ogiltigt format för ""&amp;C42),
AND(OR(F42=""Best of 1"",F42=""Best of 2"",F42=""Best of 3""),I42&lt;&gt;""""),CONCATENATE(F42&amp;""-rundor"&amp;" får ej ha cutoff""),
AND(OR(C42=""3x3 FMC"",C42=""3x3 MBLD""),G42&lt;&gt;60),CONCATENATE(C42&amp;"" måste ha time limit: 60""),
AND(OR(C42=""3x3 FMC"",C42=""3x3 MBLD""),H42&lt;&gt;""""),CONCATENATE(C42&amp;"" kan inte ha c.t.l.""),
AND(G42&lt;&gt;"""",H42&lt;&gt;""""),""Välj time limit"&amp;" ELLER c.t.l"",
AND(C42=""6x6 / 7x7"",G42="""",H42=""""),""Sätt time limit (x / y) eller c.t.l (z)"",
AND(G42="""",H42=""""),""Sätt en time limit eller c.t.l"",
AND(OR(C42=""6x6 / 7x7"",C42=""4x4 / 5x5 BLD""),G42&lt;&gt;"""",REGEXMATCH(TO_TEXT(G42),"" / "")=FAL"&amp;"SE),CONCATENATE(""Time limit måste vara x / y""),
AND(H42&lt;&gt;"""",I42&lt;&gt;""""),CONCATENATE(C42&amp;"" brukar ej ha cutoff OCH c.t.l""),
AND(E42=1,H42="""",I42="""",OR(FILTER(Info!$E$2:E81, Info!$A$2:A81 = C42) = ""Yes"",FILTER(Info!$F$2:F81, Info!$A$2:A81 = C42) "&amp;"= ""Yes""),OR(F42=""Avg of 5"",F42=""Mean of 3"")),CONCATENATE(C42&amp;"" bör ha cutoff eller c.t.l""),
AND(C42=""6x6 / 7x7"",I42&lt;&gt;"""",REGEXMATCH(TO_TEXT(I42),"" / "")=FALSE),CONCATENATE(""Cutoff måste vara x / y""),
AND(H42&lt;&gt;"""",ISNUMBER(H42)=FALSE),""C.t."&amp;"l. måste vara positivt tal (x)"",
AND(C42&lt;&gt;""6x6 / 7x7"",I42&lt;&gt;"""",ISNUMBER(I42)=FALSE),""Cutoff måste vara positivt tal (x)"",
AND(H42&lt;&gt;"""",FILTER(Info!$E$2:E81, Info!$A$2:A81 = C42) = ""No"",FILTER(Info!$F$2:F81, Info!$A$2:A81 = C42) = ""No""),CONCATEN"&amp;"ATE(C42&amp;"" brukar inte ha c.t.l.""),
AND(I42&lt;&gt;"""",FILTER(Info!$E$2:E81, Info!$A$2:A81 = C42) = ""No"",FILTER(Info!$F$2:F81, Info!$A$2:A81 = C42) = ""No""),CONCATENATE(C42&amp;"" brukar inte ha cutoff""),
AND(H42="""",FILTER(Info!$F$2:F81, Info!$A$2:A81 = C42"&amp;") = ""Yes""),CONCATENATE(C42&amp;"" brukar ha c.t.l.""),
AND(C42&lt;&gt;""6x6 / 7x7"",C42&lt;&gt;""4x4 / 5x5 BLD"",G42&lt;&gt;"""",ISNUMBER(G42)=FALSE),""Time limit måste vara positivt tal (x)"",
J42=""J - Error"",CONCATENATE(""För få deltagare i R1 för ""&amp;COUNTIF($C$7:$C$102,"&amp;"indirect(""C""&amp;row()))&amp;"" rundor""),
J42=""K2 - Error"",CONCATENATE(C42&amp;"" är mer populär - byt i K2!""),
AND(C42&lt;&gt;""6x6 / 7x7"",C42&lt;&gt;""4x4 / 5x5 BLD"",G42&lt;&gt;"""",I42&lt;&gt;"""",G42&lt;=I42),""Time limit måste vara &gt; cutoff"",
AND(C42&lt;&gt;""6x6 / 7x7"",C42&lt;&gt;""4x4 / 5"&amp;"x5 BLD"",H42&lt;&gt;"""",I42&lt;&gt;"""",H42&lt;=I42),""C.t.l. måste vara &gt; cutoff"",
AND(C42&lt;&gt;""3x3 FMC"",C42&lt;&gt;""3x3 MBLD"",J42=""""),CONCATENATE(""Fyll i antal deltagare i J""&amp;row()),
AND(C42="""",OR(E42&lt;&gt;"""",F42&lt;&gt;"""",G42&lt;&gt;"""",H42&lt;&gt;"""",I42&lt;&gt;"""",J42&lt;&gt;"""")),""Skri"&amp;"v ALLTID gren / aktivitet först"",
AND(I42="""",H42="""",J42&lt;&gt;""""),J42,
OR(""3x3 FMC""=C42,""3x3 MBLD""=C42),J42,
AND(I42&lt;&gt;"""",""6x6 / 7x7""=C42),
IFS(ArrayFormula(SUM(IFERROR(SPLIT(I42,"" / ""))))&lt;(Info!$J$6+Info!$J$7)*2/3,CONCATENATE(""Höj helst cutof"&amp;"fs i ""&amp;C42),
ArrayFormula(SUM(IFERROR(SPLIT(I42,"" / ""))))&lt;=(Info!$J$6+Info!$J$7),ROUNDUP(J42*Info!$J$22),
ArrayFormula(SUM(IFERROR(SPLIT(I42,"" / ""))))&lt;=Info!$J$6+Info!$J$7,ROUNDUP(J42*Info!$K$22),
ArrayFormula(SUM(IFERROR(SPLIT(I42,"" / ""))))&lt;=Info!"&amp;"$K$6+Info!$K$7,ROUNDUP(J42*Info!L$22),
ArrayFormula(SUM(IFERROR(SPLIT(I42,"" / ""))))&lt;=Info!$L$6+Info!$L$7,ROUNDUP(J42*Info!$M$22),
ArrayFormula(SUM(IFERROR(SPLIT(I42,"" / ""))))&lt;=Info!$M$6+Info!$M$7,ROUNDUP(J42*Info!$N$22),
ArrayFormula(SUM(IFERROR(SPLIT"&amp;"(I42,"" / ""))))&lt;=(Info!$N$6+Info!$N$7)*3/2,ROUNDUP(J42*Info!$J$26),
ArrayFormula(SUM(IFERROR(SPLIT(I42,"" / ""))))&gt;(Info!$N$6+Info!$N$7)*3/2,CONCATENATE(""Sänk helst cutoffs i ""&amp;C42)),
AND(I42&lt;&gt;"""",FILTER(Info!$E$2:E81, Info!$A$2:A81 = C42) = ""Yes""),"&amp;"
IFS(I42&lt;FILTER(Info!$J$2:J81, Info!$A$2:A81 = C42)*2/3,CONCATENATE(""Höj helst cutoff i ""&amp;C42),
I42&lt;=FILTER(Info!$J$2:J81, Info!$A$2:A81 = C42),ROUNDUP(J42*Info!$J$22),
I42&lt;=FILTER(Info!$K$2:K81, Info!$A$2:A81 = C42),ROUNDUP(J42*Info!$K$22),
I42&lt;=FILTER"&amp;"(Info!$L$2:L81, Info!$A$2:A81 = C42),ROUNDUP(J42*Info!L$22),
I42&lt;=FILTER(Info!$M$2:M81, Info!$A$2:A81 = C42),ROUNDUP(J42*Info!$M$22),
I42&lt;=FILTER(Info!$N$2:N81, Info!$A$2:A81 = C42),ROUNDUP(J42*Info!$N$22),
I42&lt;=FILTER(Info!$N$2:N81, Info!$A$2:A81 = C42)*"&amp;"3/2,ROUNDUP(J42*Info!$J$26),
I42&gt;FILTER(Info!$N$2:N81, Info!$A$2:A81 = C42)*3/2,CONCATENATE(""Sänk helst cutoff i ""&amp;C42)),
AND(H42&lt;&gt;"""",""6x6 / 7x7""=C42),
IFS(H42/3&lt;=(Info!$J$6+Info!$J$7)*2/3,""Höj helst cumulative time limit"",
H42/3&lt;=Info!$J$6+Info!$"&amp;"J$7,ROUNDUP(J42*Info!$J$24),
H42/3&lt;=Info!$K$6+Info!$K$7,ROUNDUP(J42*Info!$K$24),
H42/3&lt;=Info!$L$6+Info!$L$7,ROUNDUP(J42*Info!L$24),
H42/3&lt;=Info!$M$6+Info!$M$7,ROUNDUP(J42*Info!$M$24),
H42/3&lt;=Info!$N$6+Info!$N$7,ROUNDUP(J42*Info!$N$24),
H42/3&lt;=(Info!$N$6+I"&amp;"nfo!$N$7)*3/2,ROUNDUP(J42*Info!$L$26),
H42/3&gt;(Info!$J$6+Info!$J$7)*3/2,""Sänk helst cumulative time limit""),
AND(H42&lt;&gt;"""",FILTER(Info!$F$2:F81, Info!$A$2:A81 = C42) = ""Yes""),
IFS(H42&lt;=FILTER(Info!$J$2:J81, Info!$A$2:A81 = C42)*2/3,CONCATENATE(""Höj he"&amp;"lst c.t.l. i ""&amp;C42),
H42&lt;=FILTER(Info!$J$2:J81, Info!$A$2:A81 = C42),ROUNDUP(J42*Info!$J$24),
H42&lt;=FILTER(Info!$K$2:K81, Info!$A$2:A81 = C42),ROUNDUP(J42*Info!$K$24),
H42&lt;=FILTER(Info!$L$2:L81, Info!$A$2:A81 = C42),ROUNDUP(J42*Info!L$24),
H42&lt;=FILTER(Inf"&amp;"o!$M$2:M81, Info!$A$2:A81 = C42),ROUNDUP(J42*Info!$M$24),
H42&lt;=FILTER(Info!$N$2:N81, Info!$A$2:A81 = C42),ROUNDUP(J42*Info!$N$24),
H42&lt;=FILTER(Info!$N$2:N81, Info!$A$2:A81 = C42)*3/2,ROUNDUP(J42*Info!$L$26),
H42&gt;FILTER(Info!$N$2:N81, Info!$A$2:A81 = C42)*"&amp;"3/2,CONCATENATE(""Sänk helst c.t.l. i ""&amp;C42)),
AND(H42&lt;&gt;"""",FILTER(Info!$F$2:F81, Info!$A$2:A81 = C42) = ""No""),
IFS(H42/AA42&lt;=FILTER(Info!$J$2:J81, Info!$A$2:A81 = C42)*2/3,CONCATENATE(""Höj helst c.t.l. i ""&amp;C42),
H42/AA42&lt;=FILTER(Info!$J$2:J81, Info"&amp;"!$A$2:A81 = C42),ROUNDUP(J42*Info!$J$24),
H42/AA42&lt;=FILTER(Info!$K$2:K81, Info!$A$2:A81 = C42),ROUNDUP(J42*Info!$K$24),
H42/AA42&lt;=FILTER(Info!$L$2:L81, Info!$A$2:A81 = C42),ROUNDUP(J42*Info!L$24),
H42/AA42&lt;=FILTER(Info!$M$2:M81, Info!$A$2:A81 = C42),ROUND"&amp;"UP(J42*Info!$M$24),
H42/AA42&lt;=FILTER(Info!$N$2:N81, Info!$A$2:A81 = C42),ROUNDUP(J42*Info!$N$24),
H42/AA42&lt;=FILTER(Info!$N$2:N81, Info!$A$2:A81 = C42)*3/2,ROUNDUP(J42*Info!$L$26),
H42/AA42&gt;FILTER(Info!$N$2:N81, Info!$A$2:A81 = C42)*3/2,CONCATENATE(""Sänk "&amp;"helst c.t.l. i ""&amp;C42)),
AND(I42="""",H42&lt;&gt;"""",J42&lt;&gt;""""),ROUNDUP(J42*Info!$T$29),
AND(I42&lt;&gt;"""",H42="""",J42&lt;&gt;""""),ROUNDUP(J42*Info!$T$26))"),"")</f>
        <v/>
      </c>
      <c r="L42" s="42">
        <f>IFERROR(__xludf.DUMMYFUNCTION("IFS(C42="""",0,
C42=""3x3 FMC"",Info!$B$9*N42+M42, C42=""3x3 MBLD"",Info!$B$18*N42+M42,
COUNTIF(Info!$A$22:A81,C42)&gt;0,FILTER(Info!$B$22:B81,Info!$A$22:A81=C42)+M42,
AND(C42&lt;&gt;"""",E42=""""),CONCATENATE(""Fyll i E""&amp;row()),
AND(C42&lt;&gt;"""",E42&lt;&gt;"""",E42&lt;&gt;1,E4"&amp;"2&lt;&gt;2,E42&lt;&gt;3,E42&lt;&gt;""Final""),CONCATENATE(""Fel format på E""&amp;row()),
K42=CONCATENATE(""Runda ""&amp;E42&amp;"" i ""&amp;C42&amp;"" finns redan""),CONCATENATE(""Fel i E""&amp;row()),
AND(C42&lt;&gt;"""",F42=""""),CONCATENATE(""Fyll i F""&amp;row()),
K42=CONCATENATE(C42&amp;"" måste ha forma"&amp;"tet ""&amp;FILTER(Info!$D$2:D81, Info!$A$2:A81 = C42)),CONCATENATE(""Fel format på F""&amp;row()),
AND(C42&lt;&gt;"""",D42=1,H42="""",FILTER(Info!$F$2:F81, Info!$A$2:A81 = C42) = ""Yes""),CONCATENATE(""Fyll i H""&amp;row()),
AND(C42&lt;&gt;"""",D42=1,I42="""",FILTER(Info!$E$2:E8"&amp;"1, Info!$A$2:A81 = C42) = ""Yes""),CONCATENATE(""Fyll i I""&amp;row()),
AND(C42&lt;&gt;"""",J42=""""),CONCATENATE(""Fyll i J""&amp;row()),
AND(C42&lt;&gt;"""",K42="""",OR(H42&lt;&gt;"""",I42&lt;&gt;"""")),CONCATENATE(""Fyll i K""&amp;row()),
AND(C42&lt;&gt;"""",K42=""""),CONCATENATE(""Skriv samma"&amp;" i K""&amp;row()&amp;"" som i J""&amp;row()),
AND(OR(C42=""4x4 BLD"",C42=""5x5 BLD"",C42=""4x4 / 5x5 BLD"")=TRUE,V42&lt;=P42),
MROUND(H42*(Info!$T$20-((Info!$T$20-1)/2)*(1-V42/P42))*(1+((J42/K42)-1)*(1-Info!$J$24))*N42+(Info!$T$11/2)+(N42*Info!$T$11)+(N42*Info!$T$14*(O4"&amp;"2-1)),0.01)+M42,
AND(OR(C42=""4x4 BLD"",C42=""5x5 BLD"",C42=""4x4 / 5x5 BLD"")=TRUE,V42&gt;P42),
MROUND((((J42*Z42+K42*(AA42-Z42))*(H42*Info!$T$20/AA42))/X42)*(1+((J42/K42)-1)*(1-Info!$J$24))*(1+(X42-Info!$T$8)/100)+(Info!$T$11/2)+(N42*Info!$T$11)+(N42*Info!"&amp;"$T$14*(O42-1)),0.01)+M42,
AND(C42=""3x3 BLD"",V42&lt;=P42),
MROUND(H42*(Info!$T$23-((Info!$T$23-1)/2)*(1-V42/P42))*(1+((J42/K42)-1)*(1-Info!$J$24))*N42+(Info!$T$11/2)+(N42*Info!$T$11)+(N42*Info!$T$14*(O42-1)),0.01)+M42,
AND(C42=""3x3 BLD"",V42&gt;P42),
MROUND(("&amp;"((J42*Z42+K42*(AA42-Z42))*(H42*Info!$T$23/AA42))/X42)*(1+((J42/K42)-1)*(1-Info!$J$24))*(1+(X42-Info!$T$8)/100)+(Info!$T$11/2)+(N42*Info!$T$11)+(N42*Info!$T$14*(O42-1)),0.01)+M42,
E42=1,MROUND((((J42*Z42+K42*(AA42-Z42))*Y42)/X42)*(1+(X42-Info!$T$8)/100)+(N"&amp;"42*Info!$T$11)+(N42*Info!$T$14*(O42-1)),0.01)+M42,
AND(E42=""Final"",N42=1,FILTER(Info!$G$2:$G$20,Info!$A$2:$A$20=C42)=""Mycket svår""),
MROUND((((J42*Z42+K42*(AA42-Z42))*(Y42*Info!$T$38))/X42)*(1+(X42-Info!$T$8)/100)+(N42*Info!$T$11)+(N42*Info!$T$14*(O42"&amp;"-1)),0.01)+M42,
AND(E42=""Final"",N42=1,FILTER(Info!$G$2:$G$20,Info!$A$2:$A$20=C42)=""Svår""),
MROUND((((J42*Z42+K42*(AA42-Z42))*(Y42*Info!$T$35))/X42)*(1+(X42-Info!$T$8)/100)+(N42*Info!$T$11)+(N42*Info!$T$14*(O42-1)),0.01)+M42,
E42=""Final"",MROUND((((J4"&amp;"2*Z42+K42*(AA42-Z42))*(Y42*Info!$T$5))/X42)*(1+(X42-Info!$T$8)/100)+(N42*Info!$T$11)+(N42*Info!$T$14*(O42-1)),0.01)+M42,
OR(E42=2,E42=3),MROUND((((J42*Z42+K42*(AA42-Z42))*(Y42*Info!$T$2))/X42)*(1+(X42-Info!$T$8)/100)+(N42*Info!$T$11)+(N42*Info!$T$14*(O42-"&amp;"1)),0.01)+M42)"),0.0)</f>
        <v>0</v>
      </c>
      <c r="M42" s="43">
        <f t="shared" si="4"/>
        <v>0</v>
      </c>
      <c r="N42" s="43" t="str">
        <f>IFS(OR(COUNTIF(Info!$A$22:A81,C42)&gt;0,C42=""),"",
OR(C42="4x4 BLD",C42="5x5 BLD",C42="3x3 MBLD",C42="3x3 FMC",C42="4x4 / 5x5 BLD"),1,
AND(E42="Final",Q42="Yes",MAX(1,ROUNDUP(J42/P42))&gt;1),MAX(2,ROUNDUP(J42/P42)),
AND(E42="Final",Q42="No",MAX(1,ROUNDUP(J42/((P42*2)+2.625-Y42*1.5)))&gt;1),MAX(2,ROUNDUP(J42/((P42*2)+2.625-Y42*1.5))),
E42="Final",1,
Q42="Yes",MAX(2,ROUNDUP(J42/P42)),
TRUE,MAX(2,ROUNDUP(J42/((P42*2)+2.625-Y42*1.5))))</f>
        <v/>
      </c>
      <c r="O42" s="43" t="str">
        <f>IFS(OR(COUNTIF(Info!$A$22:A81,C42)&gt;0,C42=""),"",
OR("3x3 MBLD"=C42,"3x3 FMC"=C42)=TRUE,"",
D42=$E$4,$G$6,D42=$K$4,$M$6,D42=$Q$4,$S$6,D42=$W$4,$Y$6,
TRUE,$S$2)</f>
        <v/>
      </c>
      <c r="P42" s="43" t="str">
        <f>IFS(OR(COUNTIF(Info!$A$22:A81,C42)&gt;0,C42=""),"",
OR("3x3 MBLD"=C42,"3x3 FMC"=C42)=TRUE,"",
D42=$E$4,$E$6,D42=$K$4,$K$6,D42=$Q$4,$Q$6,D42=$W$4,$W$6,
TRUE,$Q$2)</f>
        <v/>
      </c>
      <c r="Q42" s="44" t="str">
        <f>IFS(OR(COUNTIF(Info!$A$22:A81,C42)&gt;0,C42=""),"",
OR("3x3 MBLD"=C42,"3x3 FMC"=C42)=TRUE,"",
D42=$E$4,$I$6,D42=$K$4,$O$6,D42=$Q$4,$U$6,D42=$W$4,$AA$6,
TRUE,$U$2)</f>
        <v/>
      </c>
      <c r="R42" s="45" t="str">
        <f>IFERROR(__xludf.DUMMYFUNCTION("IF(C42="""","""",IFERROR(FILTER(Info!$B$22:B81,Info!$A$22:A81=C42)+M42,""?""))"),"")</f>
        <v/>
      </c>
      <c r="S42" s="46" t="str">
        <f>IFS(OR(COUNTIF(Info!$A$22:A81,C42)&gt;0,C42=""),"",
AND(H42="",I42=""),J42,
TRUE,"?")</f>
        <v/>
      </c>
      <c r="T42" s="45" t="str">
        <f>IFS(OR(COUNTIF(Info!$A$22:A81,C42)&gt;0,C42=""),"",
AND(L42&lt;&gt;0,OR(R42="?",R42="")),"Fyll i R-kolumnen",
OR(C42="3x3 FMC",C42="3x3 MBLD"),R42,
AND(L42&lt;&gt;0,OR(S42="?",S42="")),"Fyll i S-kolumnen",
OR(COUNTIF(Info!$A$22:A81,C42)&gt;0,C42=""),"",
TRUE,Y42*R42/L42)</f>
        <v/>
      </c>
      <c r="U42" s="45"/>
      <c r="V42" s="47" t="str">
        <f>IFS(OR(COUNTIF(Info!$A$22:A81,C42)&gt;0,C42=""),"",
OR("3x3 MBLD"=C42,"3x3 FMC"=C42)=TRUE,"",
TRUE,MROUND((J42/N42),0.01))</f>
        <v/>
      </c>
      <c r="W42" s="48" t="str">
        <f>IFS(OR(COUNTIF(Info!$A$22:A81,C42)&gt;0,C42=""),"",
TRUE,L42/N42)</f>
        <v/>
      </c>
      <c r="X42" s="49" t="str">
        <f>IFS(OR(COUNTIF(Info!$A$22:A81,C42)&gt;0,C42=""),"",
OR("3x3 MBLD"=C42,"3x3 FMC"=C42)=TRUE,"",
OR(C42="4x4 BLD",C42="5x5 BLD",C42="4x4 / 5x5 BLD",AND(C42="3x3 BLD",H42&lt;&gt;""))=TRUE,MIN(V42,P42),
TRUE,MIN(P42,V42,MROUND(((V42*2/3)+((Y42-1.625)/2)),0.01)))</f>
        <v/>
      </c>
      <c r="Y42" s="48" t="str">
        <f>IFERROR(__xludf.DUMMYFUNCTION("IFS(OR(COUNTIF(Info!$A$22:A81,C42)&gt;0,C42=""""),"""",
FILTER(Info!$F$2:F81, Info!$A$2:A81 = C42) = ""Yes"",H42/AA42,
""3x3 FMC""=C42,Info!$B$9,""3x3 MBLD""=C42,Info!$B$18,
AND(E42=1,I42="""",H42="""",Q42=""No"",G42&gt;SUMIF(Info!$A$2:A81,C42,Info!$B$2:B81)*1."&amp;"5),
MIN(SUMIF(Info!$A$2:A81,C42,Info!$B$2:B81)*1.1,SUMIF(Info!$A$2:A81,C42,Info!$B$2:B81)*(1.15-(0.15*(SUMIF(Info!$A$2:A81,C42,Info!$B$2:B81)*1.5)/G42))),
AND(E42=1,I42="""",H42="""",Q42=""Yes"",G42&gt;SUMIF(Info!$A$2:A81,C42,Info!$C$2:C81)*1.5),
MIN(SUMIF(I"&amp;"nfo!$A$2:A81,C42,Info!$C$2:C81)*1.1,SUMIF(Info!$A$2:A81,C42,Info!$C$2:C81)*(1.15-(0.15*(SUMIF(Info!$A$2:A81,C42,Info!$C$2:C81)*1.5)/G42))),
Q42=""No"",SUMIF(Info!$A$2:A81,C42,Info!$B$2:B81),
Q42=""Yes"",SUMIF(Info!$A$2:A81,C42,Info!$C$2:C81))"),"")</f>
        <v/>
      </c>
      <c r="Z42" s="47" t="str">
        <f>IFS(OR(COUNTIF(Info!$A$22:A81,C42)&gt;0,C42=""),"",
AND(OR("3x3 FMC"=C42,"3x3 MBLD"=C42),I42&lt;&gt;""),1,
AND(OR(H42&lt;&gt;"",I42&lt;&gt;""),F42="Avg of 5"),2,
F42="Avg of 5",AA42,
AND(OR(H42&lt;&gt;"",I42&lt;&gt;""),F42="Mean of 3",C42="6x6 / 7x7"),2,
AND(OR(H42&lt;&gt;"",I42&lt;&gt;""),F42="Mean of 3"),1,
F42="Mean of 3",AA42,
AND(OR(H42&lt;&gt;"",I42&lt;&gt;""),F42="Best of 3",C42="4x4 / 5x5 BLD"),2,
AND(OR(H42&lt;&gt;"",I42&lt;&gt;""),F42="Best of 3"),1,
F42="Best of 2",AA42,
F42="Best of 1",AA42)</f>
        <v/>
      </c>
      <c r="AA42" s="47" t="str">
        <f>IFS(OR(COUNTIF(Info!$A$22:A81,C42)&gt;0,C42=""),"",
AND(OR("3x3 MBLD"=C42,"3x3 FMC"=C42),F42="Best of 1"=TRUE),1,
AND(OR("3x3 MBLD"=C42,"3x3 FMC"=C42),F42="Best of 2"=TRUE),2,
AND(OR("3x3 MBLD"=C42,"3x3 FMC"=C42),OR(F42="Best of 3",F42="Mean of 3")=TRUE),3,
AND(F42="Mean of 3",C42="6x6 / 7x7"),6,
AND(F42="Best of 3",C42="4x4 / 5x5 BLD"),6,
F42="Avg of 5",5,F42="Mean of 3",3,F42="Best of 3",3,F42="Best of 2",2,F42="Best of 1",1)</f>
        <v/>
      </c>
      <c r="AB42" s="50"/>
    </row>
    <row r="43" ht="15.75" customHeight="1">
      <c r="A43" s="35">
        <f>IFERROR(__xludf.DUMMYFUNCTION("IFS(indirect(""A""&amp;row()-1)=""Start"",TIME(indirect(""A""&amp;row()-2),indirect(""B""&amp;row()-2),0),
$O$2=""No"",TIME(0,($A$6*60+$B$6)+CEILING(SUM($L$7:indirect(""L""&amp;row()-1)),5),0),
D43=$E$2,TIME(0,($A$6*60+$B$6)+CEILING(SUM(IFERROR(FILTER($L$7:indirect(""L"""&amp;"&amp;row()-1),REGEXMATCH($D$7:indirect(""D""&amp;row()-1),$E$2)),0)),5),0),
TRUE,""=time(hh;mm;ss)"")"),0.375)</f>
        <v>0.375</v>
      </c>
      <c r="B43" s="36">
        <f>IFERROR(__xludf.DUMMYFUNCTION("IFS($O$2=""No"",TIME(0,($A$6*60+$B$6)+CEILING(SUM($L$7:indirect(""L""&amp;row())),5),0),
D43=$E$2,TIME(0,($A$6*60+$B$6)+CEILING(SUM(FILTER($L$7:indirect(""L""&amp;row()),REGEXMATCH($D$7:indirect(""D""&amp;row()),$E$2))),5),0),
A43=""=time(hh;mm;ss)"",CONCATENATE(""Sk"&amp;"riv tid i A""&amp;row()),
AND(A43&lt;&gt;"""",A43&lt;&gt;""=time(hh;mm;ss)""),A43+TIME(0,CEILING(indirect(""L""&amp;row()),5),0))"),0.375)</f>
        <v>0.375</v>
      </c>
      <c r="C43" s="37"/>
      <c r="D43" s="38" t="str">
        <f t="shared" si="3"/>
        <v>Stora salen</v>
      </c>
      <c r="E43" s="38" t="str">
        <f>IFERROR(__xludf.DUMMYFUNCTION("IFS(COUNTIF(Info!$A$22:A81,C43)&gt;0,"""",
AND(OR(""3x3 FMC""=C43,""3x3 MBLD""=C43),COUNTIF($C$7:indirect(""C""&amp;row()),indirect(""C""&amp;row()))&gt;=13),""E - Error"",
AND(OR(""3x3 FMC""=C43,""3x3 MBLD""=C43),COUNTIF($C$7:indirect(""C""&amp;row()),indirect(""C""&amp;row()"&amp;"))=12),""Final - A3"",
AND(OR(""3x3 FMC""=C43,""3x3 MBLD""=C43),COUNTIF($C$7:indirect(""C""&amp;row()),indirect(""C""&amp;row()))=11),""Final - A2"",
AND(OR(""3x3 FMC""=C43,""3x3 MBLD""=C43),COUNTIF($C$7:indirect(""C""&amp;row()),indirect(""C""&amp;row()))=10),""Final - "&amp;"A1"",
AND(OR(""3x3 FMC""=C43,""3x3 MBLD""=C43),COUNTIF($C$7:indirect(""C""&amp;row()),indirect(""C""&amp;row()))=9,
COUNTIF($C$7:$C$102,indirect(""C""&amp;row()))&gt;9),""R3 - A3"",
AND(OR(""3x3 FMC""=C43,""3x3 MBLD""=C43),COUNTIF($C$7:indirect(""C""&amp;row()),indirect(""C"&amp;"""&amp;row()))=9,
COUNTIF($C$7:$C$102,indirect(""C""&amp;row()))&lt;=9),""Final - A3"",
AND(OR(""3x3 FMC""=C43,""3x3 MBLD""=C43),COUNTIF($C$7:indirect(""C""&amp;row()),indirect(""C""&amp;row()))=8,
COUNTIF($C$7:$C$102,indirect(""C""&amp;row()))&gt;9),""R3 - A2"",
AND(OR(""3x3 FMC"&amp;"""=C43,""3x3 MBLD""=C43),COUNTIF($C$7:indirect(""C""&amp;row()),indirect(""C""&amp;row()))=8,
COUNTIF($C$7:$C$102,indirect(""C""&amp;row()))&lt;=9),""Final - A2"",
AND(OR(""3x3 FMC""=C43,""3x3 MBLD""=C43),COUNTIF($C$7:indirect(""C""&amp;row()),indirect(""C""&amp;row()))=7,
COUN"&amp;"TIF($C$7:$C$102,indirect(""C""&amp;row()))&gt;9),""R3 - A1"",
AND(OR(""3x3 FMC""=C43,""3x3 MBLD""=C43),COUNTIF($C$7:indirect(""C""&amp;row()),indirect(""C""&amp;row()))=7,
COUNTIF($C$7:$C$102,indirect(""C""&amp;row()))&lt;=9),""Final - A1"",
AND(OR(""3x3 FMC""=C43,""3x3 MBLD"""&amp;"=C43),COUNTIF($C$7:indirect(""C""&amp;row()),indirect(""C""&amp;row()))=6,
COUNTIF($C$7:$C$102,indirect(""C""&amp;row()))&gt;6),""R2 - A3"",
AND(OR(""3x3 FMC""=C43,""3x3 MBLD""=C43),COUNTIF($C$7:indirect(""C""&amp;row()),indirect(""C""&amp;row()))=6,
COUNTIF($C$7:$C$102,indirec"&amp;"t(""C""&amp;row()))&lt;=6),""Final - A3"",
AND(OR(""3x3 FMC""=C43,""3x3 MBLD""=C43),COUNTIF($C$7:indirect(""C""&amp;row()),indirect(""C""&amp;row()))=5,
COUNTIF($C$7:$C$102,indirect(""C""&amp;row()))&gt;6),""R2 - A2"",
AND(OR(""3x3 FMC""=C43,""3x3 MBLD""=C43),COUNTIF($C$7:indi"&amp;"rect(""C""&amp;row()),indirect(""C""&amp;row()))=5,
COUNTIF($C$7:$C$102,indirect(""C""&amp;row()))&lt;=6),""Final - A2"",
AND(OR(""3x3 FMC""=C43,""3x3 MBLD""=C43),COUNTIF($C$7:indirect(""C""&amp;row()),indirect(""C""&amp;row()))=4,
COUNTIF($C$7:$C$102,indirect(""C""&amp;row()))&gt;6),"&amp;"""R2 - A1"",
AND(OR(""3x3 FMC""=C43,""3x3 MBLD""=C43),COUNTIF($C$7:indirect(""C""&amp;row()),indirect(""C""&amp;row()))=4,
COUNTIF($C$7:$C$102,indirect(""C""&amp;row()))&lt;=6),""Final - A1"",
AND(OR(""3x3 FMC""=C43,""3x3 MBLD""=C43),COUNTIF($C$7:indirect(""C""&amp;row()),i"&amp;"ndirect(""C""&amp;row()))=3),""R1 - A3"",
AND(OR(""3x3 FMC""=C43,""3x3 MBLD""=C43),COUNTIF($C$7:indirect(""C""&amp;row()),indirect(""C""&amp;row()))=2),""R1 - A2"",
AND(OR(""3x3 FMC""=C43,""3x3 MBLD""=C43),COUNTIF($C$7:indirect(""C""&amp;row()),indirect(""C""&amp;row()))=1),"&amp;"""R1 -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C43),ROUNDUP((FILTER(Info!$H$2:H81,Info!$A$2:A81=C43)/FILTER(Info!$H$2:H81,Info!$A$2:A81=$K$2))*$I$2)&gt;99),3,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C43),ROUNDUP((FILTER(Info!$H$2:H81,Info!$A$2:A81=C43)/FILTER(Info!$H$2:H81,Info!$A$2:A81=$K$2))*$I$2)&gt;15),2,
AND(COUNTIF($C$7:indirect(""C""&amp;row()),indirect(""C""&amp;row()))=2,COUNTIF($C$7:$C$102,indirect(""C""&amp;row()))=COUNTIF($"&amp;"C$7:indirect(""C""&amp;row()),indirect(""C""&amp;row()))),""Final"",
COUNTIF($C$7:indirect(""C""&amp;row()),indirect(""C""&amp;row()))=1,1,
COUNTIF($C$7:indirect(""C""&amp;row()),indirect(""C""&amp;row()))=0,"""")"),"")</f>
        <v/>
      </c>
      <c r="F43" s="39" t="str">
        <f>IFERROR(__xludf.DUMMYFUNCTION("IFS(C43="""","""",
AND(C43=""3x3 FMC"",MOD(COUNTIF($C$7:indirect(""C""&amp;row()),indirect(""C""&amp;row())),3)=0),""Mean of 3"",
AND(C43=""3x3 MBLD"",MOD(COUNTIF($C$7:indirect(""C""&amp;row()),indirect(""C""&amp;row())),3)=0),""Best of 3"",
AND(C43=""3x3 FMC"",MOD(COUNT"&amp;"IF($C$7:indirect(""C""&amp;row()),indirect(""C""&amp;row())),3)=2,
COUNTIF($C$7:$C$102,indirect(""C""&amp;row()))&lt;=COUNTIF($C$7:indirect(""C""&amp;row()),indirect(""C""&amp;row()))),""Best of 2"",
AND(C43=""3x3 FMC"",MOD(COUNTIF($C$7:indirect(""C""&amp;row()),indirect(""C""&amp;row("&amp;"))),3)=2,
COUNTIF($C$7:$C$102,indirect(""C""&amp;row()))&gt;COUNTIF($C$7:indirect(""C""&amp;row()),indirect(""C""&amp;row()))),""Mean of 3"",
AND(C43=""3x3 MBLD"",MOD(COUNTIF($C$7:indirect(""C""&amp;row()),indirect(""C""&amp;row())),3)=2,
COUNTIF($C$7:$C$102,indirect(""C""&amp;row("&amp;")))&lt;=COUNTIF($C$7:indirect(""C""&amp;row()),indirect(""C""&amp;row()))),""Best of 2"",
AND(C43=""3x3 MBLD"",MOD(COUNTIF($C$7:indirect(""C""&amp;row()),indirect(""C""&amp;row())),3)=2,
COUNTIF($C$7:$C$102,indirect(""C""&amp;row()))&gt;COUNTIF($C$7:indirect(""C""&amp;row()),indirect("&amp;"""C""&amp;row()))),""Best of 3"",
AND(C43=""3x3 FMC"",MOD(COUNTIF($C$7:indirect(""C""&amp;row()),indirect(""C""&amp;row())),3)=1,
COUNTIF($C$7:$C$102,indirect(""C""&amp;row()))&lt;=COUNTIF($C$7:indirect(""C""&amp;row()),indirect(""C""&amp;row()))),""Best of 1"",
AND(C43=""3x3 FMC"""&amp;",MOD(COUNTIF($C$7:indirect(""C""&amp;row()),indirect(""C""&amp;row())),3)=1,
COUNTIF($C$7:$C$102,indirect(""C""&amp;row()))=COUNTIF($C$7:indirect(""C""&amp;row()),indirect(""C""&amp;row()))+1),""Best of 2"",
AND(C43=""3x3 FMC"",MOD(COUNTIF($C$7:indirect(""C""&amp;row()),indirect"&amp;"(""C""&amp;row())),3)=1,
COUNTIF($C$7:$C$102,indirect(""C""&amp;row()))&gt;COUNTIF($C$7:indirect(""C""&amp;row()),indirect(""C""&amp;row()))),""Mean of 3"",
AND(C43=""3x3 MBLD"",MOD(COUNTIF($C$7:indirect(""C""&amp;row()),indirect(""C""&amp;row())),3)=1,
COUNTIF($C$7:$C$102,indirect"&amp;"(""C""&amp;row()))&lt;=COUNTIF($C$7:indirect(""C""&amp;row()),indirect(""C""&amp;row()))),""Best of 1"",
AND(C43=""3x3 MBLD"",MOD(COUNTIF($C$7:indirect(""C""&amp;row()),indirect(""C""&amp;row())),3)=1,
COUNTIF($C$7:$C$102,indirect(""C""&amp;row()))=COUNTIF($C$7:indirect(""C""&amp;row()"&amp;"),indirect(""C""&amp;row()))+1),""Best of 2"",
AND(C43=""3x3 MBLD"",MOD(COUNTIF($C$7:indirect(""C""&amp;row()),indirect(""C""&amp;row())),3)=1,
COUNTIF($C$7:$C$102,indirect(""C""&amp;row()))&gt;COUNTIF($C$7:indirect(""C""&amp;row()),indirect(""C""&amp;row()))),""Best of 3"",
TRUE,("&amp;"IFERROR(FILTER(Info!$D$2:D81, Info!$A$2:A81 = C43), """")))"),"")</f>
        <v/>
      </c>
      <c r="G43" s="40" t="str">
        <f>IFERROR(__xludf.DUMMYFUNCTION("IFS(OR(COUNTIF(Info!$A$22:A81,C43)&gt;0,C43=""""),"""",
OR(""3x3 MBLD""=C43,""3x3 FMC""=C43),60,
AND(E43=1,FILTER(Info!$F$2:F81, Info!$A$2:A81 = C43) = ""No""),FILTER(Info!$P$2:P81, Info!$A$2:A81 = C43),
AND(E43=2,FILTER(Info!$F$2:F81, Info!$A$2:A81 = C43) ="&amp;" ""No""),FILTER(Info!$Q$2:Q81, Info!$A$2:A81 = C43),
AND(E43=3,FILTER(Info!$F$2:F81, Info!$A$2:A81 = C43) = ""No""),FILTER(Info!$R$2:R81, Info!$A$2:A81 = C43),
AND(E43=""Final"",FILTER(Info!$F$2:F81, Info!$A$2:A81 = C43) = ""No""),FILTER(Info!$S$2:S81, In"&amp;"fo!$A$2:A81 = C43),
FILTER(Info!$F$2:F81, Info!$A$2:A81 = C43) = ""Yes"","""")"),"")</f>
        <v/>
      </c>
      <c r="H43" s="40" t="str">
        <f>IFERROR(__xludf.DUMMYFUNCTION("IFS(OR(COUNTIF(Info!$A$22:A81,C43)&gt;0,C43=""""),"""",
OR(""3x3 MBLD""=C43,""3x3 FMC""=C43)=TRUE,"""",
FILTER(Info!$F$2:F81, Info!$A$2:A81 = C43) = ""Yes"",FILTER(Info!$O$2:O81, Info!$A$2:A81 = C43),
FILTER(Info!$F$2:F81, Info!$A$2:A81 = C43) = ""No"",IF(G4"&amp;"3="""",FILTER(Info!$O$2:O81, Info!$A$2:A81 = C43),""""))"),"")</f>
        <v/>
      </c>
      <c r="I43" s="40" t="str">
        <f>IFERROR(__xludf.DUMMYFUNCTION("IFS(OR(COUNTIF(Info!$A$22:A81,C43)&gt;0,C43="""",H43&lt;&gt;""""),"""",
AND(E43&lt;&gt;1,E43&lt;&gt;""R1 - A1"",E43&lt;&gt;""R1 - A2"",E43&lt;&gt;""R1 - A3""),"""",
FILTER(Info!$E$2:E81, Info!$A$2:A81 = C43) = ""Yes"",IF(H43="""",FILTER(Info!$L$2:L81, Info!$A$2:A81 = C43),""""),
FILTER(I"&amp;"nfo!$E$2:E81, Info!$A$2:A81 = C43) = ""No"","""")"),"")</f>
        <v/>
      </c>
      <c r="J43" s="40" t="str">
        <f>IFERROR(__xludf.DUMMYFUNCTION("IFS(OR(COUNTIF(Info!$A$22:A81,C43)&gt;0,C43="""",""3x3 MBLD""=C43,""3x3 FMC""=C43),"""",
AND(E43=1,FILTER(Info!$H$2:H81,Info!$A$2:A81 = C43)&lt;=FILTER(Info!$H$2:H81,Info!$A$2:A81=$K$2)),
ROUNDUP((FILTER(Info!$H$2:H81,Info!$A$2:A81 = C43)/FILTER(Info!$H$2:H81,I"&amp;"nfo!$A$2:A81=$K$2))*$I$2),
AND(E43=1,FILTER(Info!$H$2:H81,Info!$A$2:A81 = C43)&gt;FILTER(Info!$H$2:H81,Info!$A$2:A81=$K$2)),""K2 - Error"",
AND(E43=2,FILTER($J$7:indirect(""J""&amp;row()-1),$C$7:indirect(""C""&amp;row()-1)=C43)&lt;=7),""J - Error"",
E43=2,FLOOR(FILTER("&amp;"$J$7:indirect(""J""&amp;row()-1),$C$7:indirect(""C""&amp;row()-1)=C43)*Info!$T$32),
AND(E43=3,FILTER($J$7:indirect(""J""&amp;row()-1),$C$7:indirect(""C""&amp;row()-1)=C43)&lt;=15),""J - Error"",
E43=3,FLOOR(Info!$T$32*FLOOR(FILTER($J$7:indirect(""J""&amp;row()-1),$C$7:indirect("&amp;"""C""&amp;row()-1)=C43)*Info!$T$32)),
AND(E43=""Final"",COUNTIF($C$7:$C$102,C43)=2,FILTER($J$7:indirect(""J""&amp;row()-1),$C$7:indirect(""C""&amp;row()-1)=C43)&lt;=7),""J - Error"",
AND(E43=""Final"",COUNTIF($C$7:$C$102,C43)=2),
MIN(P43,FLOOR(FILTER($J$7:indirect(""J"""&amp;"&amp;row()-1),$C$7:indirect(""C""&amp;row()-1)=C43)*Info!$T$32)),
AND(E43=""Final"",COUNTIF($C$7:$C$102,C43)=3,FILTER($J$7:indirect(""J""&amp;row()-1),$C$7:indirect(""C""&amp;row()-1)=C43)&lt;=15),""J - Error"",
AND(E43=""Final"",COUNTIF($C$7:$C$102,C43)=3),
MIN(P43,FLOOR(I"&amp;"nfo!$T$32*FLOOR(FILTER($J$7:indirect(""J""&amp;row()-1),$C$7:indirect(""C""&amp;row()-1)=C43)*Info!$T$32))),
AND(E43=""Final"",COUNTIF($C$7:$C$102,C43)&gt;=4,FILTER($J$7:indirect(""J""&amp;row()-1),$C$7:indirect(""C""&amp;row()-1)=C43)&lt;=99),""J - Error"",
AND(E43=""Final"","&amp;"COUNTIF($C$7:$C$102,C43)&gt;=4),
MIN(P43,FLOOR(Info!$T$32*FLOOR(Info!$T$32*FLOOR(FILTER($J$7:indirect(""J""&amp;row()-1),$C$7:indirect(""C""&amp;row()-1)=C43)*Info!$T$32)))))"),"")</f>
        <v/>
      </c>
      <c r="K43" s="41" t="str">
        <f>IFERROR(__xludf.DUMMYFUNCTION("IFS(AND(indirect(""D""&amp;row()+2)&lt;&gt;$E$2,indirect(""D""&amp;row()+1)=""""),CONCATENATE(""Tom rad! Kopiera hela rad ""&amp;row()&amp;"" dit""),
AND(indirect(""D""&amp;row()-1)&lt;&gt;""Rum"",indirect(""D""&amp;row()-1)=""""),CONCATENATE(""Tom rad! Kopiera hela rad ""&amp;row()&amp;"" dit""),
"&amp;"C43="""","""",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OR(AND(D43&lt;&gt;$E$2,D43&lt;&gt;$E$4,D43&lt;&gt;$K$4,D43&lt;&gt;$Q$4),D43="&amp;"""""),CONCATENATE(""Rum: ""&amp;D43&amp;"" finns ej, byt i D""&amp;row()),
AND(indirect(""D""&amp;row()-1)=""Rum"",C43=""""),CONCATENATE(""För att börja: skriv i cell C""&amp;row()),
AND(C43=""Paus"",M43&lt;=0),CONCATENATE(""Skriv pausens längd i M""&amp;row()),
OR(COUNTIF(Info!$A$"&amp;"22:A81,C43)&gt;0,C43=""""),"""",
AND(D43&lt;&gt;$E$2,$O$2=""Yes"",A43=""=time(hh;mm;ss)""),CONCATENATE(""Skriv starttid för ""&amp;C43&amp;"" i A""&amp;row()),
E43=""E - Error"",CONCATENATE(""För många ""&amp;C43&amp;"" rundor!""),
AND(C43&lt;&gt;""3x3 FMC"",C43&lt;&gt;""3x3 MBLD"",E43&lt;&gt;1,E43&lt;&gt;"&amp;"""Final"",IFERROR(FILTER($E$7:indirect(""E""&amp;row()-1),
$E$7:indirect(""E""&amp;row()-1)=E43-1,$C$7:indirect(""C""&amp;row()-1)=C43))=FALSE),CONCATENATE(""Kan ej vara R""&amp;E43&amp;"", saknar R""&amp;(E43-1)),
AND(indirect(""E""&amp;row()-1)&lt;&gt;""Omgång"",IFERROR(FILTER($E$7:indi"&amp;"rect(""E""&amp;row()-1),
$E$7:indirect(""E""&amp;row()-1)=E43,$C$7:indirect(""C""&amp;row()-1)=C43)=E43)=TRUE),CONCATENATE(""Runda ""&amp;E43&amp;"" i ""&amp;C43&amp;"" finns redan""),
AND(C43&lt;&gt;""3x3 BLD"",C43&lt;&gt;""4x4 BLD"",C43&lt;&gt;""5x5 BLD"",C43&lt;&gt;""4x4 / 5x5 BLD"",OR(E43=2,E43=3,E43="&amp;"""Final""),H43&lt;&gt;""""),CONCATENATE(E43&amp;""-rundor brukar ej ha c.t.l.""),
AND(OR(E43=2,E43=3,E43=""Final""),I43&lt;&gt;""""),CONCATENATE(E43&amp;""-rundor brukar ej ha cutoff""),
AND(OR(C43=""3x3 FMC"",C43=""3x3 MBLD""),OR(E43=1,E43=2,E43=3,E43=""Final"")),CONCATENAT"&amp;"E(C43&amp;""s omgång är Rx - Ax""),
AND(C43&lt;&gt;""3x3 MBLD"",C43&lt;&gt;""3x3 FMC"",FILTER(Info!$D$2:D81, Info!$A$2:A81 = C43)&lt;&gt;F43),CONCATENATE(C43&amp;"" måste ha formatet ""&amp;FILTER(Info!$D$2:D81, Info!$A$2:A81 = C43)),
AND(C43=""3x3 MBLD"",OR(F43=""Avg of 5"",F43=""Mea"&amp;"n of 3"")),CONCATENATE(""Ogiltigt format för ""&amp;C43),
AND(C43=""3x3 FMC"",OR(F43=""Avg of 5"",F43=""Best of 3"")),CONCATENATE(""Ogiltigt format för ""&amp;C43),
AND(OR(F43=""Best of 1"",F43=""Best of 2"",F43=""Best of 3""),I43&lt;&gt;""""),CONCATENATE(F43&amp;""-rundor"&amp;" får ej ha cutoff""),
AND(OR(C43=""3x3 FMC"",C43=""3x3 MBLD""),G43&lt;&gt;60),CONCATENATE(C43&amp;"" måste ha time limit: 60""),
AND(OR(C43=""3x3 FMC"",C43=""3x3 MBLD""),H43&lt;&gt;""""),CONCATENATE(C43&amp;"" kan inte ha c.t.l.""),
AND(G43&lt;&gt;"""",H43&lt;&gt;""""),""Välj time limit"&amp;" ELLER c.t.l"",
AND(C43=""6x6 / 7x7"",G43="""",H43=""""),""Sätt time limit (x / y) eller c.t.l (z)"",
AND(G43="""",H43=""""),""Sätt en time limit eller c.t.l"",
AND(OR(C43=""6x6 / 7x7"",C43=""4x4 / 5x5 BLD""),G43&lt;&gt;"""",REGEXMATCH(TO_TEXT(G43),"" / "")=FAL"&amp;"SE),CONCATENATE(""Time limit måste vara x / y""),
AND(H43&lt;&gt;"""",I43&lt;&gt;""""),CONCATENATE(C43&amp;"" brukar ej ha cutoff OCH c.t.l""),
AND(E43=1,H43="""",I43="""",OR(FILTER(Info!$E$2:E81, Info!$A$2:A81 = C43) = ""Yes"",FILTER(Info!$F$2:F81, Info!$A$2:A81 = C43) "&amp;"= ""Yes""),OR(F43=""Avg of 5"",F43=""Mean of 3"")),CONCATENATE(C43&amp;"" bör ha cutoff eller c.t.l""),
AND(C43=""6x6 / 7x7"",I43&lt;&gt;"""",REGEXMATCH(TO_TEXT(I43),"" / "")=FALSE),CONCATENATE(""Cutoff måste vara x / y""),
AND(H43&lt;&gt;"""",ISNUMBER(H43)=FALSE),""C.t."&amp;"l. måste vara positivt tal (x)"",
AND(C43&lt;&gt;""6x6 / 7x7"",I43&lt;&gt;"""",ISNUMBER(I43)=FALSE),""Cutoff måste vara positivt tal (x)"",
AND(H43&lt;&gt;"""",FILTER(Info!$E$2:E81, Info!$A$2:A81 = C43) = ""No"",FILTER(Info!$F$2:F81, Info!$A$2:A81 = C43) = ""No""),CONCATEN"&amp;"ATE(C43&amp;"" brukar inte ha c.t.l.""),
AND(I43&lt;&gt;"""",FILTER(Info!$E$2:E81, Info!$A$2:A81 = C43) = ""No"",FILTER(Info!$F$2:F81, Info!$A$2:A81 = C43) = ""No""),CONCATENATE(C43&amp;"" brukar inte ha cutoff""),
AND(H43="""",FILTER(Info!$F$2:F81, Info!$A$2:A81 = C43"&amp;") = ""Yes""),CONCATENATE(C43&amp;"" brukar ha c.t.l.""),
AND(C43&lt;&gt;""6x6 / 7x7"",C43&lt;&gt;""4x4 / 5x5 BLD"",G43&lt;&gt;"""",ISNUMBER(G43)=FALSE),""Time limit måste vara positivt tal (x)"",
J43=""J - Error"",CONCATENATE(""För få deltagare i R1 för ""&amp;COUNTIF($C$7:$C$102,"&amp;"indirect(""C""&amp;row()))&amp;"" rundor""),
J43=""K2 - Error"",CONCATENATE(C43&amp;"" är mer populär - byt i K2!""),
AND(C43&lt;&gt;""6x6 / 7x7"",C43&lt;&gt;""4x4 / 5x5 BLD"",G43&lt;&gt;"""",I43&lt;&gt;"""",G43&lt;=I43),""Time limit måste vara &gt; cutoff"",
AND(C43&lt;&gt;""6x6 / 7x7"",C43&lt;&gt;""4x4 / 5"&amp;"x5 BLD"",H43&lt;&gt;"""",I43&lt;&gt;"""",H43&lt;=I43),""C.t.l. måste vara &gt; cutoff"",
AND(C43&lt;&gt;""3x3 FMC"",C43&lt;&gt;""3x3 MBLD"",J43=""""),CONCATENATE(""Fyll i antal deltagare i J""&amp;row()),
AND(C43="""",OR(E43&lt;&gt;"""",F43&lt;&gt;"""",G43&lt;&gt;"""",H43&lt;&gt;"""",I43&lt;&gt;"""",J43&lt;&gt;"""")),""Skri"&amp;"v ALLTID gren / aktivitet först"",
AND(I43="""",H43="""",J43&lt;&gt;""""),J43,
OR(""3x3 FMC""=C43,""3x3 MBLD""=C43),J43,
AND(I43&lt;&gt;"""",""6x6 / 7x7""=C43),
IFS(ArrayFormula(SUM(IFERROR(SPLIT(I43,"" / ""))))&lt;(Info!$J$6+Info!$J$7)*2/3,CONCATENATE(""Höj helst cutof"&amp;"fs i ""&amp;C43),
ArrayFormula(SUM(IFERROR(SPLIT(I43,"" / ""))))&lt;=(Info!$J$6+Info!$J$7),ROUNDUP(J43*Info!$J$22),
ArrayFormula(SUM(IFERROR(SPLIT(I43,"" / ""))))&lt;=Info!$J$6+Info!$J$7,ROUNDUP(J43*Info!$K$22),
ArrayFormula(SUM(IFERROR(SPLIT(I43,"" / ""))))&lt;=Info!"&amp;"$K$6+Info!$K$7,ROUNDUP(J43*Info!L$22),
ArrayFormula(SUM(IFERROR(SPLIT(I43,"" / ""))))&lt;=Info!$L$6+Info!$L$7,ROUNDUP(J43*Info!$M$22),
ArrayFormula(SUM(IFERROR(SPLIT(I43,"" / ""))))&lt;=Info!$M$6+Info!$M$7,ROUNDUP(J43*Info!$N$22),
ArrayFormula(SUM(IFERROR(SPLIT"&amp;"(I43,"" / ""))))&lt;=(Info!$N$6+Info!$N$7)*3/2,ROUNDUP(J43*Info!$J$26),
ArrayFormula(SUM(IFERROR(SPLIT(I43,"" / ""))))&gt;(Info!$N$6+Info!$N$7)*3/2,CONCATENATE(""Sänk helst cutoffs i ""&amp;C43)),
AND(I43&lt;&gt;"""",FILTER(Info!$E$2:E81, Info!$A$2:A81 = C43) = ""Yes""),"&amp;"
IFS(I43&lt;FILTER(Info!$J$2:J81, Info!$A$2:A81 = C43)*2/3,CONCATENATE(""Höj helst cutoff i ""&amp;C43),
I43&lt;=FILTER(Info!$J$2:J81, Info!$A$2:A81 = C43),ROUNDUP(J43*Info!$J$22),
I43&lt;=FILTER(Info!$K$2:K81, Info!$A$2:A81 = C43),ROUNDUP(J43*Info!$K$22),
I43&lt;=FILTER"&amp;"(Info!$L$2:L81, Info!$A$2:A81 = C43),ROUNDUP(J43*Info!L$22),
I43&lt;=FILTER(Info!$M$2:M81, Info!$A$2:A81 = C43),ROUNDUP(J43*Info!$M$22),
I43&lt;=FILTER(Info!$N$2:N81, Info!$A$2:A81 = C43),ROUNDUP(J43*Info!$N$22),
I43&lt;=FILTER(Info!$N$2:N81, Info!$A$2:A81 = C43)*"&amp;"3/2,ROUNDUP(J43*Info!$J$26),
I43&gt;FILTER(Info!$N$2:N81, Info!$A$2:A81 = C43)*3/2,CONCATENATE(""Sänk helst cutoff i ""&amp;C43)),
AND(H43&lt;&gt;"""",""6x6 / 7x7""=C43),
IFS(H43/3&lt;=(Info!$J$6+Info!$J$7)*2/3,""Höj helst cumulative time limit"",
H43/3&lt;=Info!$J$6+Info!$"&amp;"J$7,ROUNDUP(J43*Info!$J$24),
H43/3&lt;=Info!$K$6+Info!$K$7,ROUNDUP(J43*Info!$K$24),
H43/3&lt;=Info!$L$6+Info!$L$7,ROUNDUP(J43*Info!L$24),
H43/3&lt;=Info!$M$6+Info!$M$7,ROUNDUP(J43*Info!$M$24),
H43/3&lt;=Info!$N$6+Info!$N$7,ROUNDUP(J43*Info!$N$24),
H43/3&lt;=(Info!$N$6+I"&amp;"nfo!$N$7)*3/2,ROUNDUP(J43*Info!$L$26),
H43/3&gt;(Info!$J$6+Info!$J$7)*3/2,""Sänk helst cumulative time limit""),
AND(H43&lt;&gt;"""",FILTER(Info!$F$2:F81, Info!$A$2:A81 = C43) = ""Yes""),
IFS(H43&lt;=FILTER(Info!$J$2:J81, Info!$A$2:A81 = C43)*2/3,CONCATENATE(""Höj he"&amp;"lst c.t.l. i ""&amp;C43),
H43&lt;=FILTER(Info!$J$2:J81, Info!$A$2:A81 = C43),ROUNDUP(J43*Info!$J$24),
H43&lt;=FILTER(Info!$K$2:K81, Info!$A$2:A81 = C43),ROUNDUP(J43*Info!$K$24),
H43&lt;=FILTER(Info!$L$2:L81, Info!$A$2:A81 = C43),ROUNDUP(J43*Info!L$24),
H43&lt;=FILTER(Inf"&amp;"o!$M$2:M81, Info!$A$2:A81 = C43),ROUNDUP(J43*Info!$M$24),
H43&lt;=FILTER(Info!$N$2:N81, Info!$A$2:A81 = C43),ROUNDUP(J43*Info!$N$24),
H43&lt;=FILTER(Info!$N$2:N81, Info!$A$2:A81 = C43)*3/2,ROUNDUP(J43*Info!$L$26),
H43&gt;FILTER(Info!$N$2:N81, Info!$A$2:A81 = C43)*"&amp;"3/2,CONCATENATE(""Sänk helst c.t.l. i ""&amp;C43)),
AND(H43&lt;&gt;"""",FILTER(Info!$F$2:F81, Info!$A$2:A81 = C43) = ""No""),
IFS(H43/AA43&lt;=FILTER(Info!$J$2:J81, Info!$A$2:A81 = C43)*2/3,CONCATENATE(""Höj helst c.t.l. i ""&amp;C43),
H43/AA43&lt;=FILTER(Info!$J$2:J81, Info"&amp;"!$A$2:A81 = C43),ROUNDUP(J43*Info!$J$24),
H43/AA43&lt;=FILTER(Info!$K$2:K81, Info!$A$2:A81 = C43),ROUNDUP(J43*Info!$K$24),
H43/AA43&lt;=FILTER(Info!$L$2:L81, Info!$A$2:A81 = C43),ROUNDUP(J43*Info!L$24),
H43/AA43&lt;=FILTER(Info!$M$2:M81, Info!$A$2:A81 = C43),ROUND"&amp;"UP(J43*Info!$M$24),
H43/AA43&lt;=FILTER(Info!$N$2:N81, Info!$A$2:A81 = C43),ROUNDUP(J43*Info!$N$24),
H43/AA43&lt;=FILTER(Info!$N$2:N81, Info!$A$2:A81 = C43)*3/2,ROUNDUP(J43*Info!$L$26),
H43/AA43&gt;FILTER(Info!$N$2:N81, Info!$A$2:A81 = C43)*3/2,CONCATENATE(""Sänk "&amp;"helst c.t.l. i ""&amp;C43)),
AND(I43="""",H43&lt;&gt;"""",J43&lt;&gt;""""),ROUNDUP(J43*Info!$T$29),
AND(I43&lt;&gt;"""",H43="""",J43&lt;&gt;""""),ROUNDUP(J43*Info!$T$26))"),"")</f>
        <v/>
      </c>
      <c r="L43" s="42">
        <f>IFERROR(__xludf.DUMMYFUNCTION("IFS(C43="""",0,
C43=""3x3 FMC"",Info!$B$9*N43+M43, C43=""3x3 MBLD"",Info!$B$18*N43+M43,
COUNTIF(Info!$A$22:A81,C43)&gt;0,FILTER(Info!$B$22:B81,Info!$A$22:A81=C43)+M43,
AND(C43&lt;&gt;"""",E43=""""),CONCATENATE(""Fyll i E""&amp;row()),
AND(C43&lt;&gt;"""",E43&lt;&gt;"""",E43&lt;&gt;1,E4"&amp;"3&lt;&gt;2,E43&lt;&gt;3,E43&lt;&gt;""Final""),CONCATENATE(""Fel format på E""&amp;row()),
K43=CONCATENATE(""Runda ""&amp;E43&amp;"" i ""&amp;C43&amp;"" finns redan""),CONCATENATE(""Fel i E""&amp;row()),
AND(C43&lt;&gt;"""",F43=""""),CONCATENATE(""Fyll i F""&amp;row()),
K43=CONCATENATE(C43&amp;"" måste ha forma"&amp;"tet ""&amp;FILTER(Info!$D$2:D81, Info!$A$2:A81 = C43)),CONCATENATE(""Fel format på F""&amp;row()),
AND(C43&lt;&gt;"""",D43=1,H43="""",FILTER(Info!$F$2:F81, Info!$A$2:A81 = C43) = ""Yes""),CONCATENATE(""Fyll i H""&amp;row()),
AND(C43&lt;&gt;"""",D43=1,I43="""",FILTER(Info!$E$2:E8"&amp;"1, Info!$A$2:A81 = C43) = ""Yes""),CONCATENATE(""Fyll i I""&amp;row()),
AND(C43&lt;&gt;"""",J43=""""),CONCATENATE(""Fyll i J""&amp;row()),
AND(C43&lt;&gt;"""",K43="""",OR(H43&lt;&gt;"""",I43&lt;&gt;"""")),CONCATENATE(""Fyll i K""&amp;row()),
AND(C43&lt;&gt;"""",K43=""""),CONCATENATE(""Skriv samma"&amp;" i K""&amp;row()&amp;"" som i J""&amp;row()),
AND(OR(C43=""4x4 BLD"",C43=""5x5 BLD"",C43=""4x4 / 5x5 BLD"")=TRUE,V43&lt;=P43),
MROUND(H43*(Info!$T$20-((Info!$T$20-1)/2)*(1-V43/P43))*(1+((J43/K43)-1)*(1-Info!$J$24))*N43+(Info!$T$11/2)+(N43*Info!$T$11)+(N43*Info!$T$14*(O4"&amp;"3-1)),0.01)+M43,
AND(OR(C43=""4x4 BLD"",C43=""5x5 BLD"",C43=""4x4 / 5x5 BLD"")=TRUE,V43&gt;P43),
MROUND((((J43*Z43+K43*(AA43-Z43))*(H43*Info!$T$20/AA43))/X43)*(1+((J43/K43)-1)*(1-Info!$J$24))*(1+(X43-Info!$T$8)/100)+(Info!$T$11/2)+(N43*Info!$T$11)+(N43*Info!"&amp;"$T$14*(O43-1)),0.01)+M43,
AND(C43=""3x3 BLD"",V43&lt;=P43),
MROUND(H43*(Info!$T$23-((Info!$T$23-1)/2)*(1-V43/P43))*(1+((J43/K43)-1)*(1-Info!$J$24))*N43+(Info!$T$11/2)+(N43*Info!$T$11)+(N43*Info!$T$14*(O43-1)),0.01)+M43,
AND(C43=""3x3 BLD"",V43&gt;P43),
MROUND(("&amp;"((J43*Z43+K43*(AA43-Z43))*(H43*Info!$T$23/AA43))/X43)*(1+((J43/K43)-1)*(1-Info!$J$24))*(1+(X43-Info!$T$8)/100)+(Info!$T$11/2)+(N43*Info!$T$11)+(N43*Info!$T$14*(O43-1)),0.01)+M43,
E43=1,MROUND((((J43*Z43+K43*(AA43-Z43))*Y43)/X43)*(1+(X43-Info!$T$8)/100)+(N"&amp;"43*Info!$T$11)+(N43*Info!$T$14*(O43-1)),0.01)+M43,
AND(E43=""Final"",N43=1,FILTER(Info!$G$2:$G$20,Info!$A$2:$A$20=C43)=""Mycket svår""),
MROUND((((J43*Z43+K43*(AA43-Z43))*(Y43*Info!$T$38))/X43)*(1+(X43-Info!$T$8)/100)+(N43*Info!$T$11)+(N43*Info!$T$14*(O43"&amp;"-1)),0.01)+M43,
AND(E43=""Final"",N43=1,FILTER(Info!$G$2:$G$20,Info!$A$2:$A$20=C43)=""Svår""),
MROUND((((J43*Z43+K43*(AA43-Z43))*(Y43*Info!$T$35))/X43)*(1+(X43-Info!$T$8)/100)+(N43*Info!$T$11)+(N43*Info!$T$14*(O43-1)),0.01)+M43,
E43=""Final"",MROUND((((J4"&amp;"3*Z43+K43*(AA43-Z43))*(Y43*Info!$T$5))/X43)*(1+(X43-Info!$T$8)/100)+(N43*Info!$T$11)+(N43*Info!$T$14*(O43-1)),0.01)+M43,
OR(E43=2,E43=3),MROUND((((J43*Z43+K43*(AA43-Z43))*(Y43*Info!$T$2))/X43)*(1+(X43-Info!$T$8)/100)+(N43*Info!$T$11)+(N43*Info!$T$14*(O43-"&amp;"1)),0.01)+M43)"),0.0)</f>
        <v>0</v>
      </c>
      <c r="M43" s="43">
        <f t="shared" si="4"/>
        <v>0</v>
      </c>
      <c r="N43" s="43" t="str">
        <f>IFS(OR(COUNTIF(Info!$A$22:A81,C43)&gt;0,C43=""),"",
OR(C43="4x4 BLD",C43="5x5 BLD",C43="3x3 MBLD",C43="3x3 FMC",C43="4x4 / 5x5 BLD"),1,
AND(E43="Final",Q43="Yes",MAX(1,ROUNDUP(J43/P43))&gt;1),MAX(2,ROUNDUP(J43/P43)),
AND(E43="Final",Q43="No",MAX(1,ROUNDUP(J43/((P43*2)+2.625-Y43*1.5)))&gt;1),MAX(2,ROUNDUP(J43/((P43*2)+2.625-Y43*1.5))),
E43="Final",1,
Q43="Yes",MAX(2,ROUNDUP(J43/P43)),
TRUE,MAX(2,ROUNDUP(J43/((P43*2)+2.625-Y43*1.5))))</f>
        <v/>
      </c>
      <c r="O43" s="43" t="str">
        <f>IFS(OR(COUNTIF(Info!$A$22:A81,C43)&gt;0,C43=""),"",
OR("3x3 MBLD"=C43,"3x3 FMC"=C43)=TRUE,"",
D43=$E$4,$G$6,D43=$K$4,$M$6,D43=$Q$4,$S$6,D43=$W$4,$Y$6,
TRUE,$S$2)</f>
        <v/>
      </c>
      <c r="P43" s="43" t="str">
        <f>IFS(OR(COUNTIF(Info!$A$22:A81,C43)&gt;0,C43=""),"",
OR("3x3 MBLD"=C43,"3x3 FMC"=C43)=TRUE,"",
D43=$E$4,$E$6,D43=$K$4,$K$6,D43=$Q$4,$Q$6,D43=$W$4,$W$6,
TRUE,$Q$2)</f>
        <v/>
      </c>
      <c r="Q43" s="44" t="str">
        <f>IFS(OR(COUNTIF(Info!$A$22:A81,C43)&gt;0,C43=""),"",
OR("3x3 MBLD"=C43,"3x3 FMC"=C43)=TRUE,"",
D43=$E$4,$I$6,D43=$K$4,$O$6,D43=$Q$4,$U$6,D43=$W$4,$AA$6,
TRUE,$U$2)</f>
        <v/>
      </c>
      <c r="R43" s="45" t="str">
        <f>IFERROR(__xludf.DUMMYFUNCTION("IF(C43="""","""",IFERROR(FILTER(Info!$B$22:B81,Info!$A$22:A81=C43)+M43,""?""))"),"")</f>
        <v/>
      </c>
      <c r="S43" s="46" t="str">
        <f>IFS(OR(COUNTIF(Info!$A$22:A81,C43)&gt;0,C43=""),"",
AND(H43="",I43=""),J43,
TRUE,"?")</f>
        <v/>
      </c>
      <c r="T43" s="45" t="str">
        <f>IFS(OR(COUNTIF(Info!$A$22:A81,C43)&gt;0,C43=""),"",
AND(L43&lt;&gt;0,OR(R43="?",R43="")),"Fyll i R-kolumnen",
OR(C43="3x3 FMC",C43="3x3 MBLD"),R43,
AND(L43&lt;&gt;0,OR(S43="?",S43="")),"Fyll i S-kolumnen",
OR(COUNTIF(Info!$A$22:A81,C43)&gt;0,C43=""),"",
TRUE,Y43*R43/L43)</f>
        <v/>
      </c>
      <c r="U43" s="45"/>
      <c r="V43" s="47" t="str">
        <f>IFS(OR(COUNTIF(Info!$A$22:A81,C43)&gt;0,C43=""),"",
OR("3x3 MBLD"=C43,"3x3 FMC"=C43)=TRUE,"",
TRUE,MROUND((J43/N43),0.01))</f>
        <v/>
      </c>
      <c r="W43" s="48" t="str">
        <f>IFS(OR(COUNTIF(Info!$A$22:A81,C43)&gt;0,C43=""),"",
TRUE,L43/N43)</f>
        <v/>
      </c>
      <c r="X43" s="49" t="str">
        <f>IFS(OR(COUNTIF(Info!$A$22:A81,C43)&gt;0,C43=""),"",
OR("3x3 MBLD"=C43,"3x3 FMC"=C43)=TRUE,"",
OR(C43="4x4 BLD",C43="5x5 BLD",C43="4x4 / 5x5 BLD",AND(C43="3x3 BLD",H43&lt;&gt;""))=TRUE,MIN(V43,P43),
TRUE,MIN(P43,V43,MROUND(((V43*2/3)+((Y43-1.625)/2)),0.01)))</f>
        <v/>
      </c>
      <c r="Y43" s="48" t="str">
        <f>IFERROR(__xludf.DUMMYFUNCTION("IFS(OR(COUNTIF(Info!$A$22:A81,C43)&gt;0,C43=""""),"""",
FILTER(Info!$F$2:F81, Info!$A$2:A81 = C43) = ""Yes"",H43/AA43,
""3x3 FMC""=C43,Info!$B$9,""3x3 MBLD""=C43,Info!$B$18,
AND(E43=1,I43="""",H43="""",Q43=""No"",G43&gt;SUMIF(Info!$A$2:A81,C43,Info!$B$2:B81)*1."&amp;"5),
MIN(SUMIF(Info!$A$2:A81,C43,Info!$B$2:B81)*1.1,SUMIF(Info!$A$2:A81,C43,Info!$B$2:B81)*(1.15-(0.15*(SUMIF(Info!$A$2:A81,C43,Info!$B$2:B81)*1.5)/G43))),
AND(E43=1,I43="""",H43="""",Q43=""Yes"",G43&gt;SUMIF(Info!$A$2:A81,C43,Info!$C$2:C81)*1.5),
MIN(SUMIF(I"&amp;"nfo!$A$2:A81,C43,Info!$C$2:C81)*1.1,SUMIF(Info!$A$2:A81,C43,Info!$C$2:C81)*(1.15-(0.15*(SUMIF(Info!$A$2:A81,C43,Info!$C$2:C81)*1.5)/G43))),
Q43=""No"",SUMIF(Info!$A$2:A81,C43,Info!$B$2:B81),
Q43=""Yes"",SUMIF(Info!$A$2:A81,C43,Info!$C$2:C81))"),"")</f>
        <v/>
      </c>
      <c r="Z43" s="47" t="str">
        <f>IFS(OR(COUNTIF(Info!$A$22:A81,C43)&gt;0,C43=""),"",
AND(OR("3x3 FMC"=C43,"3x3 MBLD"=C43),I43&lt;&gt;""),1,
AND(OR(H43&lt;&gt;"",I43&lt;&gt;""),F43="Avg of 5"),2,
F43="Avg of 5",AA43,
AND(OR(H43&lt;&gt;"",I43&lt;&gt;""),F43="Mean of 3",C43="6x6 / 7x7"),2,
AND(OR(H43&lt;&gt;"",I43&lt;&gt;""),F43="Mean of 3"),1,
F43="Mean of 3",AA43,
AND(OR(H43&lt;&gt;"",I43&lt;&gt;""),F43="Best of 3",C43="4x4 / 5x5 BLD"),2,
AND(OR(H43&lt;&gt;"",I43&lt;&gt;""),F43="Best of 3"),1,
F43="Best of 2",AA43,
F43="Best of 1",AA43)</f>
        <v/>
      </c>
      <c r="AA43" s="47" t="str">
        <f>IFS(OR(COUNTIF(Info!$A$22:A81,C43)&gt;0,C43=""),"",
AND(OR("3x3 MBLD"=C43,"3x3 FMC"=C43),F43="Best of 1"=TRUE),1,
AND(OR("3x3 MBLD"=C43,"3x3 FMC"=C43),F43="Best of 2"=TRUE),2,
AND(OR("3x3 MBLD"=C43,"3x3 FMC"=C43),OR(F43="Best of 3",F43="Mean of 3")=TRUE),3,
AND(F43="Mean of 3",C43="6x6 / 7x7"),6,
AND(F43="Best of 3",C43="4x4 / 5x5 BLD"),6,
F43="Avg of 5",5,F43="Mean of 3",3,F43="Best of 3",3,F43="Best of 2",2,F43="Best of 1",1)</f>
        <v/>
      </c>
      <c r="AB43" s="50"/>
    </row>
    <row r="44" ht="15.75" customHeight="1">
      <c r="A44" s="35">
        <f>IFERROR(__xludf.DUMMYFUNCTION("IFS(indirect(""A""&amp;row()-1)=""Start"",TIME(indirect(""A""&amp;row()-2),indirect(""B""&amp;row()-2),0),
$O$2=""No"",TIME(0,($A$6*60+$B$6)+CEILING(SUM($L$7:indirect(""L""&amp;row()-1)),5),0),
D44=$E$2,TIME(0,($A$6*60+$B$6)+CEILING(SUM(IFERROR(FILTER($L$7:indirect(""L"""&amp;"&amp;row()-1),REGEXMATCH($D$7:indirect(""D""&amp;row()-1),$E$2)),0)),5),0),
TRUE,""=time(hh;mm;ss)"")"),0.375)</f>
        <v>0.375</v>
      </c>
      <c r="B44" s="36">
        <f>IFERROR(__xludf.DUMMYFUNCTION("IFS($O$2=""No"",TIME(0,($A$6*60+$B$6)+CEILING(SUM($L$7:indirect(""L""&amp;row())),5),0),
D44=$E$2,TIME(0,($A$6*60+$B$6)+CEILING(SUM(FILTER($L$7:indirect(""L""&amp;row()),REGEXMATCH($D$7:indirect(""D""&amp;row()),$E$2))),5),0),
A44=""=time(hh;mm;ss)"",CONCATENATE(""Sk"&amp;"riv tid i A""&amp;row()),
AND(A44&lt;&gt;"""",A44&lt;&gt;""=time(hh;mm;ss)""),A44+TIME(0,CEILING(indirect(""L""&amp;row()),5),0))"),0.375)</f>
        <v>0.375</v>
      </c>
      <c r="C44" s="37"/>
      <c r="D44" s="38" t="str">
        <f t="shared" si="3"/>
        <v>Stora salen</v>
      </c>
      <c r="E44" s="38" t="str">
        <f>IFERROR(__xludf.DUMMYFUNCTION("IFS(COUNTIF(Info!$A$22:A81,C44)&gt;0,"""",
AND(OR(""3x3 FMC""=C44,""3x3 MBLD""=C44),COUNTIF($C$7:indirect(""C""&amp;row()),indirect(""C""&amp;row()))&gt;=13),""E - Error"",
AND(OR(""3x3 FMC""=C44,""3x3 MBLD""=C44),COUNTIF($C$7:indirect(""C""&amp;row()),indirect(""C""&amp;row()"&amp;"))=12),""Final - A3"",
AND(OR(""3x3 FMC""=C44,""3x3 MBLD""=C44),COUNTIF($C$7:indirect(""C""&amp;row()),indirect(""C""&amp;row()))=11),""Final - A2"",
AND(OR(""3x3 FMC""=C44,""3x3 MBLD""=C44),COUNTIF($C$7:indirect(""C""&amp;row()),indirect(""C""&amp;row()))=10),""Final - "&amp;"A1"",
AND(OR(""3x3 FMC""=C44,""3x3 MBLD""=C44),COUNTIF($C$7:indirect(""C""&amp;row()),indirect(""C""&amp;row()))=9,
COUNTIF($C$7:$C$102,indirect(""C""&amp;row()))&gt;9),""R3 - A3"",
AND(OR(""3x3 FMC""=C44,""3x3 MBLD""=C44),COUNTIF($C$7:indirect(""C""&amp;row()),indirect(""C"&amp;"""&amp;row()))=9,
COUNTIF($C$7:$C$102,indirect(""C""&amp;row()))&lt;=9),""Final - A3"",
AND(OR(""3x3 FMC""=C44,""3x3 MBLD""=C44),COUNTIF($C$7:indirect(""C""&amp;row()),indirect(""C""&amp;row()))=8,
COUNTIF($C$7:$C$102,indirect(""C""&amp;row()))&gt;9),""R3 - A2"",
AND(OR(""3x3 FMC"&amp;"""=C44,""3x3 MBLD""=C44),COUNTIF($C$7:indirect(""C""&amp;row()),indirect(""C""&amp;row()))=8,
COUNTIF($C$7:$C$102,indirect(""C""&amp;row()))&lt;=9),""Final - A2"",
AND(OR(""3x3 FMC""=C44,""3x3 MBLD""=C44),COUNTIF($C$7:indirect(""C""&amp;row()),indirect(""C""&amp;row()))=7,
COUN"&amp;"TIF($C$7:$C$102,indirect(""C""&amp;row()))&gt;9),""R3 - A1"",
AND(OR(""3x3 FMC""=C44,""3x3 MBLD""=C44),COUNTIF($C$7:indirect(""C""&amp;row()),indirect(""C""&amp;row()))=7,
COUNTIF($C$7:$C$102,indirect(""C""&amp;row()))&lt;=9),""Final - A1"",
AND(OR(""3x3 FMC""=C44,""3x3 MBLD"""&amp;"=C44),COUNTIF($C$7:indirect(""C""&amp;row()),indirect(""C""&amp;row()))=6,
COUNTIF($C$7:$C$102,indirect(""C""&amp;row()))&gt;6),""R2 - A3"",
AND(OR(""3x3 FMC""=C44,""3x3 MBLD""=C44),COUNTIF($C$7:indirect(""C""&amp;row()),indirect(""C""&amp;row()))=6,
COUNTIF($C$7:$C$102,indirec"&amp;"t(""C""&amp;row()))&lt;=6),""Final - A3"",
AND(OR(""3x3 FMC""=C44,""3x3 MBLD""=C44),COUNTIF($C$7:indirect(""C""&amp;row()),indirect(""C""&amp;row()))=5,
COUNTIF($C$7:$C$102,indirect(""C""&amp;row()))&gt;6),""R2 - A2"",
AND(OR(""3x3 FMC""=C44,""3x3 MBLD""=C44),COUNTIF($C$7:indi"&amp;"rect(""C""&amp;row()),indirect(""C""&amp;row()))=5,
COUNTIF($C$7:$C$102,indirect(""C""&amp;row()))&lt;=6),""Final - A2"",
AND(OR(""3x3 FMC""=C44,""3x3 MBLD""=C44),COUNTIF($C$7:indirect(""C""&amp;row()),indirect(""C""&amp;row()))=4,
COUNTIF($C$7:$C$102,indirect(""C""&amp;row()))&gt;6),"&amp;"""R2 - A1"",
AND(OR(""3x3 FMC""=C44,""3x3 MBLD""=C44),COUNTIF($C$7:indirect(""C""&amp;row()),indirect(""C""&amp;row()))=4,
COUNTIF($C$7:$C$102,indirect(""C""&amp;row()))&lt;=6),""Final - A1"",
AND(OR(""3x3 FMC""=C44,""3x3 MBLD""=C44),COUNTIF($C$7:indirect(""C""&amp;row()),i"&amp;"ndirect(""C""&amp;row()))=3),""R1 - A3"",
AND(OR(""3x3 FMC""=C44,""3x3 MBLD""=C44),COUNTIF($C$7:indirect(""C""&amp;row()),indirect(""C""&amp;row()))=2),""R1 - A2"",
AND(OR(""3x3 FMC""=C44,""3x3 MBLD""=C44),COUNTIF($C$7:indirect(""C""&amp;row()),indirect(""C""&amp;row()))=1),"&amp;"""R1 -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C44),ROUNDUP((FILTER(Info!$H$2:H81,Info!$A$2:A81=C44)/FILTER(Info!$H$2:H81,Info!$A$2:A81=$K$2))*$I$2)&gt;99),3,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C44),ROUNDUP((FILTER(Info!$H$2:H81,Info!$A$2:A81=C44)/FILTER(Info!$H$2:H81,Info!$A$2:A81=$K$2))*$I$2)&gt;15),2,
AND(COUNTIF($C$7:indirect(""C""&amp;row()),indirect(""C""&amp;row()))=2,COUNTIF($C$7:$C$102,indirect(""C""&amp;row()))=COUNTIF($"&amp;"C$7:indirect(""C""&amp;row()),indirect(""C""&amp;row()))),""Final"",
COUNTIF($C$7:indirect(""C""&amp;row()),indirect(""C""&amp;row()))=1,1,
COUNTIF($C$7:indirect(""C""&amp;row()),indirect(""C""&amp;row()))=0,"""")"),"")</f>
        <v/>
      </c>
      <c r="F44" s="39" t="str">
        <f>IFERROR(__xludf.DUMMYFUNCTION("IFS(C44="""","""",
AND(C44=""3x3 FMC"",MOD(COUNTIF($C$7:indirect(""C""&amp;row()),indirect(""C""&amp;row())),3)=0),""Mean of 3"",
AND(C44=""3x3 MBLD"",MOD(COUNTIF($C$7:indirect(""C""&amp;row()),indirect(""C""&amp;row())),3)=0),""Best of 3"",
AND(C44=""3x3 FMC"",MOD(COUNT"&amp;"IF($C$7:indirect(""C""&amp;row()),indirect(""C""&amp;row())),3)=2,
COUNTIF($C$7:$C$102,indirect(""C""&amp;row()))&lt;=COUNTIF($C$7:indirect(""C""&amp;row()),indirect(""C""&amp;row()))),""Best of 2"",
AND(C44=""3x3 FMC"",MOD(COUNTIF($C$7:indirect(""C""&amp;row()),indirect(""C""&amp;row("&amp;"))),3)=2,
COUNTIF($C$7:$C$102,indirect(""C""&amp;row()))&gt;COUNTIF($C$7:indirect(""C""&amp;row()),indirect(""C""&amp;row()))),""Mean of 3"",
AND(C44=""3x3 MBLD"",MOD(COUNTIF($C$7:indirect(""C""&amp;row()),indirect(""C""&amp;row())),3)=2,
COUNTIF($C$7:$C$102,indirect(""C""&amp;row("&amp;")))&lt;=COUNTIF($C$7:indirect(""C""&amp;row()),indirect(""C""&amp;row()))),""Best of 2"",
AND(C44=""3x3 MBLD"",MOD(COUNTIF($C$7:indirect(""C""&amp;row()),indirect(""C""&amp;row())),3)=2,
COUNTIF($C$7:$C$102,indirect(""C""&amp;row()))&gt;COUNTIF($C$7:indirect(""C""&amp;row()),indirect("&amp;"""C""&amp;row()))),""Best of 3"",
AND(C44=""3x3 FMC"",MOD(COUNTIF($C$7:indirect(""C""&amp;row()),indirect(""C""&amp;row())),3)=1,
COUNTIF($C$7:$C$102,indirect(""C""&amp;row()))&lt;=COUNTIF($C$7:indirect(""C""&amp;row()),indirect(""C""&amp;row()))),""Best of 1"",
AND(C44=""3x3 FMC"""&amp;",MOD(COUNTIF($C$7:indirect(""C""&amp;row()),indirect(""C""&amp;row())),3)=1,
COUNTIF($C$7:$C$102,indirect(""C""&amp;row()))=COUNTIF($C$7:indirect(""C""&amp;row()),indirect(""C""&amp;row()))+1),""Best of 2"",
AND(C44=""3x3 FMC"",MOD(COUNTIF($C$7:indirect(""C""&amp;row()),indirect"&amp;"(""C""&amp;row())),3)=1,
COUNTIF($C$7:$C$102,indirect(""C""&amp;row()))&gt;COUNTIF($C$7:indirect(""C""&amp;row()),indirect(""C""&amp;row()))),""Mean of 3"",
AND(C44=""3x3 MBLD"",MOD(COUNTIF($C$7:indirect(""C""&amp;row()),indirect(""C""&amp;row())),3)=1,
COUNTIF($C$7:$C$102,indirect"&amp;"(""C""&amp;row()))&lt;=COUNTIF($C$7:indirect(""C""&amp;row()),indirect(""C""&amp;row()))),""Best of 1"",
AND(C44=""3x3 MBLD"",MOD(COUNTIF($C$7:indirect(""C""&amp;row()),indirect(""C""&amp;row())),3)=1,
COUNTIF($C$7:$C$102,indirect(""C""&amp;row()))=COUNTIF($C$7:indirect(""C""&amp;row()"&amp;"),indirect(""C""&amp;row()))+1),""Best of 2"",
AND(C44=""3x3 MBLD"",MOD(COUNTIF($C$7:indirect(""C""&amp;row()),indirect(""C""&amp;row())),3)=1,
COUNTIF($C$7:$C$102,indirect(""C""&amp;row()))&gt;COUNTIF($C$7:indirect(""C""&amp;row()),indirect(""C""&amp;row()))),""Best of 3"",
TRUE,("&amp;"IFERROR(FILTER(Info!$D$2:D81, Info!$A$2:A81 = C44), """")))"),"")</f>
        <v/>
      </c>
      <c r="G44" s="40" t="str">
        <f>IFERROR(__xludf.DUMMYFUNCTION("IFS(OR(COUNTIF(Info!$A$22:A81,C44)&gt;0,C44=""""),"""",
OR(""3x3 MBLD""=C44,""3x3 FMC""=C44),60,
AND(E44=1,FILTER(Info!$F$2:F81, Info!$A$2:A81 = C44) = ""No""),FILTER(Info!$P$2:P81, Info!$A$2:A81 = C44),
AND(E44=2,FILTER(Info!$F$2:F81, Info!$A$2:A81 = C44) ="&amp;" ""No""),FILTER(Info!$Q$2:Q81, Info!$A$2:A81 = C44),
AND(E44=3,FILTER(Info!$F$2:F81, Info!$A$2:A81 = C44) = ""No""),FILTER(Info!$R$2:R81, Info!$A$2:A81 = C44),
AND(E44=""Final"",FILTER(Info!$F$2:F81, Info!$A$2:A81 = C44) = ""No""),FILTER(Info!$S$2:S81, In"&amp;"fo!$A$2:A81 = C44),
FILTER(Info!$F$2:F81, Info!$A$2:A81 = C44) = ""Yes"","""")"),"")</f>
        <v/>
      </c>
      <c r="H44" s="40" t="str">
        <f>IFERROR(__xludf.DUMMYFUNCTION("IFS(OR(COUNTIF(Info!$A$22:A81,C44)&gt;0,C44=""""),"""",
OR(""3x3 MBLD""=C44,""3x3 FMC""=C44)=TRUE,"""",
FILTER(Info!$F$2:F81, Info!$A$2:A81 = C44) = ""Yes"",FILTER(Info!$O$2:O81, Info!$A$2:A81 = C44),
FILTER(Info!$F$2:F81, Info!$A$2:A81 = C44) = ""No"",IF(G4"&amp;"4="""",FILTER(Info!$O$2:O81, Info!$A$2:A81 = C44),""""))"),"")</f>
        <v/>
      </c>
      <c r="I44" s="40" t="str">
        <f>IFERROR(__xludf.DUMMYFUNCTION("IFS(OR(COUNTIF(Info!$A$22:A81,C44)&gt;0,C44="""",H44&lt;&gt;""""),"""",
AND(E44&lt;&gt;1,E44&lt;&gt;""R1 - A1"",E44&lt;&gt;""R1 - A2"",E44&lt;&gt;""R1 - A3""),"""",
FILTER(Info!$E$2:E81, Info!$A$2:A81 = C44) = ""Yes"",IF(H44="""",FILTER(Info!$L$2:L81, Info!$A$2:A81 = C44),""""),
FILTER(I"&amp;"nfo!$E$2:E81, Info!$A$2:A81 = C44) = ""No"","""")"),"")</f>
        <v/>
      </c>
      <c r="J44" s="40" t="str">
        <f>IFERROR(__xludf.DUMMYFUNCTION("IFS(OR(COUNTIF(Info!$A$22:A81,C44)&gt;0,C44="""",""3x3 MBLD""=C44,""3x3 FMC""=C44),"""",
AND(E44=1,FILTER(Info!$H$2:H81,Info!$A$2:A81 = C44)&lt;=FILTER(Info!$H$2:H81,Info!$A$2:A81=$K$2)),
ROUNDUP((FILTER(Info!$H$2:H81,Info!$A$2:A81 = C44)/FILTER(Info!$H$2:H81,I"&amp;"nfo!$A$2:A81=$K$2))*$I$2),
AND(E44=1,FILTER(Info!$H$2:H81,Info!$A$2:A81 = C44)&gt;FILTER(Info!$H$2:H81,Info!$A$2:A81=$K$2)),""K2 - Error"",
AND(E44=2,FILTER($J$7:indirect(""J""&amp;row()-1),$C$7:indirect(""C""&amp;row()-1)=C44)&lt;=7),""J - Error"",
E44=2,FLOOR(FILTER("&amp;"$J$7:indirect(""J""&amp;row()-1),$C$7:indirect(""C""&amp;row()-1)=C44)*Info!$T$32),
AND(E44=3,FILTER($J$7:indirect(""J""&amp;row()-1),$C$7:indirect(""C""&amp;row()-1)=C44)&lt;=15),""J - Error"",
E44=3,FLOOR(Info!$T$32*FLOOR(FILTER($J$7:indirect(""J""&amp;row()-1),$C$7:indirect("&amp;"""C""&amp;row()-1)=C44)*Info!$T$32)),
AND(E44=""Final"",COUNTIF($C$7:$C$102,C44)=2,FILTER($J$7:indirect(""J""&amp;row()-1),$C$7:indirect(""C""&amp;row()-1)=C44)&lt;=7),""J - Error"",
AND(E44=""Final"",COUNTIF($C$7:$C$102,C44)=2),
MIN(P44,FLOOR(FILTER($J$7:indirect(""J"""&amp;"&amp;row()-1),$C$7:indirect(""C""&amp;row()-1)=C44)*Info!$T$32)),
AND(E44=""Final"",COUNTIF($C$7:$C$102,C44)=3,FILTER($J$7:indirect(""J""&amp;row()-1),$C$7:indirect(""C""&amp;row()-1)=C44)&lt;=15),""J - Error"",
AND(E44=""Final"",COUNTIF($C$7:$C$102,C44)=3),
MIN(P44,FLOOR(I"&amp;"nfo!$T$32*FLOOR(FILTER($J$7:indirect(""J""&amp;row()-1),$C$7:indirect(""C""&amp;row()-1)=C44)*Info!$T$32))),
AND(E44=""Final"",COUNTIF($C$7:$C$102,C44)&gt;=4,FILTER($J$7:indirect(""J""&amp;row()-1),$C$7:indirect(""C""&amp;row()-1)=C44)&lt;=99),""J - Error"",
AND(E44=""Final"","&amp;"COUNTIF($C$7:$C$102,C44)&gt;=4),
MIN(P44,FLOOR(Info!$T$32*FLOOR(Info!$T$32*FLOOR(FILTER($J$7:indirect(""J""&amp;row()-1),$C$7:indirect(""C""&amp;row()-1)=C44)*Info!$T$32)))))"),"")</f>
        <v/>
      </c>
      <c r="K44" s="41" t="str">
        <f>IFERROR(__xludf.DUMMYFUNCTION("IFS(AND(indirect(""D""&amp;row()+2)&lt;&gt;$E$2,indirect(""D""&amp;row()+1)=""""),CONCATENATE(""Tom rad! Kopiera hela rad ""&amp;row()&amp;"" dit""),
AND(indirect(""D""&amp;row()-1)&lt;&gt;""Rum"",indirect(""D""&amp;row()-1)=""""),CONCATENATE(""Tom rad! Kopiera hela rad ""&amp;row()&amp;"" dit""),
"&amp;"C44="""","""",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OR(AND(D44&lt;&gt;$E$2,D44&lt;&gt;$E$4,D44&lt;&gt;$K$4,D44&lt;&gt;$Q$4),D44="&amp;"""""),CONCATENATE(""Rum: ""&amp;D44&amp;"" finns ej, byt i D""&amp;row()),
AND(indirect(""D""&amp;row()-1)=""Rum"",C44=""""),CONCATENATE(""För att börja: skriv i cell C""&amp;row()),
AND(C44=""Paus"",M44&lt;=0),CONCATENATE(""Skriv pausens längd i M""&amp;row()),
OR(COUNTIF(Info!$A$"&amp;"22:A81,C44)&gt;0,C44=""""),"""",
AND(D44&lt;&gt;$E$2,$O$2=""Yes"",A44=""=time(hh;mm;ss)""),CONCATENATE(""Skriv starttid för ""&amp;C44&amp;"" i A""&amp;row()),
E44=""E - Error"",CONCATENATE(""För många ""&amp;C44&amp;"" rundor!""),
AND(C44&lt;&gt;""3x3 FMC"",C44&lt;&gt;""3x3 MBLD"",E44&lt;&gt;1,E44&lt;&gt;"&amp;"""Final"",IFERROR(FILTER($E$7:indirect(""E""&amp;row()-1),
$E$7:indirect(""E""&amp;row()-1)=E44-1,$C$7:indirect(""C""&amp;row()-1)=C44))=FALSE),CONCATENATE(""Kan ej vara R""&amp;E44&amp;"", saknar R""&amp;(E44-1)),
AND(indirect(""E""&amp;row()-1)&lt;&gt;""Omgång"",IFERROR(FILTER($E$7:indi"&amp;"rect(""E""&amp;row()-1),
$E$7:indirect(""E""&amp;row()-1)=E44,$C$7:indirect(""C""&amp;row()-1)=C44)=E44)=TRUE),CONCATENATE(""Runda ""&amp;E44&amp;"" i ""&amp;C44&amp;"" finns redan""),
AND(C44&lt;&gt;""3x3 BLD"",C44&lt;&gt;""4x4 BLD"",C44&lt;&gt;""5x5 BLD"",C44&lt;&gt;""4x4 / 5x5 BLD"",OR(E44=2,E44=3,E44="&amp;"""Final""),H44&lt;&gt;""""),CONCATENATE(E44&amp;""-rundor brukar ej ha c.t.l.""),
AND(OR(E44=2,E44=3,E44=""Final""),I44&lt;&gt;""""),CONCATENATE(E44&amp;""-rundor brukar ej ha cutoff""),
AND(OR(C44=""3x3 FMC"",C44=""3x3 MBLD""),OR(E44=1,E44=2,E44=3,E44=""Final"")),CONCATENAT"&amp;"E(C44&amp;""s omgång är Rx - Ax""),
AND(C44&lt;&gt;""3x3 MBLD"",C44&lt;&gt;""3x3 FMC"",FILTER(Info!$D$2:D81, Info!$A$2:A81 = C44)&lt;&gt;F44),CONCATENATE(C44&amp;"" måste ha formatet ""&amp;FILTER(Info!$D$2:D81, Info!$A$2:A81 = C44)),
AND(C44=""3x3 MBLD"",OR(F44=""Avg of 5"",F44=""Mea"&amp;"n of 3"")),CONCATENATE(""Ogiltigt format för ""&amp;C44),
AND(C44=""3x3 FMC"",OR(F44=""Avg of 5"",F44=""Best of 3"")),CONCATENATE(""Ogiltigt format för ""&amp;C44),
AND(OR(F44=""Best of 1"",F44=""Best of 2"",F44=""Best of 3""),I44&lt;&gt;""""),CONCATENATE(F44&amp;""-rundor"&amp;" får ej ha cutoff""),
AND(OR(C44=""3x3 FMC"",C44=""3x3 MBLD""),G44&lt;&gt;60),CONCATENATE(C44&amp;"" måste ha time limit: 60""),
AND(OR(C44=""3x3 FMC"",C44=""3x3 MBLD""),H44&lt;&gt;""""),CONCATENATE(C44&amp;"" kan inte ha c.t.l.""),
AND(G44&lt;&gt;"""",H44&lt;&gt;""""),""Välj time limit"&amp;" ELLER c.t.l"",
AND(C44=""6x6 / 7x7"",G44="""",H44=""""),""Sätt time limit (x / y) eller c.t.l (z)"",
AND(G44="""",H44=""""),""Sätt en time limit eller c.t.l"",
AND(OR(C44=""6x6 / 7x7"",C44=""4x4 / 5x5 BLD""),G44&lt;&gt;"""",REGEXMATCH(TO_TEXT(G44),"" / "")=FAL"&amp;"SE),CONCATENATE(""Time limit måste vara x / y""),
AND(H44&lt;&gt;"""",I44&lt;&gt;""""),CONCATENATE(C44&amp;"" brukar ej ha cutoff OCH c.t.l""),
AND(E44=1,H44="""",I44="""",OR(FILTER(Info!$E$2:E81, Info!$A$2:A81 = C44) = ""Yes"",FILTER(Info!$F$2:F81, Info!$A$2:A81 = C44) "&amp;"= ""Yes""),OR(F44=""Avg of 5"",F44=""Mean of 3"")),CONCATENATE(C44&amp;"" bör ha cutoff eller c.t.l""),
AND(C44=""6x6 / 7x7"",I44&lt;&gt;"""",REGEXMATCH(TO_TEXT(I44),"" / "")=FALSE),CONCATENATE(""Cutoff måste vara x / y""),
AND(H44&lt;&gt;"""",ISNUMBER(H44)=FALSE),""C.t."&amp;"l. måste vara positivt tal (x)"",
AND(C44&lt;&gt;""6x6 / 7x7"",I44&lt;&gt;"""",ISNUMBER(I44)=FALSE),""Cutoff måste vara positivt tal (x)"",
AND(H44&lt;&gt;"""",FILTER(Info!$E$2:E81, Info!$A$2:A81 = C44) = ""No"",FILTER(Info!$F$2:F81, Info!$A$2:A81 = C44) = ""No""),CONCATEN"&amp;"ATE(C44&amp;"" brukar inte ha c.t.l.""),
AND(I44&lt;&gt;"""",FILTER(Info!$E$2:E81, Info!$A$2:A81 = C44) = ""No"",FILTER(Info!$F$2:F81, Info!$A$2:A81 = C44) = ""No""),CONCATENATE(C44&amp;"" brukar inte ha cutoff""),
AND(H44="""",FILTER(Info!$F$2:F81, Info!$A$2:A81 = C44"&amp;") = ""Yes""),CONCATENATE(C44&amp;"" brukar ha c.t.l.""),
AND(C44&lt;&gt;""6x6 / 7x7"",C44&lt;&gt;""4x4 / 5x5 BLD"",G44&lt;&gt;"""",ISNUMBER(G44)=FALSE),""Time limit måste vara positivt tal (x)"",
J44=""J - Error"",CONCATENATE(""För få deltagare i R1 för ""&amp;COUNTIF($C$7:$C$102,"&amp;"indirect(""C""&amp;row()))&amp;"" rundor""),
J44=""K2 - Error"",CONCATENATE(C44&amp;"" är mer populär - byt i K2!""),
AND(C44&lt;&gt;""6x6 / 7x7"",C44&lt;&gt;""4x4 / 5x5 BLD"",G44&lt;&gt;"""",I44&lt;&gt;"""",G44&lt;=I44),""Time limit måste vara &gt; cutoff"",
AND(C44&lt;&gt;""6x6 / 7x7"",C44&lt;&gt;""4x4 / 5"&amp;"x5 BLD"",H44&lt;&gt;"""",I44&lt;&gt;"""",H44&lt;=I44),""C.t.l. måste vara &gt; cutoff"",
AND(C44&lt;&gt;""3x3 FMC"",C44&lt;&gt;""3x3 MBLD"",J44=""""),CONCATENATE(""Fyll i antal deltagare i J""&amp;row()),
AND(C44="""",OR(E44&lt;&gt;"""",F44&lt;&gt;"""",G44&lt;&gt;"""",H44&lt;&gt;"""",I44&lt;&gt;"""",J44&lt;&gt;"""")),""Skri"&amp;"v ALLTID gren / aktivitet först"",
AND(I44="""",H44="""",J44&lt;&gt;""""),J44,
OR(""3x3 FMC""=C44,""3x3 MBLD""=C44),J44,
AND(I44&lt;&gt;"""",""6x6 / 7x7""=C44),
IFS(ArrayFormula(SUM(IFERROR(SPLIT(I44,"" / ""))))&lt;(Info!$J$6+Info!$J$7)*2/3,CONCATENATE(""Höj helst cutof"&amp;"fs i ""&amp;C44),
ArrayFormula(SUM(IFERROR(SPLIT(I44,"" / ""))))&lt;=(Info!$J$6+Info!$J$7),ROUNDUP(J44*Info!$J$22),
ArrayFormula(SUM(IFERROR(SPLIT(I44,"" / ""))))&lt;=Info!$J$6+Info!$J$7,ROUNDUP(J44*Info!$K$22),
ArrayFormula(SUM(IFERROR(SPLIT(I44,"" / ""))))&lt;=Info!"&amp;"$K$6+Info!$K$7,ROUNDUP(J44*Info!L$22),
ArrayFormula(SUM(IFERROR(SPLIT(I44,"" / ""))))&lt;=Info!$L$6+Info!$L$7,ROUNDUP(J44*Info!$M$22),
ArrayFormula(SUM(IFERROR(SPLIT(I44,"" / ""))))&lt;=Info!$M$6+Info!$M$7,ROUNDUP(J44*Info!$N$22),
ArrayFormula(SUM(IFERROR(SPLIT"&amp;"(I44,"" / ""))))&lt;=(Info!$N$6+Info!$N$7)*3/2,ROUNDUP(J44*Info!$J$26),
ArrayFormula(SUM(IFERROR(SPLIT(I44,"" / ""))))&gt;(Info!$N$6+Info!$N$7)*3/2,CONCATENATE(""Sänk helst cutoffs i ""&amp;C44)),
AND(I44&lt;&gt;"""",FILTER(Info!$E$2:E81, Info!$A$2:A81 = C44) = ""Yes""),"&amp;"
IFS(I44&lt;FILTER(Info!$J$2:J81, Info!$A$2:A81 = C44)*2/3,CONCATENATE(""Höj helst cutoff i ""&amp;C44),
I44&lt;=FILTER(Info!$J$2:J81, Info!$A$2:A81 = C44),ROUNDUP(J44*Info!$J$22),
I44&lt;=FILTER(Info!$K$2:K81, Info!$A$2:A81 = C44),ROUNDUP(J44*Info!$K$22),
I44&lt;=FILTER"&amp;"(Info!$L$2:L81, Info!$A$2:A81 = C44),ROUNDUP(J44*Info!L$22),
I44&lt;=FILTER(Info!$M$2:M81, Info!$A$2:A81 = C44),ROUNDUP(J44*Info!$M$22),
I44&lt;=FILTER(Info!$N$2:N81, Info!$A$2:A81 = C44),ROUNDUP(J44*Info!$N$22),
I44&lt;=FILTER(Info!$N$2:N81, Info!$A$2:A81 = C44)*"&amp;"3/2,ROUNDUP(J44*Info!$J$26),
I44&gt;FILTER(Info!$N$2:N81, Info!$A$2:A81 = C44)*3/2,CONCATENATE(""Sänk helst cutoff i ""&amp;C44)),
AND(H44&lt;&gt;"""",""6x6 / 7x7""=C44),
IFS(H44/3&lt;=(Info!$J$6+Info!$J$7)*2/3,""Höj helst cumulative time limit"",
H44/3&lt;=Info!$J$6+Info!$"&amp;"J$7,ROUNDUP(J44*Info!$J$24),
H44/3&lt;=Info!$K$6+Info!$K$7,ROUNDUP(J44*Info!$K$24),
H44/3&lt;=Info!$L$6+Info!$L$7,ROUNDUP(J44*Info!L$24),
H44/3&lt;=Info!$M$6+Info!$M$7,ROUNDUP(J44*Info!$M$24),
H44/3&lt;=Info!$N$6+Info!$N$7,ROUNDUP(J44*Info!$N$24),
H44/3&lt;=(Info!$N$6+I"&amp;"nfo!$N$7)*3/2,ROUNDUP(J44*Info!$L$26),
H44/3&gt;(Info!$J$6+Info!$J$7)*3/2,""Sänk helst cumulative time limit""),
AND(H44&lt;&gt;"""",FILTER(Info!$F$2:F81, Info!$A$2:A81 = C44) = ""Yes""),
IFS(H44&lt;=FILTER(Info!$J$2:J81, Info!$A$2:A81 = C44)*2/3,CONCATENATE(""Höj he"&amp;"lst c.t.l. i ""&amp;C44),
H44&lt;=FILTER(Info!$J$2:J81, Info!$A$2:A81 = C44),ROUNDUP(J44*Info!$J$24),
H44&lt;=FILTER(Info!$K$2:K81, Info!$A$2:A81 = C44),ROUNDUP(J44*Info!$K$24),
H44&lt;=FILTER(Info!$L$2:L81, Info!$A$2:A81 = C44),ROUNDUP(J44*Info!L$24),
H44&lt;=FILTER(Inf"&amp;"o!$M$2:M81, Info!$A$2:A81 = C44),ROUNDUP(J44*Info!$M$24),
H44&lt;=FILTER(Info!$N$2:N81, Info!$A$2:A81 = C44),ROUNDUP(J44*Info!$N$24),
H44&lt;=FILTER(Info!$N$2:N81, Info!$A$2:A81 = C44)*3/2,ROUNDUP(J44*Info!$L$26),
H44&gt;FILTER(Info!$N$2:N81, Info!$A$2:A81 = C44)*"&amp;"3/2,CONCATENATE(""Sänk helst c.t.l. i ""&amp;C44)),
AND(H44&lt;&gt;"""",FILTER(Info!$F$2:F81, Info!$A$2:A81 = C44) = ""No""),
IFS(H44/AA44&lt;=FILTER(Info!$J$2:J81, Info!$A$2:A81 = C44)*2/3,CONCATENATE(""Höj helst c.t.l. i ""&amp;C44),
H44/AA44&lt;=FILTER(Info!$J$2:J81, Info"&amp;"!$A$2:A81 = C44),ROUNDUP(J44*Info!$J$24),
H44/AA44&lt;=FILTER(Info!$K$2:K81, Info!$A$2:A81 = C44),ROUNDUP(J44*Info!$K$24),
H44/AA44&lt;=FILTER(Info!$L$2:L81, Info!$A$2:A81 = C44),ROUNDUP(J44*Info!L$24),
H44/AA44&lt;=FILTER(Info!$M$2:M81, Info!$A$2:A81 = C44),ROUND"&amp;"UP(J44*Info!$M$24),
H44/AA44&lt;=FILTER(Info!$N$2:N81, Info!$A$2:A81 = C44),ROUNDUP(J44*Info!$N$24),
H44/AA44&lt;=FILTER(Info!$N$2:N81, Info!$A$2:A81 = C44)*3/2,ROUNDUP(J44*Info!$L$26),
H44/AA44&gt;FILTER(Info!$N$2:N81, Info!$A$2:A81 = C44)*3/2,CONCATENATE(""Sänk "&amp;"helst c.t.l. i ""&amp;C44)),
AND(I44="""",H44&lt;&gt;"""",J44&lt;&gt;""""),ROUNDUP(J44*Info!$T$29),
AND(I44&lt;&gt;"""",H44="""",J44&lt;&gt;""""),ROUNDUP(J44*Info!$T$26))"),"")</f>
        <v/>
      </c>
      <c r="L44" s="42">
        <f>IFERROR(__xludf.DUMMYFUNCTION("IFS(C44="""",0,
C44=""3x3 FMC"",Info!$B$9*N44+M44, C44=""3x3 MBLD"",Info!$B$18*N44+M44,
COUNTIF(Info!$A$22:A81,C44)&gt;0,FILTER(Info!$B$22:B81,Info!$A$22:A81=C44)+M44,
AND(C44&lt;&gt;"""",E44=""""),CONCATENATE(""Fyll i E""&amp;row()),
AND(C44&lt;&gt;"""",E44&lt;&gt;"""",E44&lt;&gt;1,E4"&amp;"4&lt;&gt;2,E44&lt;&gt;3,E44&lt;&gt;""Final""),CONCATENATE(""Fel format på E""&amp;row()),
K44=CONCATENATE(""Runda ""&amp;E44&amp;"" i ""&amp;C44&amp;"" finns redan""),CONCATENATE(""Fel i E""&amp;row()),
AND(C44&lt;&gt;"""",F44=""""),CONCATENATE(""Fyll i F""&amp;row()),
K44=CONCATENATE(C44&amp;"" måste ha forma"&amp;"tet ""&amp;FILTER(Info!$D$2:D81, Info!$A$2:A81 = C44)),CONCATENATE(""Fel format på F""&amp;row()),
AND(C44&lt;&gt;"""",D44=1,H44="""",FILTER(Info!$F$2:F81, Info!$A$2:A81 = C44) = ""Yes""),CONCATENATE(""Fyll i H""&amp;row()),
AND(C44&lt;&gt;"""",D44=1,I44="""",FILTER(Info!$E$2:E8"&amp;"1, Info!$A$2:A81 = C44) = ""Yes""),CONCATENATE(""Fyll i I""&amp;row()),
AND(C44&lt;&gt;"""",J44=""""),CONCATENATE(""Fyll i J""&amp;row()),
AND(C44&lt;&gt;"""",K44="""",OR(H44&lt;&gt;"""",I44&lt;&gt;"""")),CONCATENATE(""Fyll i K""&amp;row()),
AND(C44&lt;&gt;"""",K44=""""),CONCATENATE(""Skriv samma"&amp;" i K""&amp;row()&amp;"" som i J""&amp;row()),
AND(OR(C44=""4x4 BLD"",C44=""5x5 BLD"",C44=""4x4 / 5x5 BLD"")=TRUE,V44&lt;=P44),
MROUND(H44*(Info!$T$20-((Info!$T$20-1)/2)*(1-V44/P44))*(1+((J44/K44)-1)*(1-Info!$J$24))*N44+(Info!$T$11/2)+(N44*Info!$T$11)+(N44*Info!$T$14*(O4"&amp;"4-1)),0.01)+M44,
AND(OR(C44=""4x4 BLD"",C44=""5x5 BLD"",C44=""4x4 / 5x5 BLD"")=TRUE,V44&gt;P44),
MROUND((((J44*Z44+K44*(AA44-Z44))*(H44*Info!$T$20/AA44))/X44)*(1+((J44/K44)-1)*(1-Info!$J$24))*(1+(X44-Info!$T$8)/100)+(Info!$T$11/2)+(N44*Info!$T$11)+(N44*Info!"&amp;"$T$14*(O44-1)),0.01)+M44,
AND(C44=""3x3 BLD"",V44&lt;=P44),
MROUND(H44*(Info!$T$23-((Info!$T$23-1)/2)*(1-V44/P44))*(1+((J44/K44)-1)*(1-Info!$J$24))*N44+(Info!$T$11/2)+(N44*Info!$T$11)+(N44*Info!$T$14*(O44-1)),0.01)+M44,
AND(C44=""3x3 BLD"",V44&gt;P44),
MROUND(("&amp;"((J44*Z44+K44*(AA44-Z44))*(H44*Info!$T$23/AA44))/X44)*(1+((J44/K44)-1)*(1-Info!$J$24))*(1+(X44-Info!$T$8)/100)+(Info!$T$11/2)+(N44*Info!$T$11)+(N44*Info!$T$14*(O44-1)),0.01)+M44,
E44=1,MROUND((((J44*Z44+K44*(AA44-Z44))*Y44)/X44)*(1+(X44-Info!$T$8)/100)+(N"&amp;"44*Info!$T$11)+(N44*Info!$T$14*(O44-1)),0.01)+M44,
AND(E44=""Final"",N44=1,FILTER(Info!$G$2:$G$20,Info!$A$2:$A$20=C44)=""Mycket svår""),
MROUND((((J44*Z44+K44*(AA44-Z44))*(Y44*Info!$T$38))/X44)*(1+(X44-Info!$T$8)/100)+(N44*Info!$T$11)+(N44*Info!$T$14*(O44"&amp;"-1)),0.01)+M44,
AND(E44=""Final"",N44=1,FILTER(Info!$G$2:$G$20,Info!$A$2:$A$20=C44)=""Svår""),
MROUND((((J44*Z44+K44*(AA44-Z44))*(Y44*Info!$T$35))/X44)*(1+(X44-Info!$T$8)/100)+(N44*Info!$T$11)+(N44*Info!$T$14*(O44-1)),0.01)+M44,
E44=""Final"",MROUND((((J4"&amp;"4*Z44+K44*(AA44-Z44))*(Y44*Info!$T$5))/X44)*(1+(X44-Info!$T$8)/100)+(N44*Info!$T$11)+(N44*Info!$T$14*(O44-1)),0.01)+M44,
OR(E44=2,E44=3),MROUND((((J44*Z44+K44*(AA44-Z44))*(Y44*Info!$T$2))/X44)*(1+(X44-Info!$T$8)/100)+(N44*Info!$T$11)+(N44*Info!$T$14*(O44-"&amp;"1)),0.01)+M44)"),0.0)</f>
        <v>0</v>
      </c>
      <c r="M44" s="43">
        <f t="shared" si="4"/>
        <v>0</v>
      </c>
      <c r="N44" s="43" t="str">
        <f>IFS(OR(COUNTIF(Info!$A$22:A81,C44)&gt;0,C44=""),"",
OR(C44="4x4 BLD",C44="5x5 BLD",C44="3x3 MBLD",C44="3x3 FMC",C44="4x4 / 5x5 BLD"),1,
AND(E44="Final",Q44="Yes",MAX(1,ROUNDUP(J44/P44))&gt;1),MAX(2,ROUNDUP(J44/P44)),
AND(E44="Final",Q44="No",MAX(1,ROUNDUP(J44/((P44*2)+2.625-Y44*1.5)))&gt;1),MAX(2,ROUNDUP(J44/((P44*2)+2.625-Y44*1.5))),
E44="Final",1,
Q44="Yes",MAX(2,ROUNDUP(J44/P44)),
TRUE,MAX(2,ROUNDUP(J44/((P44*2)+2.625-Y44*1.5))))</f>
        <v/>
      </c>
      <c r="O44" s="43" t="str">
        <f>IFS(OR(COUNTIF(Info!$A$22:A81,C44)&gt;0,C44=""),"",
OR("3x3 MBLD"=C44,"3x3 FMC"=C44)=TRUE,"",
D44=$E$4,$G$6,D44=$K$4,$M$6,D44=$Q$4,$S$6,D44=$W$4,$Y$6,
TRUE,$S$2)</f>
        <v/>
      </c>
      <c r="P44" s="43" t="str">
        <f>IFS(OR(COUNTIF(Info!$A$22:A81,C44)&gt;0,C44=""),"",
OR("3x3 MBLD"=C44,"3x3 FMC"=C44)=TRUE,"",
D44=$E$4,$E$6,D44=$K$4,$K$6,D44=$Q$4,$Q$6,D44=$W$4,$W$6,
TRUE,$Q$2)</f>
        <v/>
      </c>
      <c r="Q44" s="44" t="str">
        <f>IFS(OR(COUNTIF(Info!$A$22:A81,C44)&gt;0,C44=""),"",
OR("3x3 MBLD"=C44,"3x3 FMC"=C44)=TRUE,"",
D44=$E$4,$I$6,D44=$K$4,$O$6,D44=$Q$4,$U$6,D44=$W$4,$AA$6,
TRUE,$U$2)</f>
        <v/>
      </c>
      <c r="R44" s="45" t="str">
        <f>IFERROR(__xludf.DUMMYFUNCTION("IF(C44="""","""",IFERROR(FILTER(Info!$B$22:B81,Info!$A$22:A81=C44)+M44,""?""))"),"")</f>
        <v/>
      </c>
      <c r="S44" s="46" t="str">
        <f>IFS(OR(COUNTIF(Info!$A$22:A81,C44)&gt;0,C44=""),"",
AND(H44="",I44=""),J44,
TRUE,"?")</f>
        <v/>
      </c>
      <c r="T44" s="45" t="str">
        <f>IFS(OR(COUNTIF(Info!$A$22:A81,C44)&gt;0,C44=""),"",
AND(L44&lt;&gt;0,OR(R44="?",R44="")),"Fyll i R-kolumnen",
OR(C44="3x3 FMC",C44="3x3 MBLD"),R44,
AND(L44&lt;&gt;0,OR(S44="?",S44="")),"Fyll i S-kolumnen",
OR(COUNTIF(Info!$A$22:A81,C44)&gt;0,C44=""),"",
TRUE,Y44*R44/L44)</f>
        <v/>
      </c>
      <c r="U44" s="45"/>
      <c r="V44" s="47" t="str">
        <f>IFS(OR(COUNTIF(Info!$A$22:A81,C44)&gt;0,C44=""),"",
OR("3x3 MBLD"=C44,"3x3 FMC"=C44)=TRUE,"",
TRUE,MROUND((J44/N44),0.01))</f>
        <v/>
      </c>
      <c r="W44" s="48" t="str">
        <f>IFS(OR(COUNTIF(Info!$A$22:A81,C44)&gt;0,C44=""),"",
TRUE,L44/N44)</f>
        <v/>
      </c>
      <c r="X44" s="49" t="str">
        <f>IFS(OR(COUNTIF(Info!$A$22:A81,C44)&gt;0,C44=""),"",
OR("3x3 MBLD"=C44,"3x3 FMC"=C44)=TRUE,"",
OR(C44="4x4 BLD",C44="5x5 BLD",C44="4x4 / 5x5 BLD",AND(C44="3x3 BLD",H44&lt;&gt;""))=TRUE,MIN(V44,P44),
TRUE,MIN(P44,V44,MROUND(((V44*2/3)+((Y44-1.625)/2)),0.01)))</f>
        <v/>
      </c>
      <c r="Y44" s="48" t="str">
        <f>IFERROR(__xludf.DUMMYFUNCTION("IFS(OR(COUNTIF(Info!$A$22:A81,C44)&gt;0,C44=""""),"""",
FILTER(Info!$F$2:F81, Info!$A$2:A81 = C44) = ""Yes"",H44/AA44,
""3x3 FMC""=C44,Info!$B$9,""3x3 MBLD""=C44,Info!$B$18,
AND(E44=1,I44="""",H44="""",Q44=""No"",G44&gt;SUMIF(Info!$A$2:A81,C44,Info!$B$2:B81)*1."&amp;"5),
MIN(SUMIF(Info!$A$2:A81,C44,Info!$B$2:B81)*1.1,SUMIF(Info!$A$2:A81,C44,Info!$B$2:B81)*(1.15-(0.15*(SUMIF(Info!$A$2:A81,C44,Info!$B$2:B81)*1.5)/G44))),
AND(E44=1,I44="""",H44="""",Q44=""Yes"",G44&gt;SUMIF(Info!$A$2:A81,C44,Info!$C$2:C81)*1.5),
MIN(SUMIF(I"&amp;"nfo!$A$2:A81,C44,Info!$C$2:C81)*1.1,SUMIF(Info!$A$2:A81,C44,Info!$C$2:C81)*(1.15-(0.15*(SUMIF(Info!$A$2:A81,C44,Info!$C$2:C81)*1.5)/G44))),
Q44=""No"",SUMIF(Info!$A$2:A81,C44,Info!$B$2:B81),
Q44=""Yes"",SUMIF(Info!$A$2:A81,C44,Info!$C$2:C81))"),"")</f>
        <v/>
      </c>
      <c r="Z44" s="47" t="str">
        <f>IFS(OR(COUNTIF(Info!$A$22:A81,C44)&gt;0,C44=""),"",
AND(OR("3x3 FMC"=C44,"3x3 MBLD"=C44),I44&lt;&gt;""),1,
AND(OR(H44&lt;&gt;"",I44&lt;&gt;""),F44="Avg of 5"),2,
F44="Avg of 5",AA44,
AND(OR(H44&lt;&gt;"",I44&lt;&gt;""),F44="Mean of 3",C44="6x6 / 7x7"),2,
AND(OR(H44&lt;&gt;"",I44&lt;&gt;""),F44="Mean of 3"),1,
F44="Mean of 3",AA44,
AND(OR(H44&lt;&gt;"",I44&lt;&gt;""),F44="Best of 3",C44="4x4 / 5x5 BLD"),2,
AND(OR(H44&lt;&gt;"",I44&lt;&gt;""),F44="Best of 3"),1,
F44="Best of 2",AA44,
F44="Best of 1",AA44)</f>
        <v/>
      </c>
      <c r="AA44" s="47" t="str">
        <f>IFS(OR(COUNTIF(Info!$A$22:A81,C44)&gt;0,C44=""),"",
AND(OR("3x3 MBLD"=C44,"3x3 FMC"=C44),F44="Best of 1"=TRUE),1,
AND(OR("3x3 MBLD"=C44,"3x3 FMC"=C44),F44="Best of 2"=TRUE),2,
AND(OR("3x3 MBLD"=C44,"3x3 FMC"=C44),OR(F44="Best of 3",F44="Mean of 3")=TRUE),3,
AND(F44="Mean of 3",C44="6x6 / 7x7"),6,
AND(F44="Best of 3",C44="4x4 / 5x5 BLD"),6,
F44="Avg of 5",5,F44="Mean of 3",3,F44="Best of 3",3,F44="Best of 2",2,F44="Best of 1",1)</f>
        <v/>
      </c>
      <c r="AB44" s="50"/>
    </row>
    <row r="45" ht="15.75" customHeight="1">
      <c r="A45" s="35">
        <f>IFERROR(__xludf.DUMMYFUNCTION("IFS(indirect(""A""&amp;row()-1)=""Start"",TIME(indirect(""A""&amp;row()-2),indirect(""B""&amp;row()-2),0),
$O$2=""No"",TIME(0,($A$6*60+$B$6)+CEILING(SUM($L$7:indirect(""L""&amp;row()-1)),5),0),
D45=$E$2,TIME(0,($A$6*60+$B$6)+CEILING(SUM(IFERROR(FILTER($L$7:indirect(""L"""&amp;"&amp;row()-1),REGEXMATCH($D$7:indirect(""D""&amp;row()-1),$E$2)),0)),5),0),
TRUE,""=time(hh;mm;ss)"")"),0.375)</f>
        <v>0.375</v>
      </c>
      <c r="B45" s="36">
        <f>IFERROR(__xludf.DUMMYFUNCTION("IFS($O$2=""No"",TIME(0,($A$6*60+$B$6)+CEILING(SUM($L$7:indirect(""L""&amp;row())),5),0),
D45=$E$2,TIME(0,($A$6*60+$B$6)+CEILING(SUM(FILTER($L$7:indirect(""L""&amp;row()),REGEXMATCH($D$7:indirect(""D""&amp;row()),$E$2))),5),0),
A45=""=time(hh;mm;ss)"",CONCATENATE(""Sk"&amp;"riv tid i A""&amp;row()),
AND(A45&lt;&gt;"""",A45&lt;&gt;""=time(hh;mm;ss)""),A45+TIME(0,CEILING(indirect(""L""&amp;row()),5),0))"),0.375)</f>
        <v>0.375</v>
      </c>
      <c r="C45" s="37"/>
      <c r="D45" s="38" t="str">
        <f t="shared" si="3"/>
        <v>Stora salen</v>
      </c>
      <c r="E45" s="38" t="str">
        <f>IFERROR(__xludf.DUMMYFUNCTION("IFS(COUNTIF(Info!$A$22:A81,C45)&gt;0,"""",
AND(OR(""3x3 FMC""=C45,""3x3 MBLD""=C45),COUNTIF($C$7:indirect(""C""&amp;row()),indirect(""C""&amp;row()))&gt;=13),""E - Error"",
AND(OR(""3x3 FMC""=C45,""3x3 MBLD""=C45),COUNTIF($C$7:indirect(""C""&amp;row()),indirect(""C""&amp;row()"&amp;"))=12),""Final - A3"",
AND(OR(""3x3 FMC""=C45,""3x3 MBLD""=C45),COUNTIF($C$7:indirect(""C""&amp;row()),indirect(""C""&amp;row()))=11),""Final - A2"",
AND(OR(""3x3 FMC""=C45,""3x3 MBLD""=C45),COUNTIF($C$7:indirect(""C""&amp;row()),indirect(""C""&amp;row()))=10),""Final - "&amp;"A1"",
AND(OR(""3x3 FMC""=C45,""3x3 MBLD""=C45),COUNTIF($C$7:indirect(""C""&amp;row()),indirect(""C""&amp;row()))=9,
COUNTIF($C$7:$C$102,indirect(""C""&amp;row()))&gt;9),""R3 - A3"",
AND(OR(""3x3 FMC""=C45,""3x3 MBLD""=C45),COUNTIF($C$7:indirect(""C""&amp;row()),indirect(""C"&amp;"""&amp;row()))=9,
COUNTIF($C$7:$C$102,indirect(""C""&amp;row()))&lt;=9),""Final - A3"",
AND(OR(""3x3 FMC""=C45,""3x3 MBLD""=C45),COUNTIF($C$7:indirect(""C""&amp;row()),indirect(""C""&amp;row()))=8,
COUNTIF($C$7:$C$102,indirect(""C""&amp;row()))&gt;9),""R3 - A2"",
AND(OR(""3x3 FMC"&amp;"""=C45,""3x3 MBLD""=C45),COUNTIF($C$7:indirect(""C""&amp;row()),indirect(""C""&amp;row()))=8,
COUNTIF($C$7:$C$102,indirect(""C""&amp;row()))&lt;=9),""Final - A2"",
AND(OR(""3x3 FMC""=C45,""3x3 MBLD""=C45),COUNTIF($C$7:indirect(""C""&amp;row()),indirect(""C""&amp;row()))=7,
COUN"&amp;"TIF($C$7:$C$102,indirect(""C""&amp;row()))&gt;9),""R3 - A1"",
AND(OR(""3x3 FMC""=C45,""3x3 MBLD""=C45),COUNTIF($C$7:indirect(""C""&amp;row()),indirect(""C""&amp;row()))=7,
COUNTIF($C$7:$C$102,indirect(""C""&amp;row()))&lt;=9),""Final - A1"",
AND(OR(""3x3 FMC""=C45,""3x3 MBLD"""&amp;"=C45),COUNTIF($C$7:indirect(""C""&amp;row()),indirect(""C""&amp;row()))=6,
COUNTIF($C$7:$C$102,indirect(""C""&amp;row()))&gt;6),""R2 - A3"",
AND(OR(""3x3 FMC""=C45,""3x3 MBLD""=C45),COUNTIF($C$7:indirect(""C""&amp;row()),indirect(""C""&amp;row()))=6,
COUNTIF($C$7:$C$102,indirec"&amp;"t(""C""&amp;row()))&lt;=6),""Final - A3"",
AND(OR(""3x3 FMC""=C45,""3x3 MBLD""=C45),COUNTIF($C$7:indirect(""C""&amp;row()),indirect(""C""&amp;row()))=5,
COUNTIF($C$7:$C$102,indirect(""C""&amp;row()))&gt;6),""R2 - A2"",
AND(OR(""3x3 FMC""=C45,""3x3 MBLD""=C45),COUNTIF($C$7:indi"&amp;"rect(""C""&amp;row()),indirect(""C""&amp;row()))=5,
COUNTIF($C$7:$C$102,indirect(""C""&amp;row()))&lt;=6),""Final - A2"",
AND(OR(""3x3 FMC""=C45,""3x3 MBLD""=C45),COUNTIF($C$7:indirect(""C""&amp;row()),indirect(""C""&amp;row()))=4,
COUNTIF($C$7:$C$102,indirect(""C""&amp;row()))&gt;6),"&amp;"""R2 - A1"",
AND(OR(""3x3 FMC""=C45,""3x3 MBLD""=C45),COUNTIF($C$7:indirect(""C""&amp;row()),indirect(""C""&amp;row()))=4,
COUNTIF($C$7:$C$102,indirect(""C""&amp;row()))&lt;=6),""Final - A1"",
AND(OR(""3x3 FMC""=C45,""3x3 MBLD""=C45),COUNTIF($C$7:indirect(""C""&amp;row()),i"&amp;"ndirect(""C""&amp;row()))=3),""R1 - A3"",
AND(OR(""3x3 FMC""=C45,""3x3 MBLD""=C45),COUNTIF($C$7:indirect(""C""&amp;row()),indirect(""C""&amp;row()))=2),""R1 - A2"",
AND(OR(""3x3 FMC""=C45,""3x3 MBLD""=C45),COUNTIF($C$7:indirect(""C""&amp;row()),indirect(""C""&amp;row()))=1),"&amp;"""R1 -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C45),ROUNDUP((FILTER(Info!$H$2:H81,Info!$A$2:A81=C45)/FILTER(Info!$H$2:H81,Info!$A$2:A81=$K$2))*$I$2)&gt;99),3,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C45),ROUNDUP((FILTER(Info!$H$2:H81,Info!$A$2:A81=C45)/FILTER(Info!$H$2:H81,Info!$A$2:A81=$K$2))*$I$2)&gt;15),2,
AND(COUNTIF($C$7:indirect(""C""&amp;row()),indirect(""C""&amp;row()))=2,COUNTIF($C$7:$C$102,indirect(""C""&amp;row()))=COUNTIF($"&amp;"C$7:indirect(""C""&amp;row()),indirect(""C""&amp;row()))),""Final"",
COUNTIF($C$7:indirect(""C""&amp;row()),indirect(""C""&amp;row()))=1,1,
COUNTIF($C$7:indirect(""C""&amp;row()),indirect(""C""&amp;row()))=0,"""")"),"")</f>
        <v/>
      </c>
      <c r="F45" s="39" t="str">
        <f>IFERROR(__xludf.DUMMYFUNCTION("IFS(C45="""","""",
AND(C45=""3x3 FMC"",MOD(COUNTIF($C$7:indirect(""C""&amp;row()),indirect(""C""&amp;row())),3)=0),""Mean of 3"",
AND(C45=""3x3 MBLD"",MOD(COUNTIF($C$7:indirect(""C""&amp;row()),indirect(""C""&amp;row())),3)=0),""Best of 3"",
AND(C45=""3x3 FMC"",MOD(COUNT"&amp;"IF($C$7:indirect(""C""&amp;row()),indirect(""C""&amp;row())),3)=2,
COUNTIF($C$7:$C$102,indirect(""C""&amp;row()))&lt;=COUNTIF($C$7:indirect(""C""&amp;row()),indirect(""C""&amp;row()))),""Best of 2"",
AND(C45=""3x3 FMC"",MOD(COUNTIF($C$7:indirect(""C""&amp;row()),indirect(""C""&amp;row("&amp;"))),3)=2,
COUNTIF($C$7:$C$102,indirect(""C""&amp;row()))&gt;COUNTIF($C$7:indirect(""C""&amp;row()),indirect(""C""&amp;row()))),""Mean of 3"",
AND(C45=""3x3 MBLD"",MOD(COUNTIF($C$7:indirect(""C""&amp;row()),indirect(""C""&amp;row())),3)=2,
COUNTIF($C$7:$C$102,indirect(""C""&amp;row("&amp;")))&lt;=COUNTIF($C$7:indirect(""C""&amp;row()),indirect(""C""&amp;row()))),""Best of 2"",
AND(C45=""3x3 MBLD"",MOD(COUNTIF($C$7:indirect(""C""&amp;row()),indirect(""C""&amp;row())),3)=2,
COUNTIF($C$7:$C$102,indirect(""C""&amp;row()))&gt;COUNTIF($C$7:indirect(""C""&amp;row()),indirect("&amp;"""C""&amp;row()))),""Best of 3"",
AND(C45=""3x3 FMC"",MOD(COUNTIF($C$7:indirect(""C""&amp;row()),indirect(""C""&amp;row())),3)=1,
COUNTIF($C$7:$C$102,indirect(""C""&amp;row()))&lt;=COUNTIF($C$7:indirect(""C""&amp;row()),indirect(""C""&amp;row()))),""Best of 1"",
AND(C45=""3x3 FMC"""&amp;",MOD(COUNTIF($C$7:indirect(""C""&amp;row()),indirect(""C""&amp;row())),3)=1,
COUNTIF($C$7:$C$102,indirect(""C""&amp;row()))=COUNTIF($C$7:indirect(""C""&amp;row()),indirect(""C""&amp;row()))+1),""Best of 2"",
AND(C45=""3x3 FMC"",MOD(COUNTIF($C$7:indirect(""C""&amp;row()),indirect"&amp;"(""C""&amp;row())),3)=1,
COUNTIF($C$7:$C$102,indirect(""C""&amp;row()))&gt;COUNTIF($C$7:indirect(""C""&amp;row()),indirect(""C""&amp;row()))),""Mean of 3"",
AND(C45=""3x3 MBLD"",MOD(COUNTIF($C$7:indirect(""C""&amp;row()),indirect(""C""&amp;row())),3)=1,
COUNTIF($C$7:$C$102,indirect"&amp;"(""C""&amp;row()))&lt;=COUNTIF($C$7:indirect(""C""&amp;row()),indirect(""C""&amp;row()))),""Best of 1"",
AND(C45=""3x3 MBLD"",MOD(COUNTIF($C$7:indirect(""C""&amp;row()),indirect(""C""&amp;row())),3)=1,
COUNTIF($C$7:$C$102,indirect(""C""&amp;row()))=COUNTIF($C$7:indirect(""C""&amp;row()"&amp;"),indirect(""C""&amp;row()))+1),""Best of 2"",
AND(C45=""3x3 MBLD"",MOD(COUNTIF($C$7:indirect(""C""&amp;row()),indirect(""C""&amp;row())),3)=1,
COUNTIF($C$7:$C$102,indirect(""C""&amp;row()))&gt;COUNTIF($C$7:indirect(""C""&amp;row()),indirect(""C""&amp;row()))),""Best of 3"",
TRUE,("&amp;"IFERROR(FILTER(Info!$D$2:D81, Info!$A$2:A81 = C45), """")))"),"")</f>
        <v/>
      </c>
      <c r="G45" s="40" t="str">
        <f>IFERROR(__xludf.DUMMYFUNCTION("IFS(OR(COUNTIF(Info!$A$22:A81,C45)&gt;0,C45=""""),"""",
OR(""3x3 MBLD""=C45,""3x3 FMC""=C45),60,
AND(E45=1,FILTER(Info!$F$2:F81, Info!$A$2:A81 = C45) = ""No""),FILTER(Info!$P$2:P81, Info!$A$2:A81 = C45),
AND(E45=2,FILTER(Info!$F$2:F81, Info!$A$2:A81 = C45) ="&amp;" ""No""),FILTER(Info!$Q$2:Q81, Info!$A$2:A81 = C45),
AND(E45=3,FILTER(Info!$F$2:F81, Info!$A$2:A81 = C45) = ""No""),FILTER(Info!$R$2:R81, Info!$A$2:A81 = C45),
AND(E45=""Final"",FILTER(Info!$F$2:F81, Info!$A$2:A81 = C45) = ""No""),FILTER(Info!$S$2:S81, In"&amp;"fo!$A$2:A81 = C45),
FILTER(Info!$F$2:F81, Info!$A$2:A81 = C45) = ""Yes"","""")"),"")</f>
        <v/>
      </c>
      <c r="H45" s="40" t="str">
        <f>IFERROR(__xludf.DUMMYFUNCTION("IFS(OR(COUNTIF(Info!$A$22:A81,C45)&gt;0,C45=""""),"""",
OR(""3x3 MBLD""=C45,""3x3 FMC""=C45)=TRUE,"""",
FILTER(Info!$F$2:F81, Info!$A$2:A81 = C45) = ""Yes"",FILTER(Info!$O$2:O81, Info!$A$2:A81 = C45),
FILTER(Info!$F$2:F81, Info!$A$2:A81 = C45) = ""No"",IF(G4"&amp;"5="""",FILTER(Info!$O$2:O81, Info!$A$2:A81 = C45),""""))"),"")</f>
        <v/>
      </c>
      <c r="I45" s="40" t="str">
        <f>IFERROR(__xludf.DUMMYFUNCTION("IFS(OR(COUNTIF(Info!$A$22:A81,C45)&gt;0,C45="""",H45&lt;&gt;""""),"""",
AND(E45&lt;&gt;1,E45&lt;&gt;""R1 - A1"",E45&lt;&gt;""R1 - A2"",E45&lt;&gt;""R1 - A3""),"""",
FILTER(Info!$E$2:E81, Info!$A$2:A81 = C45) = ""Yes"",IF(H45="""",FILTER(Info!$L$2:L81, Info!$A$2:A81 = C45),""""),
FILTER(I"&amp;"nfo!$E$2:E81, Info!$A$2:A81 = C45) = ""No"","""")"),"")</f>
        <v/>
      </c>
      <c r="J45" s="40" t="str">
        <f>IFERROR(__xludf.DUMMYFUNCTION("IFS(OR(COUNTIF(Info!$A$22:A81,C45)&gt;0,C45="""",""3x3 MBLD""=C45,""3x3 FMC""=C45),"""",
AND(E45=1,FILTER(Info!$H$2:H81,Info!$A$2:A81 = C45)&lt;=FILTER(Info!$H$2:H81,Info!$A$2:A81=$K$2)),
ROUNDUP((FILTER(Info!$H$2:H81,Info!$A$2:A81 = C45)/FILTER(Info!$H$2:H81,I"&amp;"nfo!$A$2:A81=$K$2))*$I$2),
AND(E45=1,FILTER(Info!$H$2:H81,Info!$A$2:A81 = C45)&gt;FILTER(Info!$H$2:H81,Info!$A$2:A81=$K$2)),""K2 - Error"",
AND(E45=2,FILTER($J$7:indirect(""J""&amp;row()-1),$C$7:indirect(""C""&amp;row()-1)=C45)&lt;=7),""J - Error"",
E45=2,FLOOR(FILTER("&amp;"$J$7:indirect(""J""&amp;row()-1),$C$7:indirect(""C""&amp;row()-1)=C45)*Info!$T$32),
AND(E45=3,FILTER($J$7:indirect(""J""&amp;row()-1),$C$7:indirect(""C""&amp;row()-1)=C45)&lt;=15),""J - Error"",
E45=3,FLOOR(Info!$T$32*FLOOR(FILTER($J$7:indirect(""J""&amp;row()-1),$C$7:indirect("&amp;"""C""&amp;row()-1)=C45)*Info!$T$32)),
AND(E45=""Final"",COUNTIF($C$7:$C$102,C45)=2,FILTER($J$7:indirect(""J""&amp;row()-1),$C$7:indirect(""C""&amp;row()-1)=C45)&lt;=7),""J - Error"",
AND(E45=""Final"",COUNTIF($C$7:$C$102,C45)=2),
MIN(P45,FLOOR(FILTER($J$7:indirect(""J"""&amp;"&amp;row()-1),$C$7:indirect(""C""&amp;row()-1)=C45)*Info!$T$32)),
AND(E45=""Final"",COUNTIF($C$7:$C$102,C45)=3,FILTER($J$7:indirect(""J""&amp;row()-1),$C$7:indirect(""C""&amp;row()-1)=C45)&lt;=15),""J - Error"",
AND(E45=""Final"",COUNTIF($C$7:$C$102,C45)=3),
MIN(P45,FLOOR(I"&amp;"nfo!$T$32*FLOOR(FILTER($J$7:indirect(""J""&amp;row()-1),$C$7:indirect(""C""&amp;row()-1)=C45)*Info!$T$32))),
AND(E45=""Final"",COUNTIF($C$7:$C$102,C45)&gt;=4,FILTER($J$7:indirect(""J""&amp;row()-1),$C$7:indirect(""C""&amp;row()-1)=C45)&lt;=99),""J - Error"",
AND(E45=""Final"","&amp;"COUNTIF($C$7:$C$102,C45)&gt;=4),
MIN(P45,FLOOR(Info!$T$32*FLOOR(Info!$T$32*FLOOR(FILTER($J$7:indirect(""J""&amp;row()-1),$C$7:indirect(""C""&amp;row()-1)=C45)*Info!$T$32)))))"),"")</f>
        <v/>
      </c>
      <c r="K45" s="41" t="str">
        <f>IFERROR(__xludf.DUMMYFUNCTION("IFS(AND(indirect(""D""&amp;row()+2)&lt;&gt;$E$2,indirect(""D""&amp;row()+1)=""""),CONCATENATE(""Tom rad! Kopiera hela rad ""&amp;row()&amp;"" dit""),
AND(indirect(""D""&amp;row()-1)&lt;&gt;""Rum"",indirect(""D""&amp;row()-1)=""""),CONCATENATE(""Tom rad! Kopiera hela rad ""&amp;row()&amp;"" dit""),
"&amp;"C45="""","""",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OR(AND(D45&lt;&gt;$E$2,D45&lt;&gt;$E$4,D45&lt;&gt;$K$4,D45&lt;&gt;$Q$4),D45="&amp;"""""),CONCATENATE(""Rum: ""&amp;D45&amp;"" finns ej, byt i D""&amp;row()),
AND(indirect(""D""&amp;row()-1)=""Rum"",C45=""""),CONCATENATE(""För att börja: skriv i cell C""&amp;row()),
AND(C45=""Paus"",M45&lt;=0),CONCATENATE(""Skriv pausens längd i M""&amp;row()),
OR(COUNTIF(Info!$A$"&amp;"22:A81,C45)&gt;0,C45=""""),"""",
AND(D45&lt;&gt;$E$2,$O$2=""Yes"",A45=""=time(hh;mm;ss)""),CONCATENATE(""Skriv starttid för ""&amp;C45&amp;"" i A""&amp;row()),
E45=""E - Error"",CONCATENATE(""För många ""&amp;C45&amp;"" rundor!""),
AND(C45&lt;&gt;""3x3 FMC"",C45&lt;&gt;""3x3 MBLD"",E45&lt;&gt;1,E45&lt;&gt;"&amp;"""Final"",IFERROR(FILTER($E$7:indirect(""E""&amp;row()-1),
$E$7:indirect(""E""&amp;row()-1)=E45-1,$C$7:indirect(""C""&amp;row()-1)=C45))=FALSE),CONCATENATE(""Kan ej vara R""&amp;E45&amp;"", saknar R""&amp;(E45-1)),
AND(indirect(""E""&amp;row()-1)&lt;&gt;""Omgång"",IFERROR(FILTER($E$7:indi"&amp;"rect(""E""&amp;row()-1),
$E$7:indirect(""E""&amp;row()-1)=E45,$C$7:indirect(""C""&amp;row()-1)=C45)=E45)=TRUE),CONCATENATE(""Runda ""&amp;E45&amp;"" i ""&amp;C45&amp;"" finns redan""),
AND(C45&lt;&gt;""3x3 BLD"",C45&lt;&gt;""4x4 BLD"",C45&lt;&gt;""5x5 BLD"",C45&lt;&gt;""4x4 / 5x5 BLD"",OR(E45=2,E45=3,E45="&amp;"""Final""),H45&lt;&gt;""""),CONCATENATE(E45&amp;""-rundor brukar ej ha c.t.l.""),
AND(OR(E45=2,E45=3,E45=""Final""),I45&lt;&gt;""""),CONCATENATE(E45&amp;""-rundor brukar ej ha cutoff""),
AND(OR(C45=""3x3 FMC"",C45=""3x3 MBLD""),OR(E45=1,E45=2,E45=3,E45=""Final"")),CONCATENAT"&amp;"E(C45&amp;""s omgång är Rx - Ax""),
AND(C45&lt;&gt;""3x3 MBLD"",C45&lt;&gt;""3x3 FMC"",FILTER(Info!$D$2:D81, Info!$A$2:A81 = C45)&lt;&gt;F45),CONCATENATE(C45&amp;"" måste ha formatet ""&amp;FILTER(Info!$D$2:D81, Info!$A$2:A81 = C45)),
AND(C45=""3x3 MBLD"",OR(F45=""Avg of 5"",F45=""Mea"&amp;"n of 3"")),CONCATENATE(""Ogiltigt format för ""&amp;C45),
AND(C45=""3x3 FMC"",OR(F45=""Avg of 5"",F45=""Best of 3"")),CONCATENATE(""Ogiltigt format för ""&amp;C45),
AND(OR(F45=""Best of 1"",F45=""Best of 2"",F45=""Best of 3""),I45&lt;&gt;""""),CONCATENATE(F45&amp;""-rundor"&amp;" får ej ha cutoff""),
AND(OR(C45=""3x3 FMC"",C45=""3x3 MBLD""),G45&lt;&gt;60),CONCATENATE(C45&amp;"" måste ha time limit: 60""),
AND(OR(C45=""3x3 FMC"",C45=""3x3 MBLD""),H45&lt;&gt;""""),CONCATENATE(C45&amp;"" kan inte ha c.t.l.""),
AND(G45&lt;&gt;"""",H45&lt;&gt;""""),""Välj time limit"&amp;" ELLER c.t.l"",
AND(C45=""6x6 / 7x7"",G45="""",H45=""""),""Sätt time limit (x / y) eller c.t.l (z)"",
AND(G45="""",H45=""""),""Sätt en time limit eller c.t.l"",
AND(OR(C45=""6x6 / 7x7"",C45=""4x4 / 5x5 BLD""),G45&lt;&gt;"""",REGEXMATCH(TO_TEXT(G45),"" / "")=FAL"&amp;"SE),CONCATENATE(""Time limit måste vara x / y""),
AND(H45&lt;&gt;"""",I45&lt;&gt;""""),CONCATENATE(C45&amp;"" brukar ej ha cutoff OCH c.t.l""),
AND(E45=1,H45="""",I45="""",OR(FILTER(Info!$E$2:E81, Info!$A$2:A81 = C45) = ""Yes"",FILTER(Info!$F$2:F81, Info!$A$2:A81 = C45) "&amp;"= ""Yes""),OR(F45=""Avg of 5"",F45=""Mean of 3"")),CONCATENATE(C45&amp;"" bör ha cutoff eller c.t.l""),
AND(C45=""6x6 / 7x7"",I45&lt;&gt;"""",REGEXMATCH(TO_TEXT(I45),"" / "")=FALSE),CONCATENATE(""Cutoff måste vara x / y""),
AND(H45&lt;&gt;"""",ISNUMBER(H45)=FALSE),""C.t."&amp;"l. måste vara positivt tal (x)"",
AND(C45&lt;&gt;""6x6 / 7x7"",I45&lt;&gt;"""",ISNUMBER(I45)=FALSE),""Cutoff måste vara positivt tal (x)"",
AND(H45&lt;&gt;"""",FILTER(Info!$E$2:E81, Info!$A$2:A81 = C45) = ""No"",FILTER(Info!$F$2:F81, Info!$A$2:A81 = C45) = ""No""),CONCATEN"&amp;"ATE(C45&amp;"" brukar inte ha c.t.l.""),
AND(I45&lt;&gt;"""",FILTER(Info!$E$2:E81, Info!$A$2:A81 = C45) = ""No"",FILTER(Info!$F$2:F81, Info!$A$2:A81 = C45) = ""No""),CONCATENATE(C45&amp;"" brukar inte ha cutoff""),
AND(H45="""",FILTER(Info!$F$2:F81, Info!$A$2:A81 = C45"&amp;") = ""Yes""),CONCATENATE(C45&amp;"" brukar ha c.t.l.""),
AND(C45&lt;&gt;""6x6 / 7x7"",C45&lt;&gt;""4x4 / 5x5 BLD"",G45&lt;&gt;"""",ISNUMBER(G45)=FALSE),""Time limit måste vara positivt tal (x)"",
J45=""J - Error"",CONCATENATE(""För få deltagare i R1 för ""&amp;COUNTIF($C$7:$C$102,"&amp;"indirect(""C""&amp;row()))&amp;"" rundor""),
J45=""K2 - Error"",CONCATENATE(C45&amp;"" är mer populär - byt i K2!""),
AND(C45&lt;&gt;""6x6 / 7x7"",C45&lt;&gt;""4x4 / 5x5 BLD"",G45&lt;&gt;"""",I45&lt;&gt;"""",G45&lt;=I45),""Time limit måste vara &gt; cutoff"",
AND(C45&lt;&gt;""6x6 / 7x7"",C45&lt;&gt;""4x4 / 5"&amp;"x5 BLD"",H45&lt;&gt;"""",I45&lt;&gt;"""",H45&lt;=I45),""C.t.l. måste vara &gt; cutoff"",
AND(C45&lt;&gt;""3x3 FMC"",C45&lt;&gt;""3x3 MBLD"",J45=""""),CONCATENATE(""Fyll i antal deltagare i J""&amp;row()),
AND(C45="""",OR(E45&lt;&gt;"""",F45&lt;&gt;"""",G45&lt;&gt;"""",H45&lt;&gt;"""",I45&lt;&gt;"""",J45&lt;&gt;"""")),""Skri"&amp;"v ALLTID gren / aktivitet först"",
AND(I45="""",H45="""",J45&lt;&gt;""""),J45,
OR(""3x3 FMC""=C45,""3x3 MBLD""=C45),J45,
AND(I45&lt;&gt;"""",""6x6 / 7x7""=C45),
IFS(ArrayFormula(SUM(IFERROR(SPLIT(I45,"" / ""))))&lt;(Info!$J$6+Info!$J$7)*2/3,CONCATENATE(""Höj helst cutof"&amp;"fs i ""&amp;C45),
ArrayFormula(SUM(IFERROR(SPLIT(I45,"" / ""))))&lt;=(Info!$J$6+Info!$J$7),ROUNDUP(J45*Info!$J$22),
ArrayFormula(SUM(IFERROR(SPLIT(I45,"" / ""))))&lt;=Info!$J$6+Info!$J$7,ROUNDUP(J45*Info!$K$22),
ArrayFormula(SUM(IFERROR(SPLIT(I45,"" / ""))))&lt;=Info!"&amp;"$K$6+Info!$K$7,ROUNDUP(J45*Info!L$22),
ArrayFormula(SUM(IFERROR(SPLIT(I45,"" / ""))))&lt;=Info!$L$6+Info!$L$7,ROUNDUP(J45*Info!$M$22),
ArrayFormula(SUM(IFERROR(SPLIT(I45,"" / ""))))&lt;=Info!$M$6+Info!$M$7,ROUNDUP(J45*Info!$N$22),
ArrayFormula(SUM(IFERROR(SPLIT"&amp;"(I45,"" / ""))))&lt;=(Info!$N$6+Info!$N$7)*3/2,ROUNDUP(J45*Info!$J$26),
ArrayFormula(SUM(IFERROR(SPLIT(I45,"" / ""))))&gt;(Info!$N$6+Info!$N$7)*3/2,CONCATENATE(""Sänk helst cutoffs i ""&amp;C45)),
AND(I45&lt;&gt;"""",FILTER(Info!$E$2:E81, Info!$A$2:A81 = C45) = ""Yes""),"&amp;"
IFS(I45&lt;FILTER(Info!$J$2:J81, Info!$A$2:A81 = C45)*2/3,CONCATENATE(""Höj helst cutoff i ""&amp;C45),
I45&lt;=FILTER(Info!$J$2:J81, Info!$A$2:A81 = C45),ROUNDUP(J45*Info!$J$22),
I45&lt;=FILTER(Info!$K$2:K81, Info!$A$2:A81 = C45),ROUNDUP(J45*Info!$K$22),
I45&lt;=FILTER"&amp;"(Info!$L$2:L81, Info!$A$2:A81 = C45),ROUNDUP(J45*Info!L$22),
I45&lt;=FILTER(Info!$M$2:M81, Info!$A$2:A81 = C45),ROUNDUP(J45*Info!$M$22),
I45&lt;=FILTER(Info!$N$2:N81, Info!$A$2:A81 = C45),ROUNDUP(J45*Info!$N$22),
I45&lt;=FILTER(Info!$N$2:N81, Info!$A$2:A81 = C45)*"&amp;"3/2,ROUNDUP(J45*Info!$J$26),
I45&gt;FILTER(Info!$N$2:N81, Info!$A$2:A81 = C45)*3/2,CONCATENATE(""Sänk helst cutoff i ""&amp;C45)),
AND(H45&lt;&gt;"""",""6x6 / 7x7""=C45),
IFS(H45/3&lt;=(Info!$J$6+Info!$J$7)*2/3,""Höj helst cumulative time limit"",
H45/3&lt;=Info!$J$6+Info!$"&amp;"J$7,ROUNDUP(J45*Info!$J$24),
H45/3&lt;=Info!$K$6+Info!$K$7,ROUNDUP(J45*Info!$K$24),
H45/3&lt;=Info!$L$6+Info!$L$7,ROUNDUP(J45*Info!L$24),
H45/3&lt;=Info!$M$6+Info!$M$7,ROUNDUP(J45*Info!$M$24),
H45/3&lt;=Info!$N$6+Info!$N$7,ROUNDUP(J45*Info!$N$24),
H45/3&lt;=(Info!$N$6+I"&amp;"nfo!$N$7)*3/2,ROUNDUP(J45*Info!$L$26),
H45/3&gt;(Info!$J$6+Info!$J$7)*3/2,""Sänk helst cumulative time limit""),
AND(H45&lt;&gt;"""",FILTER(Info!$F$2:F81, Info!$A$2:A81 = C45) = ""Yes""),
IFS(H45&lt;=FILTER(Info!$J$2:J81, Info!$A$2:A81 = C45)*2/3,CONCATENATE(""Höj he"&amp;"lst c.t.l. i ""&amp;C45),
H45&lt;=FILTER(Info!$J$2:J81, Info!$A$2:A81 = C45),ROUNDUP(J45*Info!$J$24),
H45&lt;=FILTER(Info!$K$2:K81, Info!$A$2:A81 = C45),ROUNDUP(J45*Info!$K$24),
H45&lt;=FILTER(Info!$L$2:L81, Info!$A$2:A81 = C45),ROUNDUP(J45*Info!L$24),
H45&lt;=FILTER(Inf"&amp;"o!$M$2:M81, Info!$A$2:A81 = C45),ROUNDUP(J45*Info!$M$24),
H45&lt;=FILTER(Info!$N$2:N81, Info!$A$2:A81 = C45),ROUNDUP(J45*Info!$N$24),
H45&lt;=FILTER(Info!$N$2:N81, Info!$A$2:A81 = C45)*3/2,ROUNDUP(J45*Info!$L$26),
H45&gt;FILTER(Info!$N$2:N81, Info!$A$2:A81 = C45)*"&amp;"3/2,CONCATENATE(""Sänk helst c.t.l. i ""&amp;C45)),
AND(H45&lt;&gt;"""",FILTER(Info!$F$2:F81, Info!$A$2:A81 = C45) = ""No""),
IFS(H45/AA45&lt;=FILTER(Info!$J$2:J81, Info!$A$2:A81 = C45)*2/3,CONCATENATE(""Höj helst c.t.l. i ""&amp;C45),
H45/AA45&lt;=FILTER(Info!$J$2:J81, Info"&amp;"!$A$2:A81 = C45),ROUNDUP(J45*Info!$J$24),
H45/AA45&lt;=FILTER(Info!$K$2:K81, Info!$A$2:A81 = C45),ROUNDUP(J45*Info!$K$24),
H45/AA45&lt;=FILTER(Info!$L$2:L81, Info!$A$2:A81 = C45),ROUNDUP(J45*Info!L$24),
H45/AA45&lt;=FILTER(Info!$M$2:M81, Info!$A$2:A81 = C45),ROUND"&amp;"UP(J45*Info!$M$24),
H45/AA45&lt;=FILTER(Info!$N$2:N81, Info!$A$2:A81 = C45),ROUNDUP(J45*Info!$N$24),
H45/AA45&lt;=FILTER(Info!$N$2:N81, Info!$A$2:A81 = C45)*3/2,ROUNDUP(J45*Info!$L$26),
H45/AA45&gt;FILTER(Info!$N$2:N81, Info!$A$2:A81 = C45)*3/2,CONCATENATE(""Sänk "&amp;"helst c.t.l. i ""&amp;C45)),
AND(I45="""",H45&lt;&gt;"""",J45&lt;&gt;""""),ROUNDUP(J45*Info!$T$29),
AND(I45&lt;&gt;"""",H45="""",J45&lt;&gt;""""),ROUNDUP(J45*Info!$T$26))"),"")</f>
        <v/>
      </c>
      <c r="L45" s="42">
        <f>IFERROR(__xludf.DUMMYFUNCTION("IFS(C45="""",0,
C45=""3x3 FMC"",Info!$B$9*N45+M45, C45=""3x3 MBLD"",Info!$B$18*N45+M45,
COUNTIF(Info!$A$22:A81,C45)&gt;0,FILTER(Info!$B$22:B81,Info!$A$22:A81=C45)+M45,
AND(C45&lt;&gt;"""",E45=""""),CONCATENATE(""Fyll i E""&amp;row()),
AND(C45&lt;&gt;"""",E45&lt;&gt;"""",E45&lt;&gt;1,E4"&amp;"5&lt;&gt;2,E45&lt;&gt;3,E45&lt;&gt;""Final""),CONCATENATE(""Fel format på E""&amp;row()),
K45=CONCATENATE(""Runda ""&amp;E45&amp;"" i ""&amp;C45&amp;"" finns redan""),CONCATENATE(""Fel i E""&amp;row()),
AND(C45&lt;&gt;"""",F45=""""),CONCATENATE(""Fyll i F""&amp;row()),
K45=CONCATENATE(C45&amp;"" måste ha forma"&amp;"tet ""&amp;FILTER(Info!$D$2:D81, Info!$A$2:A81 = C45)),CONCATENATE(""Fel format på F""&amp;row()),
AND(C45&lt;&gt;"""",D45=1,H45="""",FILTER(Info!$F$2:F81, Info!$A$2:A81 = C45) = ""Yes""),CONCATENATE(""Fyll i H""&amp;row()),
AND(C45&lt;&gt;"""",D45=1,I45="""",FILTER(Info!$E$2:E8"&amp;"1, Info!$A$2:A81 = C45) = ""Yes""),CONCATENATE(""Fyll i I""&amp;row()),
AND(C45&lt;&gt;"""",J45=""""),CONCATENATE(""Fyll i J""&amp;row()),
AND(C45&lt;&gt;"""",K45="""",OR(H45&lt;&gt;"""",I45&lt;&gt;"""")),CONCATENATE(""Fyll i K""&amp;row()),
AND(C45&lt;&gt;"""",K45=""""),CONCATENATE(""Skriv samma"&amp;" i K""&amp;row()&amp;"" som i J""&amp;row()),
AND(OR(C45=""4x4 BLD"",C45=""5x5 BLD"",C45=""4x4 / 5x5 BLD"")=TRUE,V45&lt;=P45),
MROUND(H45*(Info!$T$20-((Info!$T$20-1)/2)*(1-V45/P45))*(1+((J45/K45)-1)*(1-Info!$J$24))*N45+(Info!$T$11/2)+(N45*Info!$T$11)+(N45*Info!$T$14*(O4"&amp;"5-1)),0.01)+M45,
AND(OR(C45=""4x4 BLD"",C45=""5x5 BLD"",C45=""4x4 / 5x5 BLD"")=TRUE,V45&gt;P45),
MROUND((((J45*Z45+K45*(AA45-Z45))*(H45*Info!$T$20/AA45))/X45)*(1+((J45/K45)-1)*(1-Info!$J$24))*(1+(X45-Info!$T$8)/100)+(Info!$T$11/2)+(N45*Info!$T$11)+(N45*Info!"&amp;"$T$14*(O45-1)),0.01)+M45,
AND(C45=""3x3 BLD"",V45&lt;=P45),
MROUND(H45*(Info!$T$23-((Info!$T$23-1)/2)*(1-V45/P45))*(1+((J45/K45)-1)*(1-Info!$J$24))*N45+(Info!$T$11/2)+(N45*Info!$T$11)+(N45*Info!$T$14*(O45-1)),0.01)+M45,
AND(C45=""3x3 BLD"",V45&gt;P45),
MROUND(("&amp;"((J45*Z45+K45*(AA45-Z45))*(H45*Info!$T$23/AA45))/X45)*(1+((J45/K45)-1)*(1-Info!$J$24))*(1+(X45-Info!$T$8)/100)+(Info!$T$11/2)+(N45*Info!$T$11)+(N45*Info!$T$14*(O45-1)),0.01)+M45,
E45=1,MROUND((((J45*Z45+K45*(AA45-Z45))*Y45)/X45)*(1+(X45-Info!$T$8)/100)+(N"&amp;"45*Info!$T$11)+(N45*Info!$T$14*(O45-1)),0.01)+M45,
AND(E45=""Final"",N45=1,FILTER(Info!$G$2:$G$20,Info!$A$2:$A$20=C45)=""Mycket svår""),
MROUND((((J45*Z45+K45*(AA45-Z45))*(Y45*Info!$T$38))/X45)*(1+(X45-Info!$T$8)/100)+(N45*Info!$T$11)+(N45*Info!$T$14*(O45"&amp;"-1)),0.01)+M45,
AND(E45=""Final"",N45=1,FILTER(Info!$G$2:$G$20,Info!$A$2:$A$20=C45)=""Svår""),
MROUND((((J45*Z45+K45*(AA45-Z45))*(Y45*Info!$T$35))/X45)*(1+(X45-Info!$T$8)/100)+(N45*Info!$T$11)+(N45*Info!$T$14*(O45-1)),0.01)+M45,
E45=""Final"",MROUND((((J4"&amp;"5*Z45+K45*(AA45-Z45))*(Y45*Info!$T$5))/X45)*(1+(X45-Info!$T$8)/100)+(N45*Info!$T$11)+(N45*Info!$T$14*(O45-1)),0.01)+M45,
OR(E45=2,E45=3),MROUND((((J45*Z45+K45*(AA45-Z45))*(Y45*Info!$T$2))/X45)*(1+(X45-Info!$T$8)/100)+(N45*Info!$T$11)+(N45*Info!$T$14*(O45-"&amp;"1)),0.01)+M45)"),0.0)</f>
        <v>0</v>
      </c>
      <c r="M45" s="43">
        <f t="shared" si="4"/>
        <v>0</v>
      </c>
      <c r="N45" s="43" t="str">
        <f>IFS(OR(COUNTIF(Info!$A$22:A81,C45)&gt;0,C45=""),"",
OR(C45="4x4 BLD",C45="5x5 BLD",C45="3x3 MBLD",C45="3x3 FMC",C45="4x4 / 5x5 BLD"),1,
AND(E45="Final",Q45="Yes",MAX(1,ROUNDUP(J45/P45))&gt;1),MAX(2,ROUNDUP(J45/P45)),
AND(E45="Final",Q45="No",MAX(1,ROUNDUP(J45/((P45*2)+2.625-Y45*1.5)))&gt;1),MAX(2,ROUNDUP(J45/((P45*2)+2.625-Y45*1.5))),
E45="Final",1,
Q45="Yes",MAX(2,ROUNDUP(J45/P45)),
TRUE,MAX(2,ROUNDUP(J45/((P45*2)+2.625-Y45*1.5))))</f>
        <v/>
      </c>
      <c r="O45" s="43" t="str">
        <f>IFS(OR(COUNTIF(Info!$A$22:A81,C45)&gt;0,C45=""),"",
OR("3x3 MBLD"=C45,"3x3 FMC"=C45)=TRUE,"",
D45=$E$4,$G$6,D45=$K$4,$M$6,D45=$Q$4,$S$6,D45=$W$4,$Y$6,
TRUE,$S$2)</f>
        <v/>
      </c>
      <c r="P45" s="43" t="str">
        <f>IFS(OR(COUNTIF(Info!$A$22:A81,C45)&gt;0,C45=""),"",
OR("3x3 MBLD"=C45,"3x3 FMC"=C45)=TRUE,"",
D45=$E$4,$E$6,D45=$K$4,$K$6,D45=$Q$4,$Q$6,D45=$W$4,$W$6,
TRUE,$Q$2)</f>
        <v/>
      </c>
      <c r="Q45" s="44" t="str">
        <f>IFS(OR(COUNTIF(Info!$A$22:A81,C45)&gt;0,C45=""),"",
OR("3x3 MBLD"=C45,"3x3 FMC"=C45)=TRUE,"",
D45=$E$4,$I$6,D45=$K$4,$O$6,D45=$Q$4,$U$6,D45=$W$4,$AA$6,
TRUE,$U$2)</f>
        <v/>
      </c>
      <c r="R45" s="45" t="str">
        <f>IFERROR(__xludf.DUMMYFUNCTION("IF(C45="""","""",IFERROR(FILTER(Info!$B$22:B81,Info!$A$22:A81=C45)+M45,""?""))"),"")</f>
        <v/>
      </c>
      <c r="S45" s="46" t="str">
        <f>IFS(OR(COUNTIF(Info!$A$22:A81,C45)&gt;0,C45=""),"",
AND(H45="",I45=""),J45,
TRUE,"?")</f>
        <v/>
      </c>
      <c r="T45" s="45" t="str">
        <f>IFS(OR(COUNTIF(Info!$A$22:A81,C45)&gt;0,C45=""),"",
AND(L45&lt;&gt;0,OR(R45="?",R45="")),"Fyll i R-kolumnen",
OR(C45="3x3 FMC",C45="3x3 MBLD"),R45,
AND(L45&lt;&gt;0,OR(S45="?",S45="")),"Fyll i S-kolumnen",
OR(COUNTIF(Info!$A$22:A81,C45)&gt;0,C45=""),"",
TRUE,Y45*R45/L45)</f>
        <v/>
      </c>
      <c r="U45" s="45"/>
      <c r="V45" s="47" t="str">
        <f>IFS(OR(COUNTIF(Info!$A$22:A81,C45)&gt;0,C45=""),"",
OR("3x3 MBLD"=C45,"3x3 FMC"=C45)=TRUE,"",
TRUE,MROUND((J45/N45),0.01))</f>
        <v/>
      </c>
      <c r="W45" s="48" t="str">
        <f>IFS(OR(COUNTIF(Info!$A$22:A81,C45)&gt;0,C45=""),"",
TRUE,L45/N45)</f>
        <v/>
      </c>
      <c r="X45" s="49" t="str">
        <f>IFS(OR(COUNTIF(Info!$A$22:A81,C45)&gt;0,C45=""),"",
OR("3x3 MBLD"=C45,"3x3 FMC"=C45)=TRUE,"",
OR(C45="4x4 BLD",C45="5x5 BLD",C45="4x4 / 5x5 BLD",AND(C45="3x3 BLD",H45&lt;&gt;""))=TRUE,MIN(V45,P45),
TRUE,MIN(P45,V45,MROUND(((V45*2/3)+((Y45-1.625)/2)),0.01)))</f>
        <v/>
      </c>
      <c r="Y45" s="48" t="str">
        <f>IFERROR(__xludf.DUMMYFUNCTION("IFS(OR(COUNTIF(Info!$A$22:A81,C45)&gt;0,C45=""""),"""",
FILTER(Info!$F$2:F81, Info!$A$2:A81 = C45) = ""Yes"",H45/AA45,
""3x3 FMC""=C45,Info!$B$9,""3x3 MBLD""=C45,Info!$B$18,
AND(E45=1,I45="""",H45="""",Q45=""No"",G45&gt;SUMIF(Info!$A$2:A81,C45,Info!$B$2:B81)*1."&amp;"5),
MIN(SUMIF(Info!$A$2:A81,C45,Info!$B$2:B81)*1.1,SUMIF(Info!$A$2:A81,C45,Info!$B$2:B81)*(1.15-(0.15*(SUMIF(Info!$A$2:A81,C45,Info!$B$2:B81)*1.5)/G45))),
AND(E45=1,I45="""",H45="""",Q45=""Yes"",G45&gt;SUMIF(Info!$A$2:A81,C45,Info!$C$2:C81)*1.5),
MIN(SUMIF(I"&amp;"nfo!$A$2:A81,C45,Info!$C$2:C81)*1.1,SUMIF(Info!$A$2:A81,C45,Info!$C$2:C81)*(1.15-(0.15*(SUMIF(Info!$A$2:A81,C45,Info!$C$2:C81)*1.5)/G45))),
Q45=""No"",SUMIF(Info!$A$2:A81,C45,Info!$B$2:B81),
Q45=""Yes"",SUMIF(Info!$A$2:A81,C45,Info!$C$2:C81))"),"")</f>
        <v/>
      </c>
      <c r="Z45" s="47" t="str">
        <f>IFS(OR(COUNTIF(Info!$A$22:A81,C45)&gt;0,C45=""),"",
AND(OR("3x3 FMC"=C45,"3x3 MBLD"=C45),I45&lt;&gt;""),1,
AND(OR(H45&lt;&gt;"",I45&lt;&gt;""),F45="Avg of 5"),2,
F45="Avg of 5",AA45,
AND(OR(H45&lt;&gt;"",I45&lt;&gt;""),F45="Mean of 3",C45="6x6 / 7x7"),2,
AND(OR(H45&lt;&gt;"",I45&lt;&gt;""),F45="Mean of 3"),1,
F45="Mean of 3",AA45,
AND(OR(H45&lt;&gt;"",I45&lt;&gt;""),F45="Best of 3",C45="4x4 / 5x5 BLD"),2,
AND(OR(H45&lt;&gt;"",I45&lt;&gt;""),F45="Best of 3"),1,
F45="Best of 2",AA45,
F45="Best of 1",AA45)</f>
        <v/>
      </c>
      <c r="AA45" s="47" t="str">
        <f>IFS(OR(COUNTIF(Info!$A$22:A81,C45)&gt;0,C45=""),"",
AND(OR("3x3 MBLD"=C45,"3x3 FMC"=C45),F45="Best of 1"=TRUE),1,
AND(OR("3x3 MBLD"=C45,"3x3 FMC"=C45),F45="Best of 2"=TRUE),2,
AND(OR("3x3 MBLD"=C45,"3x3 FMC"=C45),OR(F45="Best of 3",F45="Mean of 3")=TRUE),3,
AND(F45="Mean of 3",C45="6x6 / 7x7"),6,
AND(F45="Best of 3",C45="4x4 / 5x5 BLD"),6,
F45="Avg of 5",5,F45="Mean of 3",3,F45="Best of 3",3,F45="Best of 2",2,F45="Best of 1",1)</f>
        <v/>
      </c>
      <c r="AB45" s="50"/>
    </row>
    <row r="46" ht="15.75" customHeight="1">
      <c r="A46" s="35">
        <f>IFERROR(__xludf.DUMMYFUNCTION("IFS(indirect(""A""&amp;row()-1)=""Start"",TIME(indirect(""A""&amp;row()-2),indirect(""B""&amp;row()-2),0),
$O$2=""No"",TIME(0,($A$6*60+$B$6)+CEILING(SUM($L$7:indirect(""L""&amp;row()-1)),5),0),
D46=$E$2,TIME(0,($A$6*60+$B$6)+CEILING(SUM(IFERROR(FILTER($L$7:indirect(""L"""&amp;"&amp;row()-1),REGEXMATCH($D$7:indirect(""D""&amp;row()-1),$E$2)),0)),5),0),
TRUE,""=time(hh;mm;ss)"")"),0.375)</f>
        <v>0.375</v>
      </c>
      <c r="B46" s="36">
        <f>IFERROR(__xludf.DUMMYFUNCTION("IFS($O$2=""No"",TIME(0,($A$6*60+$B$6)+CEILING(SUM($L$7:indirect(""L""&amp;row())),5),0),
D46=$E$2,TIME(0,($A$6*60+$B$6)+CEILING(SUM(FILTER($L$7:indirect(""L""&amp;row()),REGEXMATCH($D$7:indirect(""D""&amp;row()),$E$2))),5),0),
A46=""=time(hh;mm;ss)"",CONCATENATE(""Sk"&amp;"riv tid i A""&amp;row()),
AND(A46&lt;&gt;"""",A46&lt;&gt;""=time(hh;mm;ss)""),A46+TIME(0,CEILING(indirect(""L""&amp;row()),5),0))"),0.375)</f>
        <v>0.375</v>
      </c>
      <c r="C46" s="37"/>
      <c r="D46" s="38" t="str">
        <f t="shared" si="3"/>
        <v>Stora salen</v>
      </c>
      <c r="E46" s="38" t="str">
        <f>IFERROR(__xludf.DUMMYFUNCTION("IFS(COUNTIF(Info!$A$22:A81,C46)&gt;0,"""",
AND(OR(""3x3 FMC""=C46,""3x3 MBLD""=C46),COUNTIF($C$7:indirect(""C""&amp;row()),indirect(""C""&amp;row()))&gt;=13),""E - Error"",
AND(OR(""3x3 FMC""=C46,""3x3 MBLD""=C46),COUNTIF($C$7:indirect(""C""&amp;row()),indirect(""C""&amp;row()"&amp;"))=12),""Final - A3"",
AND(OR(""3x3 FMC""=C46,""3x3 MBLD""=C46),COUNTIF($C$7:indirect(""C""&amp;row()),indirect(""C""&amp;row()))=11),""Final - A2"",
AND(OR(""3x3 FMC""=C46,""3x3 MBLD""=C46),COUNTIF($C$7:indirect(""C""&amp;row()),indirect(""C""&amp;row()))=10),""Final - "&amp;"A1"",
AND(OR(""3x3 FMC""=C46,""3x3 MBLD""=C46),COUNTIF($C$7:indirect(""C""&amp;row()),indirect(""C""&amp;row()))=9,
COUNTIF($C$7:$C$102,indirect(""C""&amp;row()))&gt;9),""R3 - A3"",
AND(OR(""3x3 FMC""=C46,""3x3 MBLD""=C46),COUNTIF($C$7:indirect(""C""&amp;row()),indirect(""C"&amp;"""&amp;row()))=9,
COUNTIF($C$7:$C$102,indirect(""C""&amp;row()))&lt;=9),""Final - A3"",
AND(OR(""3x3 FMC""=C46,""3x3 MBLD""=C46),COUNTIF($C$7:indirect(""C""&amp;row()),indirect(""C""&amp;row()))=8,
COUNTIF($C$7:$C$102,indirect(""C""&amp;row()))&gt;9),""R3 - A2"",
AND(OR(""3x3 FMC"&amp;"""=C46,""3x3 MBLD""=C46),COUNTIF($C$7:indirect(""C""&amp;row()),indirect(""C""&amp;row()))=8,
COUNTIF($C$7:$C$102,indirect(""C""&amp;row()))&lt;=9),""Final - A2"",
AND(OR(""3x3 FMC""=C46,""3x3 MBLD""=C46),COUNTIF($C$7:indirect(""C""&amp;row()),indirect(""C""&amp;row()))=7,
COUN"&amp;"TIF($C$7:$C$102,indirect(""C""&amp;row()))&gt;9),""R3 - A1"",
AND(OR(""3x3 FMC""=C46,""3x3 MBLD""=C46),COUNTIF($C$7:indirect(""C""&amp;row()),indirect(""C""&amp;row()))=7,
COUNTIF($C$7:$C$102,indirect(""C""&amp;row()))&lt;=9),""Final - A1"",
AND(OR(""3x3 FMC""=C46,""3x3 MBLD"""&amp;"=C46),COUNTIF($C$7:indirect(""C""&amp;row()),indirect(""C""&amp;row()))=6,
COUNTIF($C$7:$C$102,indirect(""C""&amp;row()))&gt;6),""R2 - A3"",
AND(OR(""3x3 FMC""=C46,""3x3 MBLD""=C46),COUNTIF($C$7:indirect(""C""&amp;row()),indirect(""C""&amp;row()))=6,
COUNTIF($C$7:$C$102,indirec"&amp;"t(""C""&amp;row()))&lt;=6),""Final - A3"",
AND(OR(""3x3 FMC""=C46,""3x3 MBLD""=C46),COUNTIF($C$7:indirect(""C""&amp;row()),indirect(""C""&amp;row()))=5,
COUNTIF($C$7:$C$102,indirect(""C""&amp;row()))&gt;6),""R2 - A2"",
AND(OR(""3x3 FMC""=C46,""3x3 MBLD""=C46),COUNTIF($C$7:indi"&amp;"rect(""C""&amp;row()),indirect(""C""&amp;row()))=5,
COUNTIF($C$7:$C$102,indirect(""C""&amp;row()))&lt;=6),""Final - A2"",
AND(OR(""3x3 FMC""=C46,""3x3 MBLD""=C46),COUNTIF($C$7:indirect(""C""&amp;row()),indirect(""C""&amp;row()))=4,
COUNTIF($C$7:$C$102,indirect(""C""&amp;row()))&gt;6),"&amp;"""R2 - A1"",
AND(OR(""3x3 FMC""=C46,""3x3 MBLD""=C46),COUNTIF($C$7:indirect(""C""&amp;row()),indirect(""C""&amp;row()))=4,
COUNTIF($C$7:$C$102,indirect(""C""&amp;row()))&lt;=6),""Final - A1"",
AND(OR(""3x3 FMC""=C46,""3x3 MBLD""=C46),COUNTIF($C$7:indirect(""C""&amp;row()),i"&amp;"ndirect(""C""&amp;row()))=3),""R1 - A3"",
AND(OR(""3x3 FMC""=C46,""3x3 MBLD""=C46),COUNTIF($C$7:indirect(""C""&amp;row()),indirect(""C""&amp;row()))=2),""R1 - A2"",
AND(OR(""3x3 FMC""=C46,""3x3 MBLD""=C46),COUNTIF($C$7:indirect(""C""&amp;row()),indirect(""C""&amp;row()))=1),"&amp;"""R1 -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C46),ROUNDUP((FILTER(Info!$H$2:H81,Info!$A$2:A81=C46)/FILTER(Info!$H$2:H81,Info!$A$2:A81=$K$2))*$I$2)&gt;99),3,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C46),ROUNDUP((FILTER(Info!$H$2:H81,Info!$A$2:A81=C46)/FILTER(Info!$H$2:H81,Info!$A$2:A81=$K$2))*$I$2)&gt;15),2,
AND(COUNTIF($C$7:indirect(""C""&amp;row()),indirect(""C""&amp;row()))=2,COUNTIF($C$7:$C$102,indirect(""C""&amp;row()))=COUNTIF($"&amp;"C$7:indirect(""C""&amp;row()),indirect(""C""&amp;row()))),""Final"",
COUNTIF($C$7:indirect(""C""&amp;row()),indirect(""C""&amp;row()))=1,1,
COUNTIF($C$7:indirect(""C""&amp;row()),indirect(""C""&amp;row()))=0,"""")"),"")</f>
        <v/>
      </c>
      <c r="F46" s="39" t="str">
        <f>IFERROR(__xludf.DUMMYFUNCTION("IFS(C46="""","""",
AND(C46=""3x3 FMC"",MOD(COUNTIF($C$7:indirect(""C""&amp;row()),indirect(""C""&amp;row())),3)=0),""Mean of 3"",
AND(C46=""3x3 MBLD"",MOD(COUNTIF($C$7:indirect(""C""&amp;row()),indirect(""C""&amp;row())),3)=0),""Best of 3"",
AND(C46=""3x3 FMC"",MOD(COUNT"&amp;"IF($C$7:indirect(""C""&amp;row()),indirect(""C""&amp;row())),3)=2,
COUNTIF($C$7:$C$102,indirect(""C""&amp;row()))&lt;=COUNTIF($C$7:indirect(""C""&amp;row()),indirect(""C""&amp;row()))),""Best of 2"",
AND(C46=""3x3 FMC"",MOD(COUNTIF($C$7:indirect(""C""&amp;row()),indirect(""C""&amp;row("&amp;"))),3)=2,
COUNTIF($C$7:$C$102,indirect(""C""&amp;row()))&gt;COUNTIF($C$7:indirect(""C""&amp;row()),indirect(""C""&amp;row()))),""Mean of 3"",
AND(C46=""3x3 MBLD"",MOD(COUNTIF($C$7:indirect(""C""&amp;row()),indirect(""C""&amp;row())),3)=2,
COUNTIF($C$7:$C$102,indirect(""C""&amp;row("&amp;")))&lt;=COUNTIF($C$7:indirect(""C""&amp;row()),indirect(""C""&amp;row()))),""Best of 2"",
AND(C46=""3x3 MBLD"",MOD(COUNTIF($C$7:indirect(""C""&amp;row()),indirect(""C""&amp;row())),3)=2,
COUNTIF($C$7:$C$102,indirect(""C""&amp;row()))&gt;COUNTIF($C$7:indirect(""C""&amp;row()),indirect("&amp;"""C""&amp;row()))),""Best of 3"",
AND(C46=""3x3 FMC"",MOD(COUNTIF($C$7:indirect(""C""&amp;row()),indirect(""C""&amp;row())),3)=1,
COUNTIF($C$7:$C$102,indirect(""C""&amp;row()))&lt;=COUNTIF($C$7:indirect(""C""&amp;row()),indirect(""C""&amp;row()))),""Best of 1"",
AND(C46=""3x3 FMC"""&amp;",MOD(COUNTIF($C$7:indirect(""C""&amp;row()),indirect(""C""&amp;row())),3)=1,
COUNTIF($C$7:$C$102,indirect(""C""&amp;row()))=COUNTIF($C$7:indirect(""C""&amp;row()),indirect(""C""&amp;row()))+1),""Best of 2"",
AND(C46=""3x3 FMC"",MOD(COUNTIF($C$7:indirect(""C""&amp;row()),indirect"&amp;"(""C""&amp;row())),3)=1,
COUNTIF($C$7:$C$102,indirect(""C""&amp;row()))&gt;COUNTIF($C$7:indirect(""C""&amp;row()),indirect(""C""&amp;row()))),""Mean of 3"",
AND(C46=""3x3 MBLD"",MOD(COUNTIF($C$7:indirect(""C""&amp;row()),indirect(""C""&amp;row())),3)=1,
COUNTIF($C$7:$C$102,indirect"&amp;"(""C""&amp;row()))&lt;=COUNTIF($C$7:indirect(""C""&amp;row()),indirect(""C""&amp;row()))),""Best of 1"",
AND(C46=""3x3 MBLD"",MOD(COUNTIF($C$7:indirect(""C""&amp;row()),indirect(""C""&amp;row())),3)=1,
COUNTIF($C$7:$C$102,indirect(""C""&amp;row()))=COUNTIF($C$7:indirect(""C""&amp;row()"&amp;"),indirect(""C""&amp;row()))+1),""Best of 2"",
AND(C46=""3x3 MBLD"",MOD(COUNTIF($C$7:indirect(""C""&amp;row()),indirect(""C""&amp;row())),3)=1,
COUNTIF($C$7:$C$102,indirect(""C""&amp;row()))&gt;COUNTIF($C$7:indirect(""C""&amp;row()),indirect(""C""&amp;row()))),""Best of 3"",
TRUE,("&amp;"IFERROR(FILTER(Info!$D$2:D81, Info!$A$2:A81 = C46), """")))"),"")</f>
        <v/>
      </c>
      <c r="G46" s="40" t="str">
        <f>IFERROR(__xludf.DUMMYFUNCTION("IFS(OR(COUNTIF(Info!$A$22:A81,C46)&gt;0,C46=""""),"""",
OR(""3x3 MBLD""=C46,""3x3 FMC""=C46),60,
AND(E46=1,FILTER(Info!$F$2:F81, Info!$A$2:A81 = C46) = ""No""),FILTER(Info!$P$2:P81, Info!$A$2:A81 = C46),
AND(E46=2,FILTER(Info!$F$2:F81, Info!$A$2:A81 = C46) ="&amp;" ""No""),FILTER(Info!$Q$2:Q81, Info!$A$2:A81 = C46),
AND(E46=3,FILTER(Info!$F$2:F81, Info!$A$2:A81 = C46) = ""No""),FILTER(Info!$R$2:R81, Info!$A$2:A81 = C46),
AND(E46=""Final"",FILTER(Info!$F$2:F81, Info!$A$2:A81 = C46) = ""No""),FILTER(Info!$S$2:S81, In"&amp;"fo!$A$2:A81 = C46),
FILTER(Info!$F$2:F81, Info!$A$2:A81 = C46) = ""Yes"","""")"),"")</f>
        <v/>
      </c>
      <c r="H46" s="40" t="str">
        <f>IFERROR(__xludf.DUMMYFUNCTION("IFS(OR(COUNTIF(Info!$A$22:A81,C46)&gt;0,C46=""""),"""",
OR(""3x3 MBLD""=C46,""3x3 FMC""=C46)=TRUE,"""",
FILTER(Info!$F$2:F81, Info!$A$2:A81 = C46) = ""Yes"",FILTER(Info!$O$2:O81, Info!$A$2:A81 = C46),
FILTER(Info!$F$2:F81, Info!$A$2:A81 = C46) = ""No"",IF(G4"&amp;"6="""",FILTER(Info!$O$2:O81, Info!$A$2:A81 = C46),""""))"),"")</f>
        <v/>
      </c>
      <c r="I46" s="40" t="str">
        <f>IFERROR(__xludf.DUMMYFUNCTION("IFS(OR(COUNTIF(Info!$A$22:A81,C46)&gt;0,C46="""",H46&lt;&gt;""""),"""",
AND(E46&lt;&gt;1,E46&lt;&gt;""R1 - A1"",E46&lt;&gt;""R1 - A2"",E46&lt;&gt;""R1 - A3""),"""",
FILTER(Info!$E$2:E81, Info!$A$2:A81 = C46) = ""Yes"",IF(H46="""",FILTER(Info!$L$2:L81, Info!$A$2:A81 = C46),""""),
FILTER(I"&amp;"nfo!$E$2:E81, Info!$A$2:A81 = C46) = ""No"","""")"),"")</f>
        <v/>
      </c>
      <c r="J46" s="40" t="str">
        <f>IFERROR(__xludf.DUMMYFUNCTION("IFS(OR(COUNTIF(Info!$A$22:A81,C46)&gt;0,C46="""",""3x3 MBLD""=C46,""3x3 FMC""=C46),"""",
AND(E46=1,FILTER(Info!$H$2:H81,Info!$A$2:A81 = C46)&lt;=FILTER(Info!$H$2:H81,Info!$A$2:A81=$K$2)),
ROUNDUP((FILTER(Info!$H$2:H81,Info!$A$2:A81 = C46)/FILTER(Info!$H$2:H81,I"&amp;"nfo!$A$2:A81=$K$2))*$I$2),
AND(E46=1,FILTER(Info!$H$2:H81,Info!$A$2:A81 = C46)&gt;FILTER(Info!$H$2:H81,Info!$A$2:A81=$K$2)),""K2 - Error"",
AND(E46=2,FILTER($J$7:indirect(""J""&amp;row()-1),$C$7:indirect(""C""&amp;row()-1)=C46)&lt;=7),""J - Error"",
E46=2,FLOOR(FILTER("&amp;"$J$7:indirect(""J""&amp;row()-1),$C$7:indirect(""C""&amp;row()-1)=C46)*Info!$T$32),
AND(E46=3,FILTER($J$7:indirect(""J""&amp;row()-1),$C$7:indirect(""C""&amp;row()-1)=C46)&lt;=15),""J - Error"",
E46=3,FLOOR(Info!$T$32*FLOOR(FILTER($J$7:indirect(""J""&amp;row()-1),$C$7:indirect("&amp;"""C""&amp;row()-1)=C46)*Info!$T$32)),
AND(E46=""Final"",COUNTIF($C$7:$C$102,C46)=2,FILTER($J$7:indirect(""J""&amp;row()-1),$C$7:indirect(""C""&amp;row()-1)=C46)&lt;=7),""J - Error"",
AND(E46=""Final"",COUNTIF($C$7:$C$102,C46)=2),
MIN(P46,FLOOR(FILTER($J$7:indirect(""J"""&amp;"&amp;row()-1),$C$7:indirect(""C""&amp;row()-1)=C46)*Info!$T$32)),
AND(E46=""Final"",COUNTIF($C$7:$C$102,C46)=3,FILTER($J$7:indirect(""J""&amp;row()-1),$C$7:indirect(""C""&amp;row()-1)=C46)&lt;=15),""J - Error"",
AND(E46=""Final"",COUNTIF($C$7:$C$102,C46)=3),
MIN(P46,FLOOR(I"&amp;"nfo!$T$32*FLOOR(FILTER($J$7:indirect(""J""&amp;row()-1),$C$7:indirect(""C""&amp;row()-1)=C46)*Info!$T$32))),
AND(E46=""Final"",COUNTIF($C$7:$C$102,C46)&gt;=4,FILTER($J$7:indirect(""J""&amp;row()-1),$C$7:indirect(""C""&amp;row()-1)=C46)&lt;=99),""J - Error"",
AND(E46=""Final"","&amp;"COUNTIF($C$7:$C$102,C46)&gt;=4),
MIN(P46,FLOOR(Info!$T$32*FLOOR(Info!$T$32*FLOOR(FILTER($J$7:indirect(""J""&amp;row()-1),$C$7:indirect(""C""&amp;row()-1)=C46)*Info!$T$32)))))"),"")</f>
        <v/>
      </c>
      <c r="K46" s="41" t="str">
        <f>IFERROR(__xludf.DUMMYFUNCTION("IFS(AND(indirect(""D""&amp;row()+2)&lt;&gt;$E$2,indirect(""D""&amp;row()+1)=""""),CONCATENATE(""Tom rad! Kopiera hela rad ""&amp;row()&amp;"" dit""),
AND(indirect(""D""&amp;row()-1)&lt;&gt;""Rum"",indirect(""D""&amp;row()-1)=""""),CONCATENATE(""Tom rad! Kopiera hela rad ""&amp;row()&amp;"" dit""),
"&amp;"C46="""","""",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OR(AND(D46&lt;&gt;$E$2,D46&lt;&gt;$E$4,D46&lt;&gt;$K$4,D46&lt;&gt;$Q$4),D46="&amp;"""""),CONCATENATE(""Rum: ""&amp;D46&amp;"" finns ej, byt i D""&amp;row()),
AND(indirect(""D""&amp;row()-1)=""Rum"",C46=""""),CONCATENATE(""För att börja: skriv i cell C""&amp;row()),
AND(C46=""Paus"",M46&lt;=0),CONCATENATE(""Skriv pausens längd i M""&amp;row()),
OR(COUNTIF(Info!$A$"&amp;"22:A81,C46)&gt;0,C46=""""),"""",
AND(D46&lt;&gt;$E$2,$O$2=""Yes"",A46=""=time(hh;mm;ss)""),CONCATENATE(""Skriv starttid för ""&amp;C46&amp;"" i A""&amp;row()),
E46=""E - Error"",CONCATENATE(""För många ""&amp;C46&amp;"" rundor!""),
AND(C46&lt;&gt;""3x3 FMC"",C46&lt;&gt;""3x3 MBLD"",E46&lt;&gt;1,E46&lt;&gt;"&amp;"""Final"",IFERROR(FILTER($E$7:indirect(""E""&amp;row()-1),
$E$7:indirect(""E""&amp;row()-1)=E46-1,$C$7:indirect(""C""&amp;row()-1)=C46))=FALSE),CONCATENATE(""Kan ej vara R""&amp;E46&amp;"", saknar R""&amp;(E46-1)),
AND(indirect(""E""&amp;row()-1)&lt;&gt;""Omgång"",IFERROR(FILTER($E$7:indi"&amp;"rect(""E""&amp;row()-1),
$E$7:indirect(""E""&amp;row()-1)=E46,$C$7:indirect(""C""&amp;row()-1)=C46)=E46)=TRUE),CONCATENATE(""Runda ""&amp;E46&amp;"" i ""&amp;C46&amp;"" finns redan""),
AND(C46&lt;&gt;""3x3 BLD"",C46&lt;&gt;""4x4 BLD"",C46&lt;&gt;""5x5 BLD"",C46&lt;&gt;""4x4 / 5x5 BLD"",OR(E46=2,E46=3,E46="&amp;"""Final""),H46&lt;&gt;""""),CONCATENATE(E46&amp;""-rundor brukar ej ha c.t.l.""),
AND(OR(E46=2,E46=3,E46=""Final""),I46&lt;&gt;""""),CONCATENATE(E46&amp;""-rundor brukar ej ha cutoff""),
AND(OR(C46=""3x3 FMC"",C46=""3x3 MBLD""),OR(E46=1,E46=2,E46=3,E46=""Final"")),CONCATENAT"&amp;"E(C46&amp;""s omgång är Rx - Ax""),
AND(C46&lt;&gt;""3x3 MBLD"",C46&lt;&gt;""3x3 FMC"",FILTER(Info!$D$2:D81, Info!$A$2:A81 = C46)&lt;&gt;F46),CONCATENATE(C46&amp;"" måste ha formatet ""&amp;FILTER(Info!$D$2:D81, Info!$A$2:A81 = C46)),
AND(C46=""3x3 MBLD"",OR(F46=""Avg of 5"",F46=""Mea"&amp;"n of 3"")),CONCATENATE(""Ogiltigt format för ""&amp;C46),
AND(C46=""3x3 FMC"",OR(F46=""Avg of 5"",F46=""Best of 3"")),CONCATENATE(""Ogiltigt format för ""&amp;C46),
AND(OR(F46=""Best of 1"",F46=""Best of 2"",F46=""Best of 3""),I46&lt;&gt;""""),CONCATENATE(F46&amp;""-rundor"&amp;" får ej ha cutoff""),
AND(OR(C46=""3x3 FMC"",C46=""3x3 MBLD""),G46&lt;&gt;60),CONCATENATE(C46&amp;"" måste ha time limit: 60""),
AND(OR(C46=""3x3 FMC"",C46=""3x3 MBLD""),H46&lt;&gt;""""),CONCATENATE(C46&amp;"" kan inte ha c.t.l.""),
AND(G46&lt;&gt;"""",H46&lt;&gt;""""),""Välj time limit"&amp;" ELLER c.t.l"",
AND(C46=""6x6 / 7x7"",G46="""",H46=""""),""Sätt time limit (x / y) eller c.t.l (z)"",
AND(G46="""",H46=""""),""Sätt en time limit eller c.t.l"",
AND(OR(C46=""6x6 / 7x7"",C46=""4x4 / 5x5 BLD""),G46&lt;&gt;"""",REGEXMATCH(TO_TEXT(G46),"" / "")=FAL"&amp;"SE),CONCATENATE(""Time limit måste vara x / y""),
AND(H46&lt;&gt;"""",I46&lt;&gt;""""),CONCATENATE(C46&amp;"" brukar ej ha cutoff OCH c.t.l""),
AND(E46=1,H46="""",I46="""",OR(FILTER(Info!$E$2:E81, Info!$A$2:A81 = C46) = ""Yes"",FILTER(Info!$F$2:F81, Info!$A$2:A81 = C46) "&amp;"= ""Yes""),OR(F46=""Avg of 5"",F46=""Mean of 3"")),CONCATENATE(C46&amp;"" bör ha cutoff eller c.t.l""),
AND(C46=""6x6 / 7x7"",I46&lt;&gt;"""",REGEXMATCH(TO_TEXT(I46),"" / "")=FALSE),CONCATENATE(""Cutoff måste vara x / y""),
AND(H46&lt;&gt;"""",ISNUMBER(H46)=FALSE),""C.t."&amp;"l. måste vara positivt tal (x)"",
AND(C46&lt;&gt;""6x6 / 7x7"",I46&lt;&gt;"""",ISNUMBER(I46)=FALSE),""Cutoff måste vara positivt tal (x)"",
AND(H46&lt;&gt;"""",FILTER(Info!$E$2:E81, Info!$A$2:A81 = C46) = ""No"",FILTER(Info!$F$2:F81, Info!$A$2:A81 = C46) = ""No""),CONCATEN"&amp;"ATE(C46&amp;"" brukar inte ha c.t.l.""),
AND(I46&lt;&gt;"""",FILTER(Info!$E$2:E81, Info!$A$2:A81 = C46) = ""No"",FILTER(Info!$F$2:F81, Info!$A$2:A81 = C46) = ""No""),CONCATENATE(C46&amp;"" brukar inte ha cutoff""),
AND(H46="""",FILTER(Info!$F$2:F81, Info!$A$2:A81 = C46"&amp;") = ""Yes""),CONCATENATE(C46&amp;"" brukar ha c.t.l.""),
AND(C46&lt;&gt;""6x6 / 7x7"",C46&lt;&gt;""4x4 / 5x5 BLD"",G46&lt;&gt;"""",ISNUMBER(G46)=FALSE),""Time limit måste vara positivt tal (x)"",
J46=""J - Error"",CONCATENATE(""För få deltagare i R1 för ""&amp;COUNTIF($C$7:$C$102,"&amp;"indirect(""C""&amp;row()))&amp;"" rundor""),
J46=""K2 - Error"",CONCATENATE(C46&amp;"" är mer populär - byt i K2!""),
AND(C46&lt;&gt;""6x6 / 7x7"",C46&lt;&gt;""4x4 / 5x5 BLD"",G46&lt;&gt;"""",I46&lt;&gt;"""",G46&lt;=I46),""Time limit måste vara &gt; cutoff"",
AND(C46&lt;&gt;""6x6 / 7x7"",C46&lt;&gt;""4x4 / 5"&amp;"x5 BLD"",H46&lt;&gt;"""",I46&lt;&gt;"""",H46&lt;=I46),""C.t.l. måste vara &gt; cutoff"",
AND(C46&lt;&gt;""3x3 FMC"",C46&lt;&gt;""3x3 MBLD"",J46=""""),CONCATENATE(""Fyll i antal deltagare i J""&amp;row()),
AND(C46="""",OR(E46&lt;&gt;"""",F46&lt;&gt;"""",G46&lt;&gt;"""",H46&lt;&gt;"""",I46&lt;&gt;"""",J46&lt;&gt;"""")),""Skri"&amp;"v ALLTID gren / aktivitet först"",
AND(I46="""",H46="""",J46&lt;&gt;""""),J46,
OR(""3x3 FMC""=C46,""3x3 MBLD""=C46),J46,
AND(I46&lt;&gt;"""",""6x6 / 7x7""=C46),
IFS(ArrayFormula(SUM(IFERROR(SPLIT(I46,"" / ""))))&lt;(Info!$J$6+Info!$J$7)*2/3,CONCATENATE(""Höj helst cutof"&amp;"fs i ""&amp;C46),
ArrayFormula(SUM(IFERROR(SPLIT(I46,"" / ""))))&lt;=(Info!$J$6+Info!$J$7),ROUNDUP(J46*Info!$J$22),
ArrayFormula(SUM(IFERROR(SPLIT(I46,"" / ""))))&lt;=Info!$J$6+Info!$J$7,ROUNDUP(J46*Info!$K$22),
ArrayFormula(SUM(IFERROR(SPLIT(I46,"" / ""))))&lt;=Info!"&amp;"$K$6+Info!$K$7,ROUNDUP(J46*Info!L$22),
ArrayFormula(SUM(IFERROR(SPLIT(I46,"" / ""))))&lt;=Info!$L$6+Info!$L$7,ROUNDUP(J46*Info!$M$22),
ArrayFormula(SUM(IFERROR(SPLIT(I46,"" / ""))))&lt;=Info!$M$6+Info!$M$7,ROUNDUP(J46*Info!$N$22),
ArrayFormula(SUM(IFERROR(SPLIT"&amp;"(I46,"" / ""))))&lt;=(Info!$N$6+Info!$N$7)*3/2,ROUNDUP(J46*Info!$J$26),
ArrayFormula(SUM(IFERROR(SPLIT(I46,"" / ""))))&gt;(Info!$N$6+Info!$N$7)*3/2,CONCATENATE(""Sänk helst cutoffs i ""&amp;C46)),
AND(I46&lt;&gt;"""",FILTER(Info!$E$2:E81, Info!$A$2:A81 = C46) = ""Yes""),"&amp;"
IFS(I46&lt;FILTER(Info!$J$2:J81, Info!$A$2:A81 = C46)*2/3,CONCATENATE(""Höj helst cutoff i ""&amp;C46),
I46&lt;=FILTER(Info!$J$2:J81, Info!$A$2:A81 = C46),ROUNDUP(J46*Info!$J$22),
I46&lt;=FILTER(Info!$K$2:K81, Info!$A$2:A81 = C46),ROUNDUP(J46*Info!$K$22),
I46&lt;=FILTER"&amp;"(Info!$L$2:L81, Info!$A$2:A81 = C46),ROUNDUP(J46*Info!L$22),
I46&lt;=FILTER(Info!$M$2:M81, Info!$A$2:A81 = C46),ROUNDUP(J46*Info!$M$22),
I46&lt;=FILTER(Info!$N$2:N81, Info!$A$2:A81 = C46),ROUNDUP(J46*Info!$N$22),
I46&lt;=FILTER(Info!$N$2:N81, Info!$A$2:A81 = C46)*"&amp;"3/2,ROUNDUP(J46*Info!$J$26),
I46&gt;FILTER(Info!$N$2:N81, Info!$A$2:A81 = C46)*3/2,CONCATENATE(""Sänk helst cutoff i ""&amp;C46)),
AND(H46&lt;&gt;"""",""6x6 / 7x7""=C46),
IFS(H46/3&lt;=(Info!$J$6+Info!$J$7)*2/3,""Höj helst cumulative time limit"",
H46/3&lt;=Info!$J$6+Info!$"&amp;"J$7,ROUNDUP(J46*Info!$J$24),
H46/3&lt;=Info!$K$6+Info!$K$7,ROUNDUP(J46*Info!$K$24),
H46/3&lt;=Info!$L$6+Info!$L$7,ROUNDUP(J46*Info!L$24),
H46/3&lt;=Info!$M$6+Info!$M$7,ROUNDUP(J46*Info!$M$24),
H46/3&lt;=Info!$N$6+Info!$N$7,ROUNDUP(J46*Info!$N$24),
H46/3&lt;=(Info!$N$6+I"&amp;"nfo!$N$7)*3/2,ROUNDUP(J46*Info!$L$26),
H46/3&gt;(Info!$J$6+Info!$J$7)*3/2,""Sänk helst cumulative time limit""),
AND(H46&lt;&gt;"""",FILTER(Info!$F$2:F81, Info!$A$2:A81 = C46) = ""Yes""),
IFS(H46&lt;=FILTER(Info!$J$2:J81, Info!$A$2:A81 = C46)*2/3,CONCATENATE(""Höj he"&amp;"lst c.t.l. i ""&amp;C46),
H46&lt;=FILTER(Info!$J$2:J81, Info!$A$2:A81 = C46),ROUNDUP(J46*Info!$J$24),
H46&lt;=FILTER(Info!$K$2:K81, Info!$A$2:A81 = C46),ROUNDUP(J46*Info!$K$24),
H46&lt;=FILTER(Info!$L$2:L81, Info!$A$2:A81 = C46),ROUNDUP(J46*Info!L$24),
H46&lt;=FILTER(Inf"&amp;"o!$M$2:M81, Info!$A$2:A81 = C46),ROUNDUP(J46*Info!$M$24),
H46&lt;=FILTER(Info!$N$2:N81, Info!$A$2:A81 = C46),ROUNDUP(J46*Info!$N$24),
H46&lt;=FILTER(Info!$N$2:N81, Info!$A$2:A81 = C46)*3/2,ROUNDUP(J46*Info!$L$26),
H46&gt;FILTER(Info!$N$2:N81, Info!$A$2:A81 = C46)*"&amp;"3/2,CONCATENATE(""Sänk helst c.t.l. i ""&amp;C46)),
AND(H46&lt;&gt;"""",FILTER(Info!$F$2:F81, Info!$A$2:A81 = C46) = ""No""),
IFS(H46/AA46&lt;=FILTER(Info!$J$2:J81, Info!$A$2:A81 = C46)*2/3,CONCATENATE(""Höj helst c.t.l. i ""&amp;C46),
H46/AA46&lt;=FILTER(Info!$J$2:J81, Info"&amp;"!$A$2:A81 = C46),ROUNDUP(J46*Info!$J$24),
H46/AA46&lt;=FILTER(Info!$K$2:K81, Info!$A$2:A81 = C46),ROUNDUP(J46*Info!$K$24),
H46/AA46&lt;=FILTER(Info!$L$2:L81, Info!$A$2:A81 = C46),ROUNDUP(J46*Info!L$24),
H46/AA46&lt;=FILTER(Info!$M$2:M81, Info!$A$2:A81 = C46),ROUND"&amp;"UP(J46*Info!$M$24),
H46/AA46&lt;=FILTER(Info!$N$2:N81, Info!$A$2:A81 = C46),ROUNDUP(J46*Info!$N$24),
H46/AA46&lt;=FILTER(Info!$N$2:N81, Info!$A$2:A81 = C46)*3/2,ROUNDUP(J46*Info!$L$26),
H46/AA46&gt;FILTER(Info!$N$2:N81, Info!$A$2:A81 = C46)*3/2,CONCATENATE(""Sänk "&amp;"helst c.t.l. i ""&amp;C46)),
AND(I46="""",H46&lt;&gt;"""",J46&lt;&gt;""""),ROUNDUP(J46*Info!$T$29),
AND(I46&lt;&gt;"""",H46="""",J46&lt;&gt;""""),ROUNDUP(J46*Info!$T$26))"),"")</f>
        <v/>
      </c>
      <c r="L46" s="42">
        <f>IFERROR(__xludf.DUMMYFUNCTION("IFS(C46="""",0,
C46=""3x3 FMC"",Info!$B$9*N46+M46, C46=""3x3 MBLD"",Info!$B$18*N46+M46,
COUNTIF(Info!$A$22:A81,C46)&gt;0,FILTER(Info!$B$22:B81,Info!$A$22:A81=C46)+M46,
AND(C46&lt;&gt;"""",E46=""""),CONCATENATE(""Fyll i E""&amp;row()),
AND(C46&lt;&gt;"""",E46&lt;&gt;"""",E46&lt;&gt;1,E4"&amp;"6&lt;&gt;2,E46&lt;&gt;3,E46&lt;&gt;""Final""),CONCATENATE(""Fel format på E""&amp;row()),
K46=CONCATENATE(""Runda ""&amp;E46&amp;"" i ""&amp;C46&amp;"" finns redan""),CONCATENATE(""Fel i E""&amp;row()),
AND(C46&lt;&gt;"""",F46=""""),CONCATENATE(""Fyll i F""&amp;row()),
K46=CONCATENATE(C46&amp;"" måste ha forma"&amp;"tet ""&amp;FILTER(Info!$D$2:D81, Info!$A$2:A81 = C46)),CONCATENATE(""Fel format på F""&amp;row()),
AND(C46&lt;&gt;"""",D46=1,H46="""",FILTER(Info!$F$2:F81, Info!$A$2:A81 = C46) = ""Yes""),CONCATENATE(""Fyll i H""&amp;row()),
AND(C46&lt;&gt;"""",D46=1,I46="""",FILTER(Info!$E$2:E8"&amp;"1, Info!$A$2:A81 = C46) = ""Yes""),CONCATENATE(""Fyll i I""&amp;row()),
AND(C46&lt;&gt;"""",J46=""""),CONCATENATE(""Fyll i J""&amp;row()),
AND(C46&lt;&gt;"""",K46="""",OR(H46&lt;&gt;"""",I46&lt;&gt;"""")),CONCATENATE(""Fyll i K""&amp;row()),
AND(C46&lt;&gt;"""",K46=""""),CONCATENATE(""Skriv samma"&amp;" i K""&amp;row()&amp;"" som i J""&amp;row()),
AND(OR(C46=""4x4 BLD"",C46=""5x5 BLD"",C46=""4x4 / 5x5 BLD"")=TRUE,V46&lt;=P46),
MROUND(H46*(Info!$T$20-((Info!$T$20-1)/2)*(1-V46/P46))*(1+((J46/K46)-1)*(1-Info!$J$24))*N46+(Info!$T$11/2)+(N46*Info!$T$11)+(N46*Info!$T$14*(O4"&amp;"6-1)),0.01)+M46,
AND(OR(C46=""4x4 BLD"",C46=""5x5 BLD"",C46=""4x4 / 5x5 BLD"")=TRUE,V46&gt;P46),
MROUND((((J46*Z46+K46*(AA46-Z46))*(H46*Info!$T$20/AA46))/X46)*(1+((J46/K46)-1)*(1-Info!$J$24))*(1+(X46-Info!$T$8)/100)+(Info!$T$11/2)+(N46*Info!$T$11)+(N46*Info!"&amp;"$T$14*(O46-1)),0.01)+M46,
AND(C46=""3x3 BLD"",V46&lt;=P46),
MROUND(H46*(Info!$T$23-((Info!$T$23-1)/2)*(1-V46/P46))*(1+((J46/K46)-1)*(1-Info!$J$24))*N46+(Info!$T$11/2)+(N46*Info!$T$11)+(N46*Info!$T$14*(O46-1)),0.01)+M46,
AND(C46=""3x3 BLD"",V46&gt;P46),
MROUND(("&amp;"((J46*Z46+K46*(AA46-Z46))*(H46*Info!$T$23/AA46))/X46)*(1+((J46/K46)-1)*(1-Info!$J$24))*(1+(X46-Info!$T$8)/100)+(Info!$T$11/2)+(N46*Info!$T$11)+(N46*Info!$T$14*(O46-1)),0.01)+M46,
E46=1,MROUND((((J46*Z46+K46*(AA46-Z46))*Y46)/X46)*(1+(X46-Info!$T$8)/100)+(N"&amp;"46*Info!$T$11)+(N46*Info!$T$14*(O46-1)),0.01)+M46,
AND(E46=""Final"",N46=1,FILTER(Info!$G$2:$G$20,Info!$A$2:$A$20=C46)=""Mycket svår""),
MROUND((((J46*Z46+K46*(AA46-Z46))*(Y46*Info!$T$38))/X46)*(1+(X46-Info!$T$8)/100)+(N46*Info!$T$11)+(N46*Info!$T$14*(O46"&amp;"-1)),0.01)+M46,
AND(E46=""Final"",N46=1,FILTER(Info!$G$2:$G$20,Info!$A$2:$A$20=C46)=""Svår""),
MROUND((((J46*Z46+K46*(AA46-Z46))*(Y46*Info!$T$35))/X46)*(1+(X46-Info!$T$8)/100)+(N46*Info!$T$11)+(N46*Info!$T$14*(O46-1)),0.01)+M46,
E46=""Final"",MROUND((((J4"&amp;"6*Z46+K46*(AA46-Z46))*(Y46*Info!$T$5))/X46)*(1+(X46-Info!$T$8)/100)+(N46*Info!$T$11)+(N46*Info!$T$14*(O46-1)),0.01)+M46,
OR(E46=2,E46=3),MROUND((((J46*Z46+K46*(AA46-Z46))*(Y46*Info!$T$2))/X46)*(1+(X46-Info!$T$8)/100)+(N46*Info!$T$11)+(N46*Info!$T$14*(O46-"&amp;"1)),0.01)+M46)"),0.0)</f>
        <v>0</v>
      </c>
      <c r="M46" s="43">
        <f t="shared" si="4"/>
        <v>0</v>
      </c>
      <c r="N46" s="43" t="str">
        <f>IFS(OR(COUNTIF(Info!$A$22:A81,C46)&gt;0,C46=""),"",
OR(C46="4x4 BLD",C46="5x5 BLD",C46="3x3 MBLD",C46="3x3 FMC",C46="4x4 / 5x5 BLD"),1,
AND(E46="Final",Q46="Yes",MAX(1,ROUNDUP(J46/P46))&gt;1),MAX(2,ROUNDUP(J46/P46)),
AND(E46="Final",Q46="No",MAX(1,ROUNDUP(J46/((P46*2)+2.625-Y46*1.5)))&gt;1),MAX(2,ROUNDUP(J46/((P46*2)+2.625-Y46*1.5))),
E46="Final",1,
Q46="Yes",MAX(2,ROUNDUP(J46/P46)),
TRUE,MAX(2,ROUNDUP(J46/((P46*2)+2.625-Y46*1.5))))</f>
        <v/>
      </c>
      <c r="O46" s="43" t="str">
        <f>IFS(OR(COUNTIF(Info!$A$22:A81,C46)&gt;0,C46=""),"",
OR("3x3 MBLD"=C46,"3x3 FMC"=C46)=TRUE,"",
D46=$E$4,$G$6,D46=$K$4,$M$6,D46=$Q$4,$S$6,D46=$W$4,$Y$6,
TRUE,$S$2)</f>
        <v/>
      </c>
      <c r="P46" s="43" t="str">
        <f>IFS(OR(COUNTIF(Info!$A$22:A81,C46)&gt;0,C46=""),"",
OR("3x3 MBLD"=C46,"3x3 FMC"=C46)=TRUE,"",
D46=$E$4,$E$6,D46=$K$4,$K$6,D46=$Q$4,$Q$6,D46=$W$4,$W$6,
TRUE,$Q$2)</f>
        <v/>
      </c>
      <c r="Q46" s="44" t="str">
        <f>IFS(OR(COUNTIF(Info!$A$22:A81,C46)&gt;0,C46=""),"",
OR("3x3 MBLD"=C46,"3x3 FMC"=C46)=TRUE,"",
D46=$E$4,$I$6,D46=$K$4,$O$6,D46=$Q$4,$U$6,D46=$W$4,$AA$6,
TRUE,$U$2)</f>
        <v/>
      </c>
      <c r="R46" s="45" t="str">
        <f>IFERROR(__xludf.DUMMYFUNCTION("IF(C46="""","""",IFERROR(FILTER(Info!$B$22:B81,Info!$A$22:A81=C46)+M46,""?""))"),"")</f>
        <v/>
      </c>
      <c r="S46" s="46" t="str">
        <f>IFS(OR(COUNTIF(Info!$A$22:A81,C46)&gt;0,C46=""),"",
AND(H46="",I46=""),J46,
TRUE,"?")</f>
        <v/>
      </c>
      <c r="T46" s="45" t="str">
        <f>IFS(OR(COUNTIF(Info!$A$22:A81,C46)&gt;0,C46=""),"",
AND(L46&lt;&gt;0,OR(R46="?",R46="")),"Fyll i R-kolumnen",
OR(C46="3x3 FMC",C46="3x3 MBLD"),R46,
AND(L46&lt;&gt;0,OR(S46="?",S46="")),"Fyll i S-kolumnen",
OR(COUNTIF(Info!$A$22:A81,C46)&gt;0,C46=""),"",
TRUE,Y46*R46/L46)</f>
        <v/>
      </c>
      <c r="U46" s="45"/>
      <c r="V46" s="47" t="str">
        <f>IFS(OR(COUNTIF(Info!$A$22:A81,C46)&gt;0,C46=""),"",
OR("3x3 MBLD"=C46,"3x3 FMC"=C46)=TRUE,"",
TRUE,MROUND((J46/N46),0.01))</f>
        <v/>
      </c>
      <c r="W46" s="48" t="str">
        <f>IFS(OR(COUNTIF(Info!$A$22:A81,C46)&gt;0,C46=""),"",
TRUE,L46/N46)</f>
        <v/>
      </c>
      <c r="X46" s="49" t="str">
        <f>IFS(OR(COUNTIF(Info!$A$22:A81,C46)&gt;0,C46=""),"",
OR("3x3 MBLD"=C46,"3x3 FMC"=C46)=TRUE,"",
OR(C46="4x4 BLD",C46="5x5 BLD",C46="4x4 / 5x5 BLD",AND(C46="3x3 BLD",H46&lt;&gt;""))=TRUE,MIN(V46,P46),
TRUE,MIN(P46,V46,MROUND(((V46*2/3)+((Y46-1.625)/2)),0.01)))</f>
        <v/>
      </c>
      <c r="Y46" s="48" t="str">
        <f>IFERROR(__xludf.DUMMYFUNCTION("IFS(OR(COUNTIF(Info!$A$22:A81,C46)&gt;0,C46=""""),"""",
FILTER(Info!$F$2:F81, Info!$A$2:A81 = C46) = ""Yes"",H46/AA46,
""3x3 FMC""=C46,Info!$B$9,""3x3 MBLD""=C46,Info!$B$18,
AND(E46=1,I46="""",H46="""",Q46=""No"",G46&gt;SUMIF(Info!$A$2:A81,C46,Info!$B$2:B81)*1."&amp;"5),
MIN(SUMIF(Info!$A$2:A81,C46,Info!$B$2:B81)*1.1,SUMIF(Info!$A$2:A81,C46,Info!$B$2:B81)*(1.15-(0.15*(SUMIF(Info!$A$2:A81,C46,Info!$B$2:B81)*1.5)/G46))),
AND(E46=1,I46="""",H46="""",Q46=""Yes"",G46&gt;SUMIF(Info!$A$2:A81,C46,Info!$C$2:C81)*1.5),
MIN(SUMIF(I"&amp;"nfo!$A$2:A81,C46,Info!$C$2:C81)*1.1,SUMIF(Info!$A$2:A81,C46,Info!$C$2:C81)*(1.15-(0.15*(SUMIF(Info!$A$2:A81,C46,Info!$C$2:C81)*1.5)/G46))),
Q46=""No"",SUMIF(Info!$A$2:A81,C46,Info!$B$2:B81),
Q46=""Yes"",SUMIF(Info!$A$2:A81,C46,Info!$C$2:C81))"),"")</f>
        <v/>
      </c>
      <c r="Z46" s="47" t="str">
        <f>IFS(OR(COUNTIF(Info!$A$22:A81,C46)&gt;0,C46=""),"",
AND(OR("3x3 FMC"=C46,"3x3 MBLD"=C46),I46&lt;&gt;""),1,
AND(OR(H46&lt;&gt;"",I46&lt;&gt;""),F46="Avg of 5"),2,
F46="Avg of 5",AA46,
AND(OR(H46&lt;&gt;"",I46&lt;&gt;""),F46="Mean of 3",C46="6x6 / 7x7"),2,
AND(OR(H46&lt;&gt;"",I46&lt;&gt;""),F46="Mean of 3"),1,
F46="Mean of 3",AA46,
AND(OR(H46&lt;&gt;"",I46&lt;&gt;""),F46="Best of 3",C46="4x4 / 5x5 BLD"),2,
AND(OR(H46&lt;&gt;"",I46&lt;&gt;""),F46="Best of 3"),1,
F46="Best of 2",AA46,
F46="Best of 1",AA46)</f>
        <v/>
      </c>
      <c r="AA46" s="47" t="str">
        <f>IFS(OR(COUNTIF(Info!$A$22:A81,C46)&gt;0,C46=""),"",
AND(OR("3x3 MBLD"=C46,"3x3 FMC"=C46),F46="Best of 1"=TRUE),1,
AND(OR("3x3 MBLD"=C46,"3x3 FMC"=C46),F46="Best of 2"=TRUE),2,
AND(OR("3x3 MBLD"=C46,"3x3 FMC"=C46),OR(F46="Best of 3",F46="Mean of 3")=TRUE),3,
AND(F46="Mean of 3",C46="6x6 / 7x7"),6,
AND(F46="Best of 3",C46="4x4 / 5x5 BLD"),6,
F46="Avg of 5",5,F46="Mean of 3",3,F46="Best of 3",3,F46="Best of 2",2,F46="Best of 1",1)</f>
        <v/>
      </c>
      <c r="AB46" s="50"/>
    </row>
    <row r="47" ht="15.75" customHeight="1">
      <c r="A47" s="35">
        <f>IFERROR(__xludf.DUMMYFUNCTION("IFS(indirect(""A""&amp;row()-1)=""Start"",TIME(indirect(""A""&amp;row()-2),indirect(""B""&amp;row()-2),0),
$O$2=""No"",TIME(0,($A$6*60+$B$6)+CEILING(SUM($L$7:indirect(""L""&amp;row()-1)),5),0),
D47=$E$2,TIME(0,($A$6*60+$B$6)+CEILING(SUM(IFERROR(FILTER($L$7:indirect(""L"""&amp;"&amp;row()-1),REGEXMATCH($D$7:indirect(""D""&amp;row()-1),$E$2)),0)),5),0),
TRUE,""=time(hh;mm;ss)"")"),0.375)</f>
        <v>0.375</v>
      </c>
      <c r="B47" s="36">
        <f>IFERROR(__xludf.DUMMYFUNCTION("IFS($O$2=""No"",TIME(0,($A$6*60+$B$6)+CEILING(SUM($L$7:indirect(""L""&amp;row())),5),0),
D47=$E$2,TIME(0,($A$6*60+$B$6)+CEILING(SUM(FILTER($L$7:indirect(""L""&amp;row()),REGEXMATCH($D$7:indirect(""D""&amp;row()),$E$2))),5),0),
A47=""=time(hh;mm;ss)"",CONCATENATE(""Sk"&amp;"riv tid i A""&amp;row()),
AND(A47&lt;&gt;"""",A47&lt;&gt;""=time(hh;mm;ss)""),A47+TIME(0,CEILING(indirect(""L""&amp;row()),5),0))"),0.375)</f>
        <v>0.375</v>
      </c>
      <c r="C47" s="37"/>
      <c r="D47" s="38" t="str">
        <f t="shared" si="3"/>
        <v>Stora salen</v>
      </c>
      <c r="E47" s="38" t="str">
        <f>IFERROR(__xludf.DUMMYFUNCTION("IFS(COUNTIF(Info!$A$22:A81,C47)&gt;0,"""",
AND(OR(""3x3 FMC""=C47,""3x3 MBLD""=C47),COUNTIF($C$7:indirect(""C""&amp;row()),indirect(""C""&amp;row()))&gt;=13),""E - Error"",
AND(OR(""3x3 FMC""=C47,""3x3 MBLD""=C47),COUNTIF($C$7:indirect(""C""&amp;row()),indirect(""C""&amp;row()"&amp;"))=12),""Final - A3"",
AND(OR(""3x3 FMC""=C47,""3x3 MBLD""=C47),COUNTIF($C$7:indirect(""C""&amp;row()),indirect(""C""&amp;row()))=11),""Final - A2"",
AND(OR(""3x3 FMC""=C47,""3x3 MBLD""=C47),COUNTIF($C$7:indirect(""C""&amp;row()),indirect(""C""&amp;row()))=10),""Final - "&amp;"A1"",
AND(OR(""3x3 FMC""=C47,""3x3 MBLD""=C47),COUNTIF($C$7:indirect(""C""&amp;row()),indirect(""C""&amp;row()))=9,
COUNTIF($C$7:$C$102,indirect(""C""&amp;row()))&gt;9),""R3 - A3"",
AND(OR(""3x3 FMC""=C47,""3x3 MBLD""=C47),COUNTIF($C$7:indirect(""C""&amp;row()),indirect(""C"&amp;"""&amp;row()))=9,
COUNTIF($C$7:$C$102,indirect(""C""&amp;row()))&lt;=9),""Final - A3"",
AND(OR(""3x3 FMC""=C47,""3x3 MBLD""=C47),COUNTIF($C$7:indirect(""C""&amp;row()),indirect(""C""&amp;row()))=8,
COUNTIF($C$7:$C$102,indirect(""C""&amp;row()))&gt;9),""R3 - A2"",
AND(OR(""3x3 FMC"&amp;"""=C47,""3x3 MBLD""=C47),COUNTIF($C$7:indirect(""C""&amp;row()),indirect(""C""&amp;row()))=8,
COUNTIF($C$7:$C$102,indirect(""C""&amp;row()))&lt;=9),""Final - A2"",
AND(OR(""3x3 FMC""=C47,""3x3 MBLD""=C47),COUNTIF($C$7:indirect(""C""&amp;row()),indirect(""C""&amp;row()))=7,
COUN"&amp;"TIF($C$7:$C$102,indirect(""C""&amp;row()))&gt;9),""R3 - A1"",
AND(OR(""3x3 FMC""=C47,""3x3 MBLD""=C47),COUNTIF($C$7:indirect(""C""&amp;row()),indirect(""C""&amp;row()))=7,
COUNTIF($C$7:$C$102,indirect(""C""&amp;row()))&lt;=9),""Final - A1"",
AND(OR(""3x3 FMC""=C47,""3x3 MBLD"""&amp;"=C47),COUNTIF($C$7:indirect(""C""&amp;row()),indirect(""C""&amp;row()))=6,
COUNTIF($C$7:$C$102,indirect(""C""&amp;row()))&gt;6),""R2 - A3"",
AND(OR(""3x3 FMC""=C47,""3x3 MBLD""=C47),COUNTIF($C$7:indirect(""C""&amp;row()),indirect(""C""&amp;row()))=6,
COUNTIF($C$7:$C$102,indirec"&amp;"t(""C""&amp;row()))&lt;=6),""Final - A3"",
AND(OR(""3x3 FMC""=C47,""3x3 MBLD""=C47),COUNTIF($C$7:indirect(""C""&amp;row()),indirect(""C""&amp;row()))=5,
COUNTIF($C$7:$C$102,indirect(""C""&amp;row()))&gt;6),""R2 - A2"",
AND(OR(""3x3 FMC""=C47,""3x3 MBLD""=C47),COUNTIF($C$7:indi"&amp;"rect(""C""&amp;row()),indirect(""C""&amp;row()))=5,
COUNTIF($C$7:$C$102,indirect(""C""&amp;row()))&lt;=6),""Final - A2"",
AND(OR(""3x3 FMC""=C47,""3x3 MBLD""=C47),COUNTIF($C$7:indirect(""C""&amp;row()),indirect(""C""&amp;row()))=4,
COUNTIF($C$7:$C$102,indirect(""C""&amp;row()))&gt;6),"&amp;"""R2 - A1"",
AND(OR(""3x3 FMC""=C47,""3x3 MBLD""=C47),COUNTIF($C$7:indirect(""C""&amp;row()),indirect(""C""&amp;row()))=4,
COUNTIF($C$7:$C$102,indirect(""C""&amp;row()))&lt;=6),""Final - A1"",
AND(OR(""3x3 FMC""=C47,""3x3 MBLD""=C47),COUNTIF($C$7:indirect(""C""&amp;row()),i"&amp;"ndirect(""C""&amp;row()))=3),""R1 - A3"",
AND(OR(""3x3 FMC""=C47,""3x3 MBLD""=C47),COUNTIF($C$7:indirect(""C""&amp;row()),indirect(""C""&amp;row()))=2),""R1 - A2"",
AND(OR(""3x3 FMC""=C47,""3x3 MBLD""=C47),COUNTIF($C$7:indirect(""C""&amp;row()),indirect(""C""&amp;row()))=1),"&amp;"""R1 -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C47),ROUNDUP((FILTER(Info!$H$2:H81,Info!$A$2:A81=C47)/FILTER(Info!$H$2:H81,Info!$A$2:A81=$K$2))*$I$2)&gt;99),3,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C47),ROUNDUP((FILTER(Info!$H$2:H81,Info!$A$2:A81=C47)/FILTER(Info!$H$2:H81,Info!$A$2:A81=$K$2))*$I$2)&gt;15),2,
AND(COUNTIF($C$7:indirect(""C""&amp;row()),indirect(""C""&amp;row()))=2,COUNTIF($C$7:$C$102,indirect(""C""&amp;row()))=COUNTIF($"&amp;"C$7:indirect(""C""&amp;row()),indirect(""C""&amp;row()))),""Final"",
COUNTIF($C$7:indirect(""C""&amp;row()),indirect(""C""&amp;row()))=1,1,
COUNTIF($C$7:indirect(""C""&amp;row()),indirect(""C""&amp;row()))=0,"""")"),"")</f>
        <v/>
      </c>
      <c r="F47" s="39" t="str">
        <f>IFERROR(__xludf.DUMMYFUNCTION("IFS(C47="""","""",
AND(C47=""3x3 FMC"",MOD(COUNTIF($C$7:indirect(""C""&amp;row()),indirect(""C""&amp;row())),3)=0),""Mean of 3"",
AND(C47=""3x3 MBLD"",MOD(COUNTIF($C$7:indirect(""C""&amp;row()),indirect(""C""&amp;row())),3)=0),""Best of 3"",
AND(C47=""3x3 FMC"",MOD(COUNT"&amp;"IF($C$7:indirect(""C""&amp;row()),indirect(""C""&amp;row())),3)=2,
COUNTIF($C$7:$C$102,indirect(""C""&amp;row()))&lt;=COUNTIF($C$7:indirect(""C""&amp;row()),indirect(""C""&amp;row()))),""Best of 2"",
AND(C47=""3x3 FMC"",MOD(COUNTIF($C$7:indirect(""C""&amp;row()),indirect(""C""&amp;row("&amp;"))),3)=2,
COUNTIF($C$7:$C$102,indirect(""C""&amp;row()))&gt;COUNTIF($C$7:indirect(""C""&amp;row()),indirect(""C""&amp;row()))),""Mean of 3"",
AND(C47=""3x3 MBLD"",MOD(COUNTIF($C$7:indirect(""C""&amp;row()),indirect(""C""&amp;row())),3)=2,
COUNTIF($C$7:$C$102,indirect(""C""&amp;row("&amp;")))&lt;=COUNTIF($C$7:indirect(""C""&amp;row()),indirect(""C""&amp;row()))),""Best of 2"",
AND(C47=""3x3 MBLD"",MOD(COUNTIF($C$7:indirect(""C""&amp;row()),indirect(""C""&amp;row())),3)=2,
COUNTIF($C$7:$C$102,indirect(""C""&amp;row()))&gt;COUNTIF($C$7:indirect(""C""&amp;row()),indirect("&amp;"""C""&amp;row()))),""Best of 3"",
AND(C47=""3x3 FMC"",MOD(COUNTIF($C$7:indirect(""C""&amp;row()),indirect(""C""&amp;row())),3)=1,
COUNTIF($C$7:$C$102,indirect(""C""&amp;row()))&lt;=COUNTIF($C$7:indirect(""C""&amp;row()),indirect(""C""&amp;row()))),""Best of 1"",
AND(C47=""3x3 FMC"""&amp;",MOD(COUNTIF($C$7:indirect(""C""&amp;row()),indirect(""C""&amp;row())),3)=1,
COUNTIF($C$7:$C$102,indirect(""C""&amp;row()))=COUNTIF($C$7:indirect(""C""&amp;row()),indirect(""C""&amp;row()))+1),""Best of 2"",
AND(C47=""3x3 FMC"",MOD(COUNTIF($C$7:indirect(""C""&amp;row()),indirect"&amp;"(""C""&amp;row())),3)=1,
COUNTIF($C$7:$C$102,indirect(""C""&amp;row()))&gt;COUNTIF($C$7:indirect(""C""&amp;row()),indirect(""C""&amp;row()))),""Mean of 3"",
AND(C47=""3x3 MBLD"",MOD(COUNTIF($C$7:indirect(""C""&amp;row()),indirect(""C""&amp;row())),3)=1,
COUNTIF($C$7:$C$102,indirect"&amp;"(""C""&amp;row()))&lt;=COUNTIF($C$7:indirect(""C""&amp;row()),indirect(""C""&amp;row()))),""Best of 1"",
AND(C47=""3x3 MBLD"",MOD(COUNTIF($C$7:indirect(""C""&amp;row()),indirect(""C""&amp;row())),3)=1,
COUNTIF($C$7:$C$102,indirect(""C""&amp;row()))=COUNTIF($C$7:indirect(""C""&amp;row()"&amp;"),indirect(""C""&amp;row()))+1),""Best of 2"",
AND(C47=""3x3 MBLD"",MOD(COUNTIF($C$7:indirect(""C""&amp;row()),indirect(""C""&amp;row())),3)=1,
COUNTIF($C$7:$C$102,indirect(""C""&amp;row()))&gt;COUNTIF($C$7:indirect(""C""&amp;row()),indirect(""C""&amp;row()))),""Best of 3"",
TRUE,("&amp;"IFERROR(FILTER(Info!$D$2:D81, Info!$A$2:A81 = C47), """")))"),"")</f>
        <v/>
      </c>
      <c r="G47" s="40" t="str">
        <f>IFERROR(__xludf.DUMMYFUNCTION("IFS(OR(COUNTIF(Info!$A$22:A81,C47)&gt;0,C47=""""),"""",
OR(""3x3 MBLD""=C47,""3x3 FMC""=C47),60,
AND(E47=1,FILTER(Info!$F$2:F81, Info!$A$2:A81 = C47) = ""No""),FILTER(Info!$P$2:P81, Info!$A$2:A81 = C47),
AND(E47=2,FILTER(Info!$F$2:F81, Info!$A$2:A81 = C47) ="&amp;" ""No""),FILTER(Info!$Q$2:Q81, Info!$A$2:A81 = C47),
AND(E47=3,FILTER(Info!$F$2:F81, Info!$A$2:A81 = C47) = ""No""),FILTER(Info!$R$2:R81, Info!$A$2:A81 = C47),
AND(E47=""Final"",FILTER(Info!$F$2:F81, Info!$A$2:A81 = C47) = ""No""),FILTER(Info!$S$2:S81, In"&amp;"fo!$A$2:A81 = C47),
FILTER(Info!$F$2:F81, Info!$A$2:A81 = C47) = ""Yes"","""")"),"")</f>
        <v/>
      </c>
      <c r="H47" s="40" t="str">
        <f>IFERROR(__xludf.DUMMYFUNCTION("IFS(OR(COUNTIF(Info!$A$22:A81,C47)&gt;0,C47=""""),"""",
OR(""3x3 MBLD""=C47,""3x3 FMC""=C47)=TRUE,"""",
FILTER(Info!$F$2:F81, Info!$A$2:A81 = C47) = ""Yes"",FILTER(Info!$O$2:O81, Info!$A$2:A81 = C47),
FILTER(Info!$F$2:F81, Info!$A$2:A81 = C47) = ""No"",IF(G4"&amp;"7="""",FILTER(Info!$O$2:O81, Info!$A$2:A81 = C47),""""))"),"")</f>
        <v/>
      </c>
      <c r="I47" s="40" t="str">
        <f>IFERROR(__xludf.DUMMYFUNCTION("IFS(OR(COUNTIF(Info!$A$22:A81,C47)&gt;0,C47="""",H47&lt;&gt;""""),"""",
AND(E47&lt;&gt;1,E47&lt;&gt;""R1 - A1"",E47&lt;&gt;""R1 - A2"",E47&lt;&gt;""R1 - A3""),"""",
FILTER(Info!$E$2:E81, Info!$A$2:A81 = C47) = ""Yes"",IF(H47="""",FILTER(Info!$L$2:L81, Info!$A$2:A81 = C47),""""),
FILTER(I"&amp;"nfo!$E$2:E81, Info!$A$2:A81 = C47) = ""No"","""")"),"")</f>
        <v/>
      </c>
      <c r="J47" s="40" t="str">
        <f>IFERROR(__xludf.DUMMYFUNCTION("IFS(OR(COUNTIF(Info!$A$22:A81,C47)&gt;0,C47="""",""3x3 MBLD""=C47,""3x3 FMC""=C47),"""",
AND(E47=1,FILTER(Info!$H$2:H81,Info!$A$2:A81 = C47)&lt;=FILTER(Info!$H$2:H81,Info!$A$2:A81=$K$2)),
ROUNDUP((FILTER(Info!$H$2:H81,Info!$A$2:A81 = C47)/FILTER(Info!$H$2:H81,I"&amp;"nfo!$A$2:A81=$K$2))*$I$2),
AND(E47=1,FILTER(Info!$H$2:H81,Info!$A$2:A81 = C47)&gt;FILTER(Info!$H$2:H81,Info!$A$2:A81=$K$2)),""K2 - Error"",
AND(E47=2,FILTER($J$7:indirect(""J""&amp;row()-1),$C$7:indirect(""C""&amp;row()-1)=C47)&lt;=7),""J - Error"",
E47=2,FLOOR(FILTER("&amp;"$J$7:indirect(""J""&amp;row()-1),$C$7:indirect(""C""&amp;row()-1)=C47)*Info!$T$32),
AND(E47=3,FILTER($J$7:indirect(""J""&amp;row()-1),$C$7:indirect(""C""&amp;row()-1)=C47)&lt;=15),""J - Error"",
E47=3,FLOOR(Info!$T$32*FLOOR(FILTER($J$7:indirect(""J""&amp;row()-1),$C$7:indirect("&amp;"""C""&amp;row()-1)=C47)*Info!$T$32)),
AND(E47=""Final"",COUNTIF($C$7:$C$102,C47)=2,FILTER($J$7:indirect(""J""&amp;row()-1),$C$7:indirect(""C""&amp;row()-1)=C47)&lt;=7),""J - Error"",
AND(E47=""Final"",COUNTIF($C$7:$C$102,C47)=2),
MIN(P47,FLOOR(FILTER($J$7:indirect(""J"""&amp;"&amp;row()-1),$C$7:indirect(""C""&amp;row()-1)=C47)*Info!$T$32)),
AND(E47=""Final"",COUNTIF($C$7:$C$102,C47)=3,FILTER($J$7:indirect(""J""&amp;row()-1),$C$7:indirect(""C""&amp;row()-1)=C47)&lt;=15),""J - Error"",
AND(E47=""Final"",COUNTIF($C$7:$C$102,C47)=3),
MIN(P47,FLOOR(I"&amp;"nfo!$T$32*FLOOR(FILTER($J$7:indirect(""J""&amp;row()-1),$C$7:indirect(""C""&amp;row()-1)=C47)*Info!$T$32))),
AND(E47=""Final"",COUNTIF($C$7:$C$102,C47)&gt;=4,FILTER($J$7:indirect(""J""&amp;row()-1),$C$7:indirect(""C""&amp;row()-1)=C47)&lt;=99),""J - Error"",
AND(E47=""Final"","&amp;"COUNTIF($C$7:$C$102,C47)&gt;=4),
MIN(P47,FLOOR(Info!$T$32*FLOOR(Info!$T$32*FLOOR(FILTER($J$7:indirect(""J""&amp;row()-1),$C$7:indirect(""C""&amp;row()-1)=C47)*Info!$T$32)))))"),"")</f>
        <v/>
      </c>
      <c r="K47" s="41" t="str">
        <f>IFERROR(__xludf.DUMMYFUNCTION("IFS(AND(indirect(""D""&amp;row()+2)&lt;&gt;$E$2,indirect(""D""&amp;row()+1)=""""),CONCATENATE(""Tom rad! Kopiera hela rad ""&amp;row()&amp;"" dit""),
AND(indirect(""D""&amp;row()-1)&lt;&gt;""Rum"",indirect(""D""&amp;row()-1)=""""),CONCATENATE(""Tom rad! Kopiera hela rad ""&amp;row()&amp;"" dit""),
"&amp;"C47="""","""",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OR(AND(D47&lt;&gt;$E$2,D47&lt;&gt;$E$4,D47&lt;&gt;$K$4,D47&lt;&gt;$Q$4),D47="&amp;"""""),CONCATENATE(""Rum: ""&amp;D47&amp;"" finns ej, byt i D""&amp;row()),
AND(indirect(""D""&amp;row()-1)=""Rum"",C47=""""),CONCATENATE(""För att börja: skriv i cell C""&amp;row()),
AND(C47=""Paus"",M47&lt;=0),CONCATENATE(""Skriv pausens längd i M""&amp;row()),
OR(COUNTIF(Info!$A$"&amp;"22:A81,C47)&gt;0,C47=""""),"""",
AND(D47&lt;&gt;$E$2,$O$2=""Yes"",A47=""=time(hh;mm;ss)""),CONCATENATE(""Skriv starttid för ""&amp;C47&amp;"" i A""&amp;row()),
E47=""E - Error"",CONCATENATE(""För många ""&amp;C47&amp;"" rundor!""),
AND(C47&lt;&gt;""3x3 FMC"",C47&lt;&gt;""3x3 MBLD"",E47&lt;&gt;1,E47&lt;&gt;"&amp;"""Final"",IFERROR(FILTER($E$7:indirect(""E""&amp;row()-1),
$E$7:indirect(""E""&amp;row()-1)=E47-1,$C$7:indirect(""C""&amp;row()-1)=C47))=FALSE),CONCATENATE(""Kan ej vara R""&amp;E47&amp;"", saknar R""&amp;(E47-1)),
AND(indirect(""E""&amp;row()-1)&lt;&gt;""Omgång"",IFERROR(FILTER($E$7:indi"&amp;"rect(""E""&amp;row()-1),
$E$7:indirect(""E""&amp;row()-1)=E47,$C$7:indirect(""C""&amp;row()-1)=C47)=E47)=TRUE),CONCATENATE(""Runda ""&amp;E47&amp;"" i ""&amp;C47&amp;"" finns redan""),
AND(C47&lt;&gt;""3x3 BLD"",C47&lt;&gt;""4x4 BLD"",C47&lt;&gt;""5x5 BLD"",C47&lt;&gt;""4x4 / 5x5 BLD"",OR(E47=2,E47=3,E47="&amp;"""Final""),H47&lt;&gt;""""),CONCATENATE(E47&amp;""-rundor brukar ej ha c.t.l.""),
AND(OR(E47=2,E47=3,E47=""Final""),I47&lt;&gt;""""),CONCATENATE(E47&amp;""-rundor brukar ej ha cutoff""),
AND(OR(C47=""3x3 FMC"",C47=""3x3 MBLD""),OR(E47=1,E47=2,E47=3,E47=""Final"")),CONCATENAT"&amp;"E(C47&amp;""s omgång är Rx - Ax""),
AND(C47&lt;&gt;""3x3 MBLD"",C47&lt;&gt;""3x3 FMC"",FILTER(Info!$D$2:D81, Info!$A$2:A81 = C47)&lt;&gt;F47),CONCATENATE(C47&amp;"" måste ha formatet ""&amp;FILTER(Info!$D$2:D81, Info!$A$2:A81 = C47)),
AND(C47=""3x3 MBLD"",OR(F47=""Avg of 5"",F47=""Mea"&amp;"n of 3"")),CONCATENATE(""Ogiltigt format för ""&amp;C47),
AND(C47=""3x3 FMC"",OR(F47=""Avg of 5"",F47=""Best of 3"")),CONCATENATE(""Ogiltigt format för ""&amp;C47),
AND(OR(F47=""Best of 1"",F47=""Best of 2"",F47=""Best of 3""),I47&lt;&gt;""""),CONCATENATE(F47&amp;""-rundor"&amp;" får ej ha cutoff""),
AND(OR(C47=""3x3 FMC"",C47=""3x3 MBLD""),G47&lt;&gt;60),CONCATENATE(C47&amp;"" måste ha time limit: 60""),
AND(OR(C47=""3x3 FMC"",C47=""3x3 MBLD""),H47&lt;&gt;""""),CONCATENATE(C47&amp;"" kan inte ha c.t.l.""),
AND(G47&lt;&gt;"""",H47&lt;&gt;""""),""Välj time limit"&amp;" ELLER c.t.l"",
AND(C47=""6x6 / 7x7"",G47="""",H47=""""),""Sätt time limit (x / y) eller c.t.l (z)"",
AND(G47="""",H47=""""),""Sätt en time limit eller c.t.l"",
AND(OR(C47=""6x6 / 7x7"",C47=""4x4 / 5x5 BLD""),G47&lt;&gt;"""",REGEXMATCH(TO_TEXT(G47),"" / "")=FAL"&amp;"SE),CONCATENATE(""Time limit måste vara x / y""),
AND(H47&lt;&gt;"""",I47&lt;&gt;""""),CONCATENATE(C47&amp;"" brukar ej ha cutoff OCH c.t.l""),
AND(E47=1,H47="""",I47="""",OR(FILTER(Info!$E$2:E81, Info!$A$2:A81 = C47) = ""Yes"",FILTER(Info!$F$2:F81, Info!$A$2:A81 = C47) "&amp;"= ""Yes""),OR(F47=""Avg of 5"",F47=""Mean of 3"")),CONCATENATE(C47&amp;"" bör ha cutoff eller c.t.l""),
AND(C47=""6x6 / 7x7"",I47&lt;&gt;"""",REGEXMATCH(TO_TEXT(I47),"" / "")=FALSE),CONCATENATE(""Cutoff måste vara x / y""),
AND(H47&lt;&gt;"""",ISNUMBER(H47)=FALSE),""C.t."&amp;"l. måste vara positivt tal (x)"",
AND(C47&lt;&gt;""6x6 / 7x7"",I47&lt;&gt;"""",ISNUMBER(I47)=FALSE),""Cutoff måste vara positivt tal (x)"",
AND(H47&lt;&gt;"""",FILTER(Info!$E$2:E81, Info!$A$2:A81 = C47) = ""No"",FILTER(Info!$F$2:F81, Info!$A$2:A81 = C47) = ""No""),CONCATEN"&amp;"ATE(C47&amp;"" brukar inte ha c.t.l.""),
AND(I47&lt;&gt;"""",FILTER(Info!$E$2:E81, Info!$A$2:A81 = C47) = ""No"",FILTER(Info!$F$2:F81, Info!$A$2:A81 = C47) = ""No""),CONCATENATE(C47&amp;"" brukar inte ha cutoff""),
AND(H47="""",FILTER(Info!$F$2:F81, Info!$A$2:A81 = C47"&amp;") = ""Yes""),CONCATENATE(C47&amp;"" brukar ha c.t.l.""),
AND(C47&lt;&gt;""6x6 / 7x7"",C47&lt;&gt;""4x4 / 5x5 BLD"",G47&lt;&gt;"""",ISNUMBER(G47)=FALSE),""Time limit måste vara positivt tal (x)"",
J47=""J - Error"",CONCATENATE(""För få deltagare i R1 för ""&amp;COUNTIF($C$7:$C$102,"&amp;"indirect(""C""&amp;row()))&amp;"" rundor""),
J47=""K2 - Error"",CONCATENATE(C47&amp;"" är mer populär - byt i K2!""),
AND(C47&lt;&gt;""6x6 / 7x7"",C47&lt;&gt;""4x4 / 5x5 BLD"",G47&lt;&gt;"""",I47&lt;&gt;"""",G47&lt;=I47),""Time limit måste vara &gt; cutoff"",
AND(C47&lt;&gt;""6x6 / 7x7"",C47&lt;&gt;""4x4 / 5"&amp;"x5 BLD"",H47&lt;&gt;"""",I47&lt;&gt;"""",H47&lt;=I47),""C.t.l. måste vara &gt; cutoff"",
AND(C47&lt;&gt;""3x3 FMC"",C47&lt;&gt;""3x3 MBLD"",J47=""""),CONCATENATE(""Fyll i antal deltagare i J""&amp;row()),
AND(C47="""",OR(E47&lt;&gt;"""",F47&lt;&gt;"""",G47&lt;&gt;"""",H47&lt;&gt;"""",I47&lt;&gt;"""",J47&lt;&gt;"""")),""Skri"&amp;"v ALLTID gren / aktivitet först"",
AND(I47="""",H47="""",J47&lt;&gt;""""),J47,
OR(""3x3 FMC""=C47,""3x3 MBLD""=C47),J47,
AND(I47&lt;&gt;"""",""6x6 / 7x7""=C47),
IFS(ArrayFormula(SUM(IFERROR(SPLIT(I47,"" / ""))))&lt;(Info!$J$6+Info!$J$7)*2/3,CONCATENATE(""Höj helst cutof"&amp;"fs i ""&amp;C47),
ArrayFormula(SUM(IFERROR(SPLIT(I47,"" / ""))))&lt;=(Info!$J$6+Info!$J$7),ROUNDUP(J47*Info!$J$22),
ArrayFormula(SUM(IFERROR(SPLIT(I47,"" / ""))))&lt;=Info!$J$6+Info!$J$7,ROUNDUP(J47*Info!$K$22),
ArrayFormula(SUM(IFERROR(SPLIT(I47,"" / ""))))&lt;=Info!"&amp;"$K$6+Info!$K$7,ROUNDUP(J47*Info!L$22),
ArrayFormula(SUM(IFERROR(SPLIT(I47,"" / ""))))&lt;=Info!$L$6+Info!$L$7,ROUNDUP(J47*Info!$M$22),
ArrayFormula(SUM(IFERROR(SPLIT(I47,"" / ""))))&lt;=Info!$M$6+Info!$M$7,ROUNDUP(J47*Info!$N$22),
ArrayFormula(SUM(IFERROR(SPLIT"&amp;"(I47,"" / ""))))&lt;=(Info!$N$6+Info!$N$7)*3/2,ROUNDUP(J47*Info!$J$26),
ArrayFormula(SUM(IFERROR(SPLIT(I47,"" / ""))))&gt;(Info!$N$6+Info!$N$7)*3/2,CONCATENATE(""Sänk helst cutoffs i ""&amp;C47)),
AND(I47&lt;&gt;"""",FILTER(Info!$E$2:E81, Info!$A$2:A81 = C47) = ""Yes""),"&amp;"
IFS(I47&lt;FILTER(Info!$J$2:J81, Info!$A$2:A81 = C47)*2/3,CONCATENATE(""Höj helst cutoff i ""&amp;C47),
I47&lt;=FILTER(Info!$J$2:J81, Info!$A$2:A81 = C47),ROUNDUP(J47*Info!$J$22),
I47&lt;=FILTER(Info!$K$2:K81, Info!$A$2:A81 = C47),ROUNDUP(J47*Info!$K$22),
I47&lt;=FILTER"&amp;"(Info!$L$2:L81, Info!$A$2:A81 = C47),ROUNDUP(J47*Info!L$22),
I47&lt;=FILTER(Info!$M$2:M81, Info!$A$2:A81 = C47),ROUNDUP(J47*Info!$M$22),
I47&lt;=FILTER(Info!$N$2:N81, Info!$A$2:A81 = C47),ROUNDUP(J47*Info!$N$22),
I47&lt;=FILTER(Info!$N$2:N81, Info!$A$2:A81 = C47)*"&amp;"3/2,ROUNDUP(J47*Info!$J$26),
I47&gt;FILTER(Info!$N$2:N81, Info!$A$2:A81 = C47)*3/2,CONCATENATE(""Sänk helst cutoff i ""&amp;C47)),
AND(H47&lt;&gt;"""",""6x6 / 7x7""=C47),
IFS(H47/3&lt;=(Info!$J$6+Info!$J$7)*2/3,""Höj helst cumulative time limit"",
H47/3&lt;=Info!$J$6+Info!$"&amp;"J$7,ROUNDUP(J47*Info!$J$24),
H47/3&lt;=Info!$K$6+Info!$K$7,ROUNDUP(J47*Info!$K$24),
H47/3&lt;=Info!$L$6+Info!$L$7,ROUNDUP(J47*Info!L$24),
H47/3&lt;=Info!$M$6+Info!$M$7,ROUNDUP(J47*Info!$M$24),
H47/3&lt;=Info!$N$6+Info!$N$7,ROUNDUP(J47*Info!$N$24),
H47/3&lt;=(Info!$N$6+I"&amp;"nfo!$N$7)*3/2,ROUNDUP(J47*Info!$L$26),
H47/3&gt;(Info!$J$6+Info!$J$7)*3/2,""Sänk helst cumulative time limit""),
AND(H47&lt;&gt;"""",FILTER(Info!$F$2:F81, Info!$A$2:A81 = C47) = ""Yes""),
IFS(H47&lt;=FILTER(Info!$J$2:J81, Info!$A$2:A81 = C47)*2/3,CONCATENATE(""Höj he"&amp;"lst c.t.l. i ""&amp;C47),
H47&lt;=FILTER(Info!$J$2:J81, Info!$A$2:A81 = C47),ROUNDUP(J47*Info!$J$24),
H47&lt;=FILTER(Info!$K$2:K81, Info!$A$2:A81 = C47),ROUNDUP(J47*Info!$K$24),
H47&lt;=FILTER(Info!$L$2:L81, Info!$A$2:A81 = C47),ROUNDUP(J47*Info!L$24),
H47&lt;=FILTER(Inf"&amp;"o!$M$2:M81, Info!$A$2:A81 = C47),ROUNDUP(J47*Info!$M$24),
H47&lt;=FILTER(Info!$N$2:N81, Info!$A$2:A81 = C47),ROUNDUP(J47*Info!$N$24),
H47&lt;=FILTER(Info!$N$2:N81, Info!$A$2:A81 = C47)*3/2,ROUNDUP(J47*Info!$L$26),
H47&gt;FILTER(Info!$N$2:N81, Info!$A$2:A81 = C47)*"&amp;"3/2,CONCATENATE(""Sänk helst c.t.l. i ""&amp;C47)),
AND(H47&lt;&gt;"""",FILTER(Info!$F$2:F81, Info!$A$2:A81 = C47) = ""No""),
IFS(H47/AA47&lt;=FILTER(Info!$J$2:J81, Info!$A$2:A81 = C47)*2/3,CONCATENATE(""Höj helst c.t.l. i ""&amp;C47),
H47/AA47&lt;=FILTER(Info!$J$2:J81, Info"&amp;"!$A$2:A81 = C47),ROUNDUP(J47*Info!$J$24),
H47/AA47&lt;=FILTER(Info!$K$2:K81, Info!$A$2:A81 = C47),ROUNDUP(J47*Info!$K$24),
H47/AA47&lt;=FILTER(Info!$L$2:L81, Info!$A$2:A81 = C47),ROUNDUP(J47*Info!L$24),
H47/AA47&lt;=FILTER(Info!$M$2:M81, Info!$A$2:A81 = C47),ROUND"&amp;"UP(J47*Info!$M$24),
H47/AA47&lt;=FILTER(Info!$N$2:N81, Info!$A$2:A81 = C47),ROUNDUP(J47*Info!$N$24),
H47/AA47&lt;=FILTER(Info!$N$2:N81, Info!$A$2:A81 = C47)*3/2,ROUNDUP(J47*Info!$L$26),
H47/AA47&gt;FILTER(Info!$N$2:N81, Info!$A$2:A81 = C47)*3/2,CONCATENATE(""Sänk "&amp;"helst c.t.l. i ""&amp;C47)),
AND(I47="""",H47&lt;&gt;"""",J47&lt;&gt;""""),ROUNDUP(J47*Info!$T$29),
AND(I47&lt;&gt;"""",H47="""",J47&lt;&gt;""""),ROUNDUP(J47*Info!$T$26))"),"")</f>
        <v/>
      </c>
      <c r="L47" s="42">
        <f>IFERROR(__xludf.DUMMYFUNCTION("IFS(C47="""",0,
C47=""3x3 FMC"",Info!$B$9*N47+M47, C47=""3x3 MBLD"",Info!$B$18*N47+M47,
COUNTIF(Info!$A$22:A81,C47)&gt;0,FILTER(Info!$B$22:B81,Info!$A$22:A81=C47)+M47,
AND(C47&lt;&gt;"""",E47=""""),CONCATENATE(""Fyll i E""&amp;row()),
AND(C47&lt;&gt;"""",E47&lt;&gt;"""",E47&lt;&gt;1,E4"&amp;"7&lt;&gt;2,E47&lt;&gt;3,E47&lt;&gt;""Final""),CONCATENATE(""Fel format på E""&amp;row()),
K47=CONCATENATE(""Runda ""&amp;E47&amp;"" i ""&amp;C47&amp;"" finns redan""),CONCATENATE(""Fel i E""&amp;row()),
AND(C47&lt;&gt;"""",F47=""""),CONCATENATE(""Fyll i F""&amp;row()),
K47=CONCATENATE(C47&amp;"" måste ha forma"&amp;"tet ""&amp;FILTER(Info!$D$2:D81, Info!$A$2:A81 = C47)),CONCATENATE(""Fel format på F""&amp;row()),
AND(C47&lt;&gt;"""",D47=1,H47="""",FILTER(Info!$F$2:F81, Info!$A$2:A81 = C47) = ""Yes""),CONCATENATE(""Fyll i H""&amp;row()),
AND(C47&lt;&gt;"""",D47=1,I47="""",FILTER(Info!$E$2:E8"&amp;"1, Info!$A$2:A81 = C47) = ""Yes""),CONCATENATE(""Fyll i I""&amp;row()),
AND(C47&lt;&gt;"""",J47=""""),CONCATENATE(""Fyll i J""&amp;row()),
AND(C47&lt;&gt;"""",K47="""",OR(H47&lt;&gt;"""",I47&lt;&gt;"""")),CONCATENATE(""Fyll i K""&amp;row()),
AND(C47&lt;&gt;"""",K47=""""),CONCATENATE(""Skriv samma"&amp;" i K""&amp;row()&amp;"" som i J""&amp;row()),
AND(OR(C47=""4x4 BLD"",C47=""5x5 BLD"",C47=""4x4 / 5x5 BLD"")=TRUE,V47&lt;=P47),
MROUND(H47*(Info!$T$20-((Info!$T$20-1)/2)*(1-V47/P47))*(1+((J47/K47)-1)*(1-Info!$J$24))*N47+(Info!$T$11/2)+(N47*Info!$T$11)+(N47*Info!$T$14*(O4"&amp;"7-1)),0.01)+M47,
AND(OR(C47=""4x4 BLD"",C47=""5x5 BLD"",C47=""4x4 / 5x5 BLD"")=TRUE,V47&gt;P47),
MROUND((((J47*Z47+K47*(AA47-Z47))*(H47*Info!$T$20/AA47))/X47)*(1+((J47/K47)-1)*(1-Info!$J$24))*(1+(X47-Info!$T$8)/100)+(Info!$T$11/2)+(N47*Info!$T$11)+(N47*Info!"&amp;"$T$14*(O47-1)),0.01)+M47,
AND(C47=""3x3 BLD"",V47&lt;=P47),
MROUND(H47*(Info!$T$23-((Info!$T$23-1)/2)*(1-V47/P47))*(1+((J47/K47)-1)*(1-Info!$J$24))*N47+(Info!$T$11/2)+(N47*Info!$T$11)+(N47*Info!$T$14*(O47-1)),0.01)+M47,
AND(C47=""3x3 BLD"",V47&gt;P47),
MROUND(("&amp;"((J47*Z47+K47*(AA47-Z47))*(H47*Info!$T$23/AA47))/X47)*(1+((J47/K47)-1)*(1-Info!$J$24))*(1+(X47-Info!$T$8)/100)+(Info!$T$11/2)+(N47*Info!$T$11)+(N47*Info!$T$14*(O47-1)),0.01)+M47,
E47=1,MROUND((((J47*Z47+K47*(AA47-Z47))*Y47)/X47)*(1+(X47-Info!$T$8)/100)+(N"&amp;"47*Info!$T$11)+(N47*Info!$T$14*(O47-1)),0.01)+M47,
AND(E47=""Final"",N47=1,FILTER(Info!$G$2:$G$20,Info!$A$2:$A$20=C47)=""Mycket svår""),
MROUND((((J47*Z47+K47*(AA47-Z47))*(Y47*Info!$T$38))/X47)*(1+(X47-Info!$T$8)/100)+(N47*Info!$T$11)+(N47*Info!$T$14*(O47"&amp;"-1)),0.01)+M47,
AND(E47=""Final"",N47=1,FILTER(Info!$G$2:$G$20,Info!$A$2:$A$20=C47)=""Svår""),
MROUND((((J47*Z47+K47*(AA47-Z47))*(Y47*Info!$T$35))/X47)*(1+(X47-Info!$T$8)/100)+(N47*Info!$T$11)+(N47*Info!$T$14*(O47-1)),0.01)+M47,
E47=""Final"",MROUND((((J4"&amp;"7*Z47+K47*(AA47-Z47))*(Y47*Info!$T$5))/X47)*(1+(X47-Info!$T$8)/100)+(N47*Info!$T$11)+(N47*Info!$T$14*(O47-1)),0.01)+M47,
OR(E47=2,E47=3),MROUND((((J47*Z47+K47*(AA47-Z47))*(Y47*Info!$T$2))/X47)*(1+(X47-Info!$T$8)/100)+(N47*Info!$T$11)+(N47*Info!$T$14*(O47-"&amp;"1)),0.01)+M47)"),0.0)</f>
        <v>0</v>
      </c>
      <c r="M47" s="43">
        <f t="shared" si="4"/>
        <v>0</v>
      </c>
      <c r="N47" s="43" t="str">
        <f>IFS(OR(COUNTIF(Info!$A$22:A81,C47)&gt;0,C47=""),"",
OR(C47="4x4 BLD",C47="5x5 BLD",C47="3x3 MBLD",C47="3x3 FMC",C47="4x4 / 5x5 BLD"),1,
AND(E47="Final",Q47="Yes",MAX(1,ROUNDUP(J47/P47))&gt;1),MAX(2,ROUNDUP(J47/P47)),
AND(E47="Final",Q47="No",MAX(1,ROUNDUP(J47/((P47*2)+2.625-Y47*1.5)))&gt;1),MAX(2,ROUNDUP(J47/((P47*2)+2.625-Y47*1.5))),
E47="Final",1,
Q47="Yes",MAX(2,ROUNDUP(J47/P47)),
TRUE,MAX(2,ROUNDUP(J47/((P47*2)+2.625-Y47*1.5))))</f>
        <v/>
      </c>
      <c r="O47" s="43" t="str">
        <f>IFS(OR(COUNTIF(Info!$A$22:A81,C47)&gt;0,C47=""),"",
OR("3x3 MBLD"=C47,"3x3 FMC"=C47)=TRUE,"",
D47=$E$4,$G$6,D47=$K$4,$M$6,D47=$Q$4,$S$6,D47=$W$4,$Y$6,
TRUE,$S$2)</f>
        <v/>
      </c>
      <c r="P47" s="43" t="str">
        <f>IFS(OR(COUNTIF(Info!$A$22:A81,C47)&gt;0,C47=""),"",
OR("3x3 MBLD"=C47,"3x3 FMC"=C47)=TRUE,"",
D47=$E$4,$E$6,D47=$K$4,$K$6,D47=$Q$4,$Q$6,D47=$W$4,$W$6,
TRUE,$Q$2)</f>
        <v/>
      </c>
      <c r="Q47" s="44" t="str">
        <f>IFS(OR(COUNTIF(Info!$A$22:A81,C47)&gt;0,C47=""),"",
OR("3x3 MBLD"=C47,"3x3 FMC"=C47)=TRUE,"",
D47=$E$4,$I$6,D47=$K$4,$O$6,D47=$Q$4,$U$6,D47=$W$4,$AA$6,
TRUE,$U$2)</f>
        <v/>
      </c>
      <c r="R47" s="45" t="str">
        <f>IFERROR(__xludf.DUMMYFUNCTION("IF(C47="""","""",IFERROR(FILTER(Info!$B$22:B81,Info!$A$22:A81=C47)+M47,""?""))"),"")</f>
        <v/>
      </c>
      <c r="S47" s="46" t="str">
        <f>IFS(OR(COUNTIF(Info!$A$22:A81,C47)&gt;0,C47=""),"",
AND(H47="",I47=""),J47,
TRUE,"?")</f>
        <v/>
      </c>
      <c r="T47" s="45" t="str">
        <f>IFS(OR(COUNTIF(Info!$A$22:A81,C47)&gt;0,C47=""),"",
AND(L47&lt;&gt;0,OR(R47="?",R47="")),"Fyll i R-kolumnen",
OR(C47="3x3 FMC",C47="3x3 MBLD"),R47,
AND(L47&lt;&gt;0,OR(S47="?",S47="")),"Fyll i S-kolumnen",
OR(COUNTIF(Info!$A$22:A81,C47)&gt;0,C47=""),"",
TRUE,Y47*R47/L47)</f>
        <v/>
      </c>
      <c r="U47" s="45"/>
      <c r="V47" s="47" t="str">
        <f>IFS(OR(COUNTIF(Info!$A$22:A81,C47)&gt;0,C47=""),"",
OR("3x3 MBLD"=C47,"3x3 FMC"=C47)=TRUE,"",
TRUE,MROUND((J47/N47),0.01))</f>
        <v/>
      </c>
      <c r="W47" s="48" t="str">
        <f>IFS(OR(COUNTIF(Info!$A$22:A81,C47)&gt;0,C47=""),"",
TRUE,L47/N47)</f>
        <v/>
      </c>
      <c r="X47" s="49" t="str">
        <f>IFS(OR(COUNTIF(Info!$A$22:A81,C47)&gt;0,C47=""),"",
OR("3x3 MBLD"=C47,"3x3 FMC"=C47)=TRUE,"",
OR(C47="4x4 BLD",C47="5x5 BLD",C47="4x4 / 5x5 BLD",AND(C47="3x3 BLD",H47&lt;&gt;""))=TRUE,MIN(V47,P47),
TRUE,MIN(P47,V47,MROUND(((V47*2/3)+((Y47-1.625)/2)),0.01)))</f>
        <v/>
      </c>
      <c r="Y47" s="48" t="str">
        <f>IFERROR(__xludf.DUMMYFUNCTION("IFS(OR(COUNTIF(Info!$A$22:A81,C47)&gt;0,C47=""""),"""",
FILTER(Info!$F$2:F81, Info!$A$2:A81 = C47) = ""Yes"",H47/AA47,
""3x3 FMC""=C47,Info!$B$9,""3x3 MBLD""=C47,Info!$B$18,
AND(E47=1,I47="""",H47="""",Q47=""No"",G47&gt;SUMIF(Info!$A$2:A81,C47,Info!$B$2:B81)*1."&amp;"5),
MIN(SUMIF(Info!$A$2:A81,C47,Info!$B$2:B81)*1.1,SUMIF(Info!$A$2:A81,C47,Info!$B$2:B81)*(1.15-(0.15*(SUMIF(Info!$A$2:A81,C47,Info!$B$2:B81)*1.5)/G47))),
AND(E47=1,I47="""",H47="""",Q47=""Yes"",G47&gt;SUMIF(Info!$A$2:A81,C47,Info!$C$2:C81)*1.5),
MIN(SUMIF(I"&amp;"nfo!$A$2:A81,C47,Info!$C$2:C81)*1.1,SUMIF(Info!$A$2:A81,C47,Info!$C$2:C81)*(1.15-(0.15*(SUMIF(Info!$A$2:A81,C47,Info!$C$2:C81)*1.5)/G47))),
Q47=""No"",SUMIF(Info!$A$2:A81,C47,Info!$B$2:B81),
Q47=""Yes"",SUMIF(Info!$A$2:A81,C47,Info!$C$2:C81))"),"")</f>
        <v/>
      </c>
      <c r="Z47" s="47" t="str">
        <f>IFS(OR(COUNTIF(Info!$A$22:A81,C47)&gt;0,C47=""),"",
AND(OR("3x3 FMC"=C47,"3x3 MBLD"=C47),I47&lt;&gt;""),1,
AND(OR(H47&lt;&gt;"",I47&lt;&gt;""),F47="Avg of 5"),2,
F47="Avg of 5",AA47,
AND(OR(H47&lt;&gt;"",I47&lt;&gt;""),F47="Mean of 3",C47="6x6 / 7x7"),2,
AND(OR(H47&lt;&gt;"",I47&lt;&gt;""),F47="Mean of 3"),1,
F47="Mean of 3",AA47,
AND(OR(H47&lt;&gt;"",I47&lt;&gt;""),F47="Best of 3",C47="4x4 / 5x5 BLD"),2,
AND(OR(H47&lt;&gt;"",I47&lt;&gt;""),F47="Best of 3"),1,
F47="Best of 2",AA47,
F47="Best of 1",AA47)</f>
        <v/>
      </c>
      <c r="AA47" s="47" t="str">
        <f>IFS(OR(COUNTIF(Info!$A$22:A81,C47)&gt;0,C47=""),"",
AND(OR("3x3 MBLD"=C47,"3x3 FMC"=C47),F47="Best of 1"=TRUE),1,
AND(OR("3x3 MBLD"=C47,"3x3 FMC"=C47),F47="Best of 2"=TRUE),2,
AND(OR("3x3 MBLD"=C47,"3x3 FMC"=C47),OR(F47="Best of 3",F47="Mean of 3")=TRUE),3,
AND(F47="Mean of 3",C47="6x6 / 7x7"),6,
AND(F47="Best of 3",C47="4x4 / 5x5 BLD"),6,
F47="Avg of 5",5,F47="Mean of 3",3,F47="Best of 3",3,F47="Best of 2",2,F47="Best of 1",1)</f>
        <v/>
      </c>
      <c r="AB47" s="50"/>
    </row>
    <row r="48" ht="15.75" customHeight="1">
      <c r="A48" s="35">
        <f>IFERROR(__xludf.DUMMYFUNCTION("IFS(indirect(""A""&amp;row()-1)=""Start"",TIME(indirect(""A""&amp;row()-2),indirect(""B""&amp;row()-2),0),
$O$2=""No"",TIME(0,($A$6*60+$B$6)+CEILING(SUM($L$7:indirect(""L""&amp;row()-1)),5),0),
D48=$E$2,TIME(0,($A$6*60+$B$6)+CEILING(SUM(IFERROR(FILTER($L$7:indirect(""L"""&amp;"&amp;row()-1),REGEXMATCH($D$7:indirect(""D""&amp;row()-1),$E$2)),0)),5),0),
TRUE,""=time(hh;mm;ss)"")"),0.375)</f>
        <v>0.375</v>
      </c>
      <c r="B48" s="36">
        <f>IFERROR(__xludf.DUMMYFUNCTION("IFS($O$2=""No"",TIME(0,($A$6*60+$B$6)+CEILING(SUM($L$7:indirect(""L""&amp;row())),5),0),
D48=$E$2,TIME(0,($A$6*60+$B$6)+CEILING(SUM(FILTER($L$7:indirect(""L""&amp;row()),REGEXMATCH($D$7:indirect(""D""&amp;row()),$E$2))),5),0),
A48=""=time(hh;mm;ss)"",CONCATENATE(""Sk"&amp;"riv tid i A""&amp;row()),
AND(A48&lt;&gt;"""",A48&lt;&gt;""=time(hh;mm;ss)""),A48+TIME(0,CEILING(indirect(""L""&amp;row()),5),0))"),0.375)</f>
        <v>0.375</v>
      </c>
      <c r="C48" s="37"/>
      <c r="D48" s="38" t="str">
        <f t="shared" si="3"/>
        <v>Stora salen</v>
      </c>
      <c r="E48" s="38" t="str">
        <f>IFERROR(__xludf.DUMMYFUNCTION("IFS(COUNTIF(Info!$A$22:A81,C48)&gt;0,"""",
AND(OR(""3x3 FMC""=C48,""3x3 MBLD""=C48),COUNTIF($C$7:indirect(""C""&amp;row()),indirect(""C""&amp;row()))&gt;=13),""E - Error"",
AND(OR(""3x3 FMC""=C48,""3x3 MBLD""=C48),COUNTIF($C$7:indirect(""C""&amp;row()),indirect(""C""&amp;row()"&amp;"))=12),""Final - A3"",
AND(OR(""3x3 FMC""=C48,""3x3 MBLD""=C48),COUNTIF($C$7:indirect(""C""&amp;row()),indirect(""C""&amp;row()))=11),""Final - A2"",
AND(OR(""3x3 FMC""=C48,""3x3 MBLD""=C48),COUNTIF($C$7:indirect(""C""&amp;row()),indirect(""C""&amp;row()))=10),""Final - "&amp;"A1"",
AND(OR(""3x3 FMC""=C48,""3x3 MBLD""=C48),COUNTIF($C$7:indirect(""C""&amp;row()),indirect(""C""&amp;row()))=9,
COUNTIF($C$7:$C$102,indirect(""C""&amp;row()))&gt;9),""R3 - A3"",
AND(OR(""3x3 FMC""=C48,""3x3 MBLD""=C48),COUNTIF($C$7:indirect(""C""&amp;row()),indirect(""C"&amp;"""&amp;row()))=9,
COUNTIF($C$7:$C$102,indirect(""C""&amp;row()))&lt;=9),""Final - A3"",
AND(OR(""3x3 FMC""=C48,""3x3 MBLD""=C48),COUNTIF($C$7:indirect(""C""&amp;row()),indirect(""C""&amp;row()))=8,
COUNTIF($C$7:$C$102,indirect(""C""&amp;row()))&gt;9),""R3 - A2"",
AND(OR(""3x3 FMC"&amp;"""=C48,""3x3 MBLD""=C48),COUNTIF($C$7:indirect(""C""&amp;row()),indirect(""C""&amp;row()))=8,
COUNTIF($C$7:$C$102,indirect(""C""&amp;row()))&lt;=9),""Final - A2"",
AND(OR(""3x3 FMC""=C48,""3x3 MBLD""=C48),COUNTIF($C$7:indirect(""C""&amp;row()),indirect(""C""&amp;row()))=7,
COUN"&amp;"TIF($C$7:$C$102,indirect(""C""&amp;row()))&gt;9),""R3 - A1"",
AND(OR(""3x3 FMC""=C48,""3x3 MBLD""=C48),COUNTIF($C$7:indirect(""C""&amp;row()),indirect(""C""&amp;row()))=7,
COUNTIF($C$7:$C$102,indirect(""C""&amp;row()))&lt;=9),""Final - A1"",
AND(OR(""3x3 FMC""=C48,""3x3 MBLD"""&amp;"=C48),COUNTIF($C$7:indirect(""C""&amp;row()),indirect(""C""&amp;row()))=6,
COUNTIF($C$7:$C$102,indirect(""C""&amp;row()))&gt;6),""R2 - A3"",
AND(OR(""3x3 FMC""=C48,""3x3 MBLD""=C48),COUNTIF($C$7:indirect(""C""&amp;row()),indirect(""C""&amp;row()))=6,
COUNTIF($C$7:$C$102,indirec"&amp;"t(""C""&amp;row()))&lt;=6),""Final - A3"",
AND(OR(""3x3 FMC""=C48,""3x3 MBLD""=C48),COUNTIF($C$7:indirect(""C""&amp;row()),indirect(""C""&amp;row()))=5,
COUNTIF($C$7:$C$102,indirect(""C""&amp;row()))&gt;6),""R2 - A2"",
AND(OR(""3x3 FMC""=C48,""3x3 MBLD""=C48),COUNTIF($C$7:indi"&amp;"rect(""C""&amp;row()),indirect(""C""&amp;row()))=5,
COUNTIF($C$7:$C$102,indirect(""C""&amp;row()))&lt;=6),""Final - A2"",
AND(OR(""3x3 FMC""=C48,""3x3 MBLD""=C48),COUNTIF($C$7:indirect(""C""&amp;row()),indirect(""C""&amp;row()))=4,
COUNTIF($C$7:$C$102,indirect(""C""&amp;row()))&gt;6),"&amp;"""R2 - A1"",
AND(OR(""3x3 FMC""=C48,""3x3 MBLD""=C48),COUNTIF($C$7:indirect(""C""&amp;row()),indirect(""C""&amp;row()))=4,
COUNTIF($C$7:$C$102,indirect(""C""&amp;row()))&lt;=6),""Final - A1"",
AND(OR(""3x3 FMC""=C48,""3x3 MBLD""=C48),COUNTIF($C$7:indirect(""C""&amp;row()),i"&amp;"ndirect(""C""&amp;row()))=3),""R1 - A3"",
AND(OR(""3x3 FMC""=C48,""3x3 MBLD""=C48),COUNTIF($C$7:indirect(""C""&amp;row()),indirect(""C""&amp;row()))=2),""R1 - A2"",
AND(OR(""3x3 FMC""=C48,""3x3 MBLD""=C48),COUNTIF($C$7:indirect(""C""&amp;row()),indirect(""C""&amp;row()))=1),"&amp;"""R1 -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C48),ROUNDUP((FILTER(Info!$H$2:H81,Info!$A$2:A81=C48)/FILTER(Info!$H$2:H81,Info!$A$2:A81=$K$2))*$I$2)&gt;99),3,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C48),ROUNDUP((FILTER(Info!$H$2:H81,Info!$A$2:A81=C48)/FILTER(Info!$H$2:H81,Info!$A$2:A81=$K$2))*$I$2)&gt;15),2,
AND(COUNTIF($C$7:indirect(""C""&amp;row()),indirect(""C""&amp;row()))=2,COUNTIF($C$7:$C$102,indirect(""C""&amp;row()))=COUNTIF($"&amp;"C$7:indirect(""C""&amp;row()),indirect(""C""&amp;row()))),""Final"",
COUNTIF($C$7:indirect(""C""&amp;row()),indirect(""C""&amp;row()))=1,1,
COUNTIF($C$7:indirect(""C""&amp;row()),indirect(""C""&amp;row()))=0,"""")"),"")</f>
        <v/>
      </c>
      <c r="F48" s="39" t="str">
        <f>IFERROR(__xludf.DUMMYFUNCTION("IFS(C48="""","""",
AND(C48=""3x3 FMC"",MOD(COUNTIF($C$7:indirect(""C""&amp;row()),indirect(""C""&amp;row())),3)=0),""Mean of 3"",
AND(C48=""3x3 MBLD"",MOD(COUNTIF($C$7:indirect(""C""&amp;row()),indirect(""C""&amp;row())),3)=0),""Best of 3"",
AND(C48=""3x3 FMC"",MOD(COUNT"&amp;"IF($C$7:indirect(""C""&amp;row()),indirect(""C""&amp;row())),3)=2,
COUNTIF($C$7:$C$102,indirect(""C""&amp;row()))&lt;=COUNTIF($C$7:indirect(""C""&amp;row()),indirect(""C""&amp;row()))),""Best of 2"",
AND(C48=""3x3 FMC"",MOD(COUNTIF($C$7:indirect(""C""&amp;row()),indirect(""C""&amp;row("&amp;"))),3)=2,
COUNTIF($C$7:$C$102,indirect(""C""&amp;row()))&gt;COUNTIF($C$7:indirect(""C""&amp;row()),indirect(""C""&amp;row()))),""Mean of 3"",
AND(C48=""3x3 MBLD"",MOD(COUNTIF($C$7:indirect(""C""&amp;row()),indirect(""C""&amp;row())),3)=2,
COUNTIF($C$7:$C$102,indirect(""C""&amp;row("&amp;")))&lt;=COUNTIF($C$7:indirect(""C""&amp;row()),indirect(""C""&amp;row()))),""Best of 2"",
AND(C48=""3x3 MBLD"",MOD(COUNTIF($C$7:indirect(""C""&amp;row()),indirect(""C""&amp;row())),3)=2,
COUNTIF($C$7:$C$102,indirect(""C""&amp;row()))&gt;COUNTIF($C$7:indirect(""C""&amp;row()),indirect("&amp;"""C""&amp;row()))),""Best of 3"",
AND(C48=""3x3 FMC"",MOD(COUNTIF($C$7:indirect(""C""&amp;row()),indirect(""C""&amp;row())),3)=1,
COUNTIF($C$7:$C$102,indirect(""C""&amp;row()))&lt;=COUNTIF($C$7:indirect(""C""&amp;row()),indirect(""C""&amp;row()))),""Best of 1"",
AND(C48=""3x3 FMC"""&amp;",MOD(COUNTIF($C$7:indirect(""C""&amp;row()),indirect(""C""&amp;row())),3)=1,
COUNTIF($C$7:$C$102,indirect(""C""&amp;row()))=COUNTIF($C$7:indirect(""C""&amp;row()),indirect(""C""&amp;row()))+1),""Best of 2"",
AND(C48=""3x3 FMC"",MOD(COUNTIF($C$7:indirect(""C""&amp;row()),indirect"&amp;"(""C""&amp;row())),3)=1,
COUNTIF($C$7:$C$102,indirect(""C""&amp;row()))&gt;COUNTIF($C$7:indirect(""C""&amp;row()),indirect(""C""&amp;row()))),""Mean of 3"",
AND(C48=""3x3 MBLD"",MOD(COUNTIF($C$7:indirect(""C""&amp;row()),indirect(""C""&amp;row())),3)=1,
COUNTIF($C$7:$C$102,indirect"&amp;"(""C""&amp;row()))&lt;=COUNTIF($C$7:indirect(""C""&amp;row()),indirect(""C""&amp;row()))),""Best of 1"",
AND(C48=""3x3 MBLD"",MOD(COUNTIF($C$7:indirect(""C""&amp;row()),indirect(""C""&amp;row())),3)=1,
COUNTIF($C$7:$C$102,indirect(""C""&amp;row()))=COUNTIF($C$7:indirect(""C""&amp;row()"&amp;"),indirect(""C""&amp;row()))+1),""Best of 2"",
AND(C48=""3x3 MBLD"",MOD(COUNTIF($C$7:indirect(""C""&amp;row()),indirect(""C""&amp;row())),3)=1,
COUNTIF($C$7:$C$102,indirect(""C""&amp;row()))&gt;COUNTIF($C$7:indirect(""C""&amp;row()),indirect(""C""&amp;row()))),""Best of 3"",
TRUE,("&amp;"IFERROR(FILTER(Info!$D$2:D81, Info!$A$2:A81 = C48), """")))"),"")</f>
        <v/>
      </c>
      <c r="G48" s="40" t="str">
        <f>IFERROR(__xludf.DUMMYFUNCTION("IFS(OR(COUNTIF(Info!$A$22:A81,C48)&gt;0,C48=""""),"""",
OR(""3x3 MBLD""=C48,""3x3 FMC""=C48),60,
AND(E48=1,FILTER(Info!$F$2:F81, Info!$A$2:A81 = C48) = ""No""),FILTER(Info!$P$2:P81, Info!$A$2:A81 = C48),
AND(E48=2,FILTER(Info!$F$2:F81, Info!$A$2:A81 = C48) ="&amp;" ""No""),FILTER(Info!$Q$2:Q81, Info!$A$2:A81 = C48),
AND(E48=3,FILTER(Info!$F$2:F81, Info!$A$2:A81 = C48) = ""No""),FILTER(Info!$R$2:R81, Info!$A$2:A81 = C48),
AND(E48=""Final"",FILTER(Info!$F$2:F81, Info!$A$2:A81 = C48) = ""No""),FILTER(Info!$S$2:S81, In"&amp;"fo!$A$2:A81 = C48),
FILTER(Info!$F$2:F81, Info!$A$2:A81 = C48) = ""Yes"","""")"),"")</f>
        <v/>
      </c>
      <c r="H48" s="40" t="str">
        <f>IFERROR(__xludf.DUMMYFUNCTION("IFS(OR(COUNTIF(Info!$A$22:A81,C48)&gt;0,C48=""""),"""",
OR(""3x3 MBLD""=C48,""3x3 FMC""=C48)=TRUE,"""",
FILTER(Info!$F$2:F81, Info!$A$2:A81 = C48) = ""Yes"",FILTER(Info!$O$2:O81, Info!$A$2:A81 = C48),
FILTER(Info!$F$2:F81, Info!$A$2:A81 = C48) = ""No"",IF(G4"&amp;"8="""",FILTER(Info!$O$2:O81, Info!$A$2:A81 = C48),""""))"),"")</f>
        <v/>
      </c>
      <c r="I48" s="40" t="str">
        <f>IFERROR(__xludf.DUMMYFUNCTION("IFS(OR(COUNTIF(Info!$A$22:A81,C48)&gt;0,C48="""",H48&lt;&gt;""""),"""",
AND(E48&lt;&gt;1,E48&lt;&gt;""R1 - A1"",E48&lt;&gt;""R1 - A2"",E48&lt;&gt;""R1 - A3""),"""",
FILTER(Info!$E$2:E81, Info!$A$2:A81 = C48) = ""Yes"",IF(H48="""",FILTER(Info!$L$2:L81, Info!$A$2:A81 = C48),""""),
FILTER(I"&amp;"nfo!$E$2:E81, Info!$A$2:A81 = C48) = ""No"","""")"),"")</f>
        <v/>
      </c>
      <c r="J48" s="40" t="str">
        <f>IFERROR(__xludf.DUMMYFUNCTION("IFS(OR(COUNTIF(Info!$A$22:A81,C48)&gt;0,C48="""",""3x3 MBLD""=C48,""3x3 FMC""=C48),"""",
AND(E48=1,FILTER(Info!$H$2:H81,Info!$A$2:A81 = C48)&lt;=FILTER(Info!$H$2:H81,Info!$A$2:A81=$K$2)),
ROUNDUP((FILTER(Info!$H$2:H81,Info!$A$2:A81 = C48)/FILTER(Info!$H$2:H81,I"&amp;"nfo!$A$2:A81=$K$2))*$I$2),
AND(E48=1,FILTER(Info!$H$2:H81,Info!$A$2:A81 = C48)&gt;FILTER(Info!$H$2:H81,Info!$A$2:A81=$K$2)),""K2 - Error"",
AND(E48=2,FILTER($J$7:indirect(""J""&amp;row()-1),$C$7:indirect(""C""&amp;row()-1)=C48)&lt;=7),""J - Error"",
E48=2,FLOOR(FILTER("&amp;"$J$7:indirect(""J""&amp;row()-1),$C$7:indirect(""C""&amp;row()-1)=C48)*Info!$T$32),
AND(E48=3,FILTER($J$7:indirect(""J""&amp;row()-1),$C$7:indirect(""C""&amp;row()-1)=C48)&lt;=15),""J - Error"",
E48=3,FLOOR(Info!$T$32*FLOOR(FILTER($J$7:indirect(""J""&amp;row()-1),$C$7:indirect("&amp;"""C""&amp;row()-1)=C48)*Info!$T$32)),
AND(E48=""Final"",COUNTIF($C$7:$C$102,C48)=2,FILTER($J$7:indirect(""J""&amp;row()-1),$C$7:indirect(""C""&amp;row()-1)=C48)&lt;=7),""J - Error"",
AND(E48=""Final"",COUNTIF($C$7:$C$102,C48)=2),
MIN(P48,FLOOR(FILTER($J$7:indirect(""J"""&amp;"&amp;row()-1),$C$7:indirect(""C""&amp;row()-1)=C48)*Info!$T$32)),
AND(E48=""Final"",COUNTIF($C$7:$C$102,C48)=3,FILTER($J$7:indirect(""J""&amp;row()-1),$C$7:indirect(""C""&amp;row()-1)=C48)&lt;=15),""J - Error"",
AND(E48=""Final"",COUNTIF($C$7:$C$102,C48)=3),
MIN(P48,FLOOR(I"&amp;"nfo!$T$32*FLOOR(FILTER($J$7:indirect(""J""&amp;row()-1),$C$7:indirect(""C""&amp;row()-1)=C48)*Info!$T$32))),
AND(E48=""Final"",COUNTIF($C$7:$C$102,C48)&gt;=4,FILTER($J$7:indirect(""J""&amp;row()-1),$C$7:indirect(""C""&amp;row()-1)=C48)&lt;=99),""J - Error"",
AND(E48=""Final"","&amp;"COUNTIF($C$7:$C$102,C48)&gt;=4),
MIN(P48,FLOOR(Info!$T$32*FLOOR(Info!$T$32*FLOOR(FILTER($J$7:indirect(""J""&amp;row()-1),$C$7:indirect(""C""&amp;row()-1)=C48)*Info!$T$32)))))"),"")</f>
        <v/>
      </c>
      <c r="K48" s="41" t="str">
        <f>IFERROR(__xludf.DUMMYFUNCTION("IFS(AND(indirect(""D""&amp;row()+2)&lt;&gt;$E$2,indirect(""D""&amp;row()+1)=""""),CONCATENATE(""Tom rad! Kopiera hela rad ""&amp;row()&amp;"" dit""),
AND(indirect(""D""&amp;row()-1)&lt;&gt;""Rum"",indirect(""D""&amp;row()-1)=""""),CONCATENATE(""Tom rad! Kopiera hela rad ""&amp;row()&amp;"" dit""),
"&amp;"C48="""","""",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OR(AND(D48&lt;&gt;$E$2,D48&lt;&gt;$E$4,D48&lt;&gt;$K$4,D48&lt;&gt;$Q$4),D48="&amp;"""""),CONCATENATE(""Rum: ""&amp;D48&amp;"" finns ej, byt i D""&amp;row()),
AND(indirect(""D""&amp;row()-1)=""Rum"",C48=""""),CONCATENATE(""För att börja: skriv i cell C""&amp;row()),
AND(C48=""Paus"",M48&lt;=0),CONCATENATE(""Skriv pausens längd i M""&amp;row()),
OR(COUNTIF(Info!$A$"&amp;"22:A81,C48)&gt;0,C48=""""),"""",
AND(D48&lt;&gt;$E$2,$O$2=""Yes"",A48=""=time(hh;mm;ss)""),CONCATENATE(""Skriv starttid för ""&amp;C48&amp;"" i A""&amp;row()),
E48=""E - Error"",CONCATENATE(""För många ""&amp;C48&amp;"" rundor!""),
AND(C48&lt;&gt;""3x3 FMC"",C48&lt;&gt;""3x3 MBLD"",E48&lt;&gt;1,E48&lt;&gt;"&amp;"""Final"",IFERROR(FILTER($E$7:indirect(""E""&amp;row()-1),
$E$7:indirect(""E""&amp;row()-1)=E48-1,$C$7:indirect(""C""&amp;row()-1)=C48))=FALSE),CONCATENATE(""Kan ej vara R""&amp;E48&amp;"", saknar R""&amp;(E48-1)),
AND(indirect(""E""&amp;row()-1)&lt;&gt;""Omgång"",IFERROR(FILTER($E$7:indi"&amp;"rect(""E""&amp;row()-1),
$E$7:indirect(""E""&amp;row()-1)=E48,$C$7:indirect(""C""&amp;row()-1)=C48)=E48)=TRUE),CONCATENATE(""Runda ""&amp;E48&amp;"" i ""&amp;C48&amp;"" finns redan""),
AND(C48&lt;&gt;""3x3 BLD"",C48&lt;&gt;""4x4 BLD"",C48&lt;&gt;""5x5 BLD"",C48&lt;&gt;""4x4 / 5x5 BLD"",OR(E48=2,E48=3,E48="&amp;"""Final""),H48&lt;&gt;""""),CONCATENATE(E48&amp;""-rundor brukar ej ha c.t.l.""),
AND(OR(E48=2,E48=3,E48=""Final""),I48&lt;&gt;""""),CONCATENATE(E48&amp;""-rundor brukar ej ha cutoff""),
AND(OR(C48=""3x3 FMC"",C48=""3x3 MBLD""),OR(E48=1,E48=2,E48=3,E48=""Final"")),CONCATENAT"&amp;"E(C48&amp;""s omgång är Rx - Ax""),
AND(C48&lt;&gt;""3x3 MBLD"",C48&lt;&gt;""3x3 FMC"",FILTER(Info!$D$2:D81, Info!$A$2:A81 = C48)&lt;&gt;F48),CONCATENATE(C48&amp;"" måste ha formatet ""&amp;FILTER(Info!$D$2:D81, Info!$A$2:A81 = C48)),
AND(C48=""3x3 MBLD"",OR(F48=""Avg of 5"",F48=""Mea"&amp;"n of 3"")),CONCATENATE(""Ogiltigt format för ""&amp;C48),
AND(C48=""3x3 FMC"",OR(F48=""Avg of 5"",F48=""Best of 3"")),CONCATENATE(""Ogiltigt format för ""&amp;C48),
AND(OR(F48=""Best of 1"",F48=""Best of 2"",F48=""Best of 3""),I48&lt;&gt;""""),CONCATENATE(F48&amp;""-rundor"&amp;" får ej ha cutoff""),
AND(OR(C48=""3x3 FMC"",C48=""3x3 MBLD""),G48&lt;&gt;60),CONCATENATE(C48&amp;"" måste ha time limit: 60""),
AND(OR(C48=""3x3 FMC"",C48=""3x3 MBLD""),H48&lt;&gt;""""),CONCATENATE(C48&amp;"" kan inte ha c.t.l.""),
AND(G48&lt;&gt;"""",H48&lt;&gt;""""),""Välj time limit"&amp;" ELLER c.t.l"",
AND(C48=""6x6 / 7x7"",G48="""",H48=""""),""Sätt time limit (x / y) eller c.t.l (z)"",
AND(G48="""",H48=""""),""Sätt en time limit eller c.t.l"",
AND(OR(C48=""6x6 / 7x7"",C48=""4x4 / 5x5 BLD""),G48&lt;&gt;"""",REGEXMATCH(TO_TEXT(G48),"" / "")=FAL"&amp;"SE),CONCATENATE(""Time limit måste vara x / y""),
AND(H48&lt;&gt;"""",I48&lt;&gt;""""),CONCATENATE(C48&amp;"" brukar ej ha cutoff OCH c.t.l""),
AND(E48=1,H48="""",I48="""",OR(FILTER(Info!$E$2:E81, Info!$A$2:A81 = C48) = ""Yes"",FILTER(Info!$F$2:F81, Info!$A$2:A81 = C48) "&amp;"= ""Yes""),OR(F48=""Avg of 5"",F48=""Mean of 3"")),CONCATENATE(C48&amp;"" bör ha cutoff eller c.t.l""),
AND(C48=""6x6 / 7x7"",I48&lt;&gt;"""",REGEXMATCH(TO_TEXT(I48),"" / "")=FALSE),CONCATENATE(""Cutoff måste vara x / y""),
AND(H48&lt;&gt;"""",ISNUMBER(H48)=FALSE),""C.t."&amp;"l. måste vara positivt tal (x)"",
AND(C48&lt;&gt;""6x6 / 7x7"",I48&lt;&gt;"""",ISNUMBER(I48)=FALSE),""Cutoff måste vara positivt tal (x)"",
AND(H48&lt;&gt;"""",FILTER(Info!$E$2:E81, Info!$A$2:A81 = C48) = ""No"",FILTER(Info!$F$2:F81, Info!$A$2:A81 = C48) = ""No""),CONCATEN"&amp;"ATE(C48&amp;"" brukar inte ha c.t.l.""),
AND(I48&lt;&gt;"""",FILTER(Info!$E$2:E81, Info!$A$2:A81 = C48) = ""No"",FILTER(Info!$F$2:F81, Info!$A$2:A81 = C48) = ""No""),CONCATENATE(C48&amp;"" brukar inte ha cutoff""),
AND(H48="""",FILTER(Info!$F$2:F81, Info!$A$2:A81 = C48"&amp;") = ""Yes""),CONCATENATE(C48&amp;"" brukar ha c.t.l.""),
AND(C48&lt;&gt;""6x6 / 7x7"",C48&lt;&gt;""4x4 / 5x5 BLD"",G48&lt;&gt;"""",ISNUMBER(G48)=FALSE),""Time limit måste vara positivt tal (x)"",
J48=""J - Error"",CONCATENATE(""För få deltagare i R1 för ""&amp;COUNTIF($C$7:$C$102,"&amp;"indirect(""C""&amp;row()))&amp;"" rundor""),
J48=""K2 - Error"",CONCATENATE(C48&amp;"" är mer populär - byt i K2!""),
AND(C48&lt;&gt;""6x6 / 7x7"",C48&lt;&gt;""4x4 / 5x5 BLD"",G48&lt;&gt;"""",I48&lt;&gt;"""",G48&lt;=I48),""Time limit måste vara &gt; cutoff"",
AND(C48&lt;&gt;""6x6 / 7x7"",C48&lt;&gt;""4x4 / 5"&amp;"x5 BLD"",H48&lt;&gt;"""",I48&lt;&gt;"""",H48&lt;=I48),""C.t.l. måste vara &gt; cutoff"",
AND(C48&lt;&gt;""3x3 FMC"",C48&lt;&gt;""3x3 MBLD"",J48=""""),CONCATENATE(""Fyll i antal deltagare i J""&amp;row()),
AND(C48="""",OR(E48&lt;&gt;"""",F48&lt;&gt;"""",G48&lt;&gt;"""",H48&lt;&gt;"""",I48&lt;&gt;"""",J48&lt;&gt;"""")),""Skri"&amp;"v ALLTID gren / aktivitet först"",
AND(I48="""",H48="""",J48&lt;&gt;""""),J48,
OR(""3x3 FMC""=C48,""3x3 MBLD""=C48),J48,
AND(I48&lt;&gt;"""",""6x6 / 7x7""=C48),
IFS(ArrayFormula(SUM(IFERROR(SPLIT(I48,"" / ""))))&lt;(Info!$J$6+Info!$J$7)*2/3,CONCATENATE(""Höj helst cutof"&amp;"fs i ""&amp;C48),
ArrayFormula(SUM(IFERROR(SPLIT(I48,"" / ""))))&lt;=(Info!$J$6+Info!$J$7),ROUNDUP(J48*Info!$J$22),
ArrayFormula(SUM(IFERROR(SPLIT(I48,"" / ""))))&lt;=Info!$J$6+Info!$J$7,ROUNDUP(J48*Info!$K$22),
ArrayFormula(SUM(IFERROR(SPLIT(I48,"" / ""))))&lt;=Info!"&amp;"$K$6+Info!$K$7,ROUNDUP(J48*Info!L$22),
ArrayFormula(SUM(IFERROR(SPLIT(I48,"" / ""))))&lt;=Info!$L$6+Info!$L$7,ROUNDUP(J48*Info!$M$22),
ArrayFormula(SUM(IFERROR(SPLIT(I48,"" / ""))))&lt;=Info!$M$6+Info!$M$7,ROUNDUP(J48*Info!$N$22),
ArrayFormula(SUM(IFERROR(SPLIT"&amp;"(I48,"" / ""))))&lt;=(Info!$N$6+Info!$N$7)*3/2,ROUNDUP(J48*Info!$J$26),
ArrayFormula(SUM(IFERROR(SPLIT(I48,"" / ""))))&gt;(Info!$N$6+Info!$N$7)*3/2,CONCATENATE(""Sänk helst cutoffs i ""&amp;C48)),
AND(I48&lt;&gt;"""",FILTER(Info!$E$2:E81, Info!$A$2:A81 = C48) = ""Yes""),"&amp;"
IFS(I48&lt;FILTER(Info!$J$2:J81, Info!$A$2:A81 = C48)*2/3,CONCATENATE(""Höj helst cutoff i ""&amp;C48),
I48&lt;=FILTER(Info!$J$2:J81, Info!$A$2:A81 = C48),ROUNDUP(J48*Info!$J$22),
I48&lt;=FILTER(Info!$K$2:K81, Info!$A$2:A81 = C48),ROUNDUP(J48*Info!$K$22),
I48&lt;=FILTER"&amp;"(Info!$L$2:L81, Info!$A$2:A81 = C48),ROUNDUP(J48*Info!L$22),
I48&lt;=FILTER(Info!$M$2:M81, Info!$A$2:A81 = C48),ROUNDUP(J48*Info!$M$22),
I48&lt;=FILTER(Info!$N$2:N81, Info!$A$2:A81 = C48),ROUNDUP(J48*Info!$N$22),
I48&lt;=FILTER(Info!$N$2:N81, Info!$A$2:A81 = C48)*"&amp;"3/2,ROUNDUP(J48*Info!$J$26),
I48&gt;FILTER(Info!$N$2:N81, Info!$A$2:A81 = C48)*3/2,CONCATENATE(""Sänk helst cutoff i ""&amp;C48)),
AND(H48&lt;&gt;"""",""6x6 / 7x7""=C48),
IFS(H48/3&lt;=(Info!$J$6+Info!$J$7)*2/3,""Höj helst cumulative time limit"",
H48/3&lt;=Info!$J$6+Info!$"&amp;"J$7,ROUNDUP(J48*Info!$J$24),
H48/3&lt;=Info!$K$6+Info!$K$7,ROUNDUP(J48*Info!$K$24),
H48/3&lt;=Info!$L$6+Info!$L$7,ROUNDUP(J48*Info!L$24),
H48/3&lt;=Info!$M$6+Info!$M$7,ROUNDUP(J48*Info!$M$24),
H48/3&lt;=Info!$N$6+Info!$N$7,ROUNDUP(J48*Info!$N$24),
H48/3&lt;=(Info!$N$6+I"&amp;"nfo!$N$7)*3/2,ROUNDUP(J48*Info!$L$26),
H48/3&gt;(Info!$J$6+Info!$J$7)*3/2,""Sänk helst cumulative time limit""),
AND(H48&lt;&gt;"""",FILTER(Info!$F$2:F81, Info!$A$2:A81 = C48) = ""Yes""),
IFS(H48&lt;=FILTER(Info!$J$2:J81, Info!$A$2:A81 = C48)*2/3,CONCATENATE(""Höj he"&amp;"lst c.t.l. i ""&amp;C48),
H48&lt;=FILTER(Info!$J$2:J81, Info!$A$2:A81 = C48),ROUNDUP(J48*Info!$J$24),
H48&lt;=FILTER(Info!$K$2:K81, Info!$A$2:A81 = C48),ROUNDUP(J48*Info!$K$24),
H48&lt;=FILTER(Info!$L$2:L81, Info!$A$2:A81 = C48),ROUNDUP(J48*Info!L$24),
H48&lt;=FILTER(Inf"&amp;"o!$M$2:M81, Info!$A$2:A81 = C48),ROUNDUP(J48*Info!$M$24),
H48&lt;=FILTER(Info!$N$2:N81, Info!$A$2:A81 = C48),ROUNDUP(J48*Info!$N$24),
H48&lt;=FILTER(Info!$N$2:N81, Info!$A$2:A81 = C48)*3/2,ROUNDUP(J48*Info!$L$26),
H48&gt;FILTER(Info!$N$2:N81, Info!$A$2:A81 = C48)*"&amp;"3/2,CONCATENATE(""Sänk helst c.t.l. i ""&amp;C48)),
AND(H48&lt;&gt;"""",FILTER(Info!$F$2:F81, Info!$A$2:A81 = C48) = ""No""),
IFS(H48/AA48&lt;=FILTER(Info!$J$2:J81, Info!$A$2:A81 = C48)*2/3,CONCATENATE(""Höj helst c.t.l. i ""&amp;C48),
H48/AA48&lt;=FILTER(Info!$J$2:J81, Info"&amp;"!$A$2:A81 = C48),ROUNDUP(J48*Info!$J$24),
H48/AA48&lt;=FILTER(Info!$K$2:K81, Info!$A$2:A81 = C48),ROUNDUP(J48*Info!$K$24),
H48/AA48&lt;=FILTER(Info!$L$2:L81, Info!$A$2:A81 = C48),ROUNDUP(J48*Info!L$24),
H48/AA48&lt;=FILTER(Info!$M$2:M81, Info!$A$2:A81 = C48),ROUND"&amp;"UP(J48*Info!$M$24),
H48/AA48&lt;=FILTER(Info!$N$2:N81, Info!$A$2:A81 = C48),ROUNDUP(J48*Info!$N$24),
H48/AA48&lt;=FILTER(Info!$N$2:N81, Info!$A$2:A81 = C48)*3/2,ROUNDUP(J48*Info!$L$26),
H48/AA48&gt;FILTER(Info!$N$2:N81, Info!$A$2:A81 = C48)*3/2,CONCATENATE(""Sänk "&amp;"helst c.t.l. i ""&amp;C48)),
AND(I48="""",H48&lt;&gt;"""",J48&lt;&gt;""""),ROUNDUP(J48*Info!$T$29),
AND(I48&lt;&gt;"""",H48="""",J48&lt;&gt;""""),ROUNDUP(J48*Info!$T$26))"),"")</f>
        <v/>
      </c>
      <c r="L48" s="42">
        <f>IFERROR(__xludf.DUMMYFUNCTION("IFS(C48="""",0,
C48=""3x3 FMC"",Info!$B$9*N48+M48, C48=""3x3 MBLD"",Info!$B$18*N48+M48,
COUNTIF(Info!$A$22:A81,C48)&gt;0,FILTER(Info!$B$22:B81,Info!$A$22:A81=C48)+M48,
AND(C48&lt;&gt;"""",E48=""""),CONCATENATE(""Fyll i E""&amp;row()),
AND(C48&lt;&gt;"""",E48&lt;&gt;"""",E48&lt;&gt;1,E4"&amp;"8&lt;&gt;2,E48&lt;&gt;3,E48&lt;&gt;""Final""),CONCATENATE(""Fel format på E""&amp;row()),
K48=CONCATENATE(""Runda ""&amp;E48&amp;"" i ""&amp;C48&amp;"" finns redan""),CONCATENATE(""Fel i E""&amp;row()),
AND(C48&lt;&gt;"""",F48=""""),CONCATENATE(""Fyll i F""&amp;row()),
K48=CONCATENATE(C48&amp;"" måste ha forma"&amp;"tet ""&amp;FILTER(Info!$D$2:D81, Info!$A$2:A81 = C48)),CONCATENATE(""Fel format på F""&amp;row()),
AND(C48&lt;&gt;"""",D48=1,H48="""",FILTER(Info!$F$2:F81, Info!$A$2:A81 = C48) = ""Yes""),CONCATENATE(""Fyll i H""&amp;row()),
AND(C48&lt;&gt;"""",D48=1,I48="""",FILTER(Info!$E$2:E8"&amp;"1, Info!$A$2:A81 = C48) = ""Yes""),CONCATENATE(""Fyll i I""&amp;row()),
AND(C48&lt;&gt;"""",J48=""""),CONCATENATE(""Fyll i J""&amp;row()),
AND(C48&lt;&gt;"""",K48="""",OR(H48&lt;&gt;"""",I48&lt;&gt;"""")),CONCATENATE(""Fyll i K""&amp;row()),
AND(C48&lt;&gt;"""",K48=""""),CONCATENATE(""Skriv samma"&amp;" i K""&amp;row()&amp;"" som i J""&amp;row()),
AND(OR(C48=""4x4 BLD"",C48=""5x5 BLD"",C48=""4x4 / 5x5 BLD"")=TRUE,V48&lt;=P48),
MROUND(H48*(Info!$T$20-((Info!$T$20-1)/2)*(1-V48/P48))*(1+((J48/K48)-1)*(1-Info!$J$24))*N48+(Info!$T$11/2)+(N48*Info!$T$11)+(N48*Info!$T$14*(O4"&amp;"8-1)),0.01)+M48,
AND(OR(C48=""4x4 BLD"",C48=""5x5 BLD"",C48=""4x4 / 5x5 BLD"")=TRUE,V48&gt;P48),
MROUND((((J48*Z48+K48*(AA48-Z48))*(H48*Info!$T$20/AA48))/X48)*(1+((J48/K48)-1)*(1-Info!$J$24))*(1+(X48-Info!$T$8)/100)+(Info!$T$11/2)+(N48*Info!$T$11)+(N48*Info!"&amp;"$T$14*(O48-1)),0.01)+M48,
AND(C48=""3x3 BLD"",V48&lt;=P48),
MROUND(H48*(Info!$T$23-((Info!$T$23-1)/2)*(1-V48/P48))*(1+((J48/K48)-1)*(1-Info!$J$24))*N48+(Info!$T$11/2)+(N48*Info!$T$11)+(N48*Info!$T$14*(O48-1)),0.01)+M48,
AND(C48=""3x3 BLD"",V48&gt;P48),
MROUND(("&amp;"((J48*Z48+K48*(AA48-Z48))*(H48*Info!$T$23/AA48))/X48)*(1+((J48/K48)-1)*(1-Info!$J$24))*(1+(X48-Info!$T$8)/100)+(Info!$T$11/2)+(N48*Info!$T$11)+(N48*Info!$T$14*(O48-1)),0.01)+M48,
E48=1,MROUND((((J48*Z48+K48*(AA48-Z48))*Y48)/X48)*(1+(X48-Info!$T$8)/100)+(N"&amp;"48*Info!$T$11)+(N48*Info!$T$14*(O48-1)),0.01)+M48,
AND(E48=""Final"",N48=1,FILTER(Info!$G$2:$G$20,Info!$A$2:$A$20=C48)=""Mycket svår""),
MROUND((((J48*Z48+K48*(AA48-Z48))*(Y48*Info!$T$38))/X48)*(1+(X48-Info!$T$8)/100)+(N48*Info!$T$11)+(N48*Info!$T$14*(O48"&amp;"-1)),0.01)+M48,
AND(E48=""Final"",N48=1,FILTER(Info!$G$2:$G$20,Info!$A$2:$A$20=C48)=""Svår""),
MROUND((((J48*Z48+K48*(AA48-Z48))*(Y48*Info!$T$35))/X48)*(1+(X48-Info!$T$8)/100)+(N48*Info!$T$11)+(N48*Info!$T$14*(O48-1)),0.01)+M48,
E48=""Final"",MROUND((((J4"&amp;"8*Z48+K48*(AA48-Z48))*(Y48*Info!$T$5))/X48)*(1+(X48-Info!$T$8)/100)+(N48*Info!$T$11)+(N48*Info!$T$14*(O48-1)),0.01)+M48,
OR(E48=2,E48=3),MROUND((((J48*Z48+K48*(AA48-Z48))*(Y48*Info!$T$2))/X48)*(1+(X48-Info!$T$8)/100)+(N48*Info!$T$11)+(N48*Info!$T$14*(O48-"&amp;"1)),0.01)+M48)"),0.0)</f>
        <v>0</v>
      </c>
      <c r="M48" s="43">
        <f t="shared" si="4"/>
        <v>0</v>
      </c>
      <c r="N48" s="43" t="str">
        <f>IFS(OR(COUNTIF(Info!$A$22:A81,C48)&gt;0,C48=""),"",
OR(C48="4x4 BLD",C48="5x5 BLD",C48="3x3 MBLD",C48="3x3 FMC",C48="4x4 / 5x5 BLD"),1,
AND(E48="Final",Q48="Yes",MAX(1,ROUNDUP(J48/P48))&gt;1),MAX(2,ROUNDUP(J48/P48)),
AND(E48="Final",Q48="No",MAX(1,ROUNDUP(J48/((P48*2)+2.625-Y48*1.5)))&gt;1),MAX(2,ROUNDUP(J48/((P48*2)+2.625-Y48*1.5))),
E48="Final",1,
Q48="Yes",MAX(2,ROUNDUP(J48/P48)),
TRUE,MAX(2,ROUNDUP(J48/((P48*2)+2.625-Y48*1.5))))</f>
        <v/>
      </c>
      <c r="O48" s="43" t="str">
        <f>IFS(OR(COUNTIF(Info!$A$22:A81,C48)&gt;0,C48=""),"",
OR("3x3 MBLD"=C48,"3x3 FMC"=C48)=TRUE,"",
D48=$E$4,$G$6,D48=$K$4,$M$6,D48=$Q$4,$S$6,D48=$W$4,$Y$6,
TRUE,$S$2)</f>
        <v/>
      </c>
      <c r="P48" s="43" t="str">
        <f>IFS(OR(COUNTIF(Info!$A$22:A81,C48)&gt;0,C48=""),"",
OR("3x3 MBLD"=C48,"3x3 FMC"=C48)=TRUE,"",
D48=$E$4,$E$6,D48=$K$4,$K$6,D48=$Q$4,$Q$6,D48=$W$4,$W$6,
TRUE,$Q$2)</f>
        <v/>
      </c>
      <c r="Q48" s="44" t="str">
        <f>IFS(OR(COUNTIF(Info!$A$22:A81,C48)&gt;0,C48=""),"",
OR("3x3 MBLD"=C48,"3x3 FMC"=C48)=TRUE,"",
D48=$E$4,$I$6,D48=$K$4,$O$6,D48=$Q$4,$U$6,D48=$W$4,$AA$6,
TRUE,$U$2)</f>
        <v/>
      </c>
      <c r="R48" s="45" t="str">
        <f>IFERROR(__xludf.DUMMYFUNCTION("IF(C48="""","""",IFERROR(FILTER(Info!$B$22:B81,Info!$A$22:A81=C48)+M48,""?""))"),"")</f>
        <v/>
      </c>
      <c r="S48" s="46" t="str">
        <f>IFS(OR(COUNTIF(Info!$A$22:A81,C48)&gt;0,C48=""),"",
AND(H48="",I48=""),J48,
TRUE,"?")</f>
        <v/>
      </c>
      <c r="T48" s="45" t="str">
        <f>IFS(OR(COUNTIF(Info!$A$22:A81,C48)&gt;0,C48=""),"",
AND(L48&lt;&gt;0,OR(R48="?",R48="")),"Fyll i R-kolumnen",
OR(C48="3x3 FMC",C48="3x3 MBLD"),R48,
AND(L48&lt;&gt;0,OR(S48="?",S48="")),"Fyll i S-kolumnen",
OR(COUNTIF(Info!$A$22:A81,C48)&gt;0,C48=""),"",
TRUE,Y48*R48/L48)</f>
        <v/>
      </c>
      <c r="U48" s="45"/>
      <c r="V48" s="47" t="str">
        <f>IFS(OR(COUNTIF(Info!$A$22:A81,C48)&gt;0,C48=""),"",
OR("3x3 MBLD"=C48,"3x3 FMC"=C48)=TRUE,"",
TRUE,MROUND((J48/N48),0.01))</f>
        <v/>
      </c>
      <c r="W48" s="48" t="str">
        <f>IFS(OR(COUNTIF(Info!$A$22:A81,C48)&gt;0,C48=""),"",
TRUE,L48/N48)</f>
        <v/>
      </c>
      <c r="X48" s="49" t="str">
        <f>IFS(OR(COUNTIF(Info!$A$22:A81,C48)&gt;0,C48=""),"",
OR("3x3 MBLD"=C48,"3x3 FMC"=C48)=TRUE,"",
OR(C48="4x4 BLD",C48="5x5 BLD",C48="4x4 / 5x5 BLD",AND(C48="3x3 BLD",H48&lt;&gt;""))=TRUE,MIN(V48,P48),
TRUE,MIN(P48,V48,MROUND(((V48*2/3)+((Y48-1.625)/2)),0.01)))</f>
        <v/>
      </c>
      <c r="Y48" s="48" t="str">
        <f>IFERROR(__xludf.DUMMYFUNCTION("IFS(OR(COUNTIF(Info!$A$22:A81,C48)&gt;0,C48=""""),"""",
FILTER(Info!$F$2:F81, Info!$A$2:A81 = C48) = ""Yes"",H48/AA48,
""3x3 FMC""=C48,Info!$B$9,""3x3 MBLD""=C48,Info!$B$18,
AND(E48=1,I48="""",H48="""",Q48=""No"",G48&gt;SUMIF(Info!$A$2:A81,C48,Info!$B$2:B81)*1."&amp;"5),
MIN(SUMIF(Info!$A$2:A81,C48,Info!$B$2:B81)*1.1,SUMIF(Info!$A$2:A81,C48,Info!$B$2:B81)*(1.15-(0.15*(SUMIF(Info!$A$2:A81,C48,Info!$B$2:B81)*1.5)/G48))),
AND(E48=1,I48="""",H48="""",Q48=""Yes"",G48&gt;SUMIF(Info!$A$2:A81,C48,Info!$C$2:C81)*1.5),
MIN(SUMIF(I"&amp;"nfo!$A$2:A81,C48,Info!$C$2:C81)*1.1,SUMIF(Info!$A$2:A81,C48,Info!$C$2:C81)*(1.15-(0.15*(SUMIF(Info!$A$2:A81,C48,Info!$C$2:C81)*1.5)/G48))),
Q48=""No"",SUMIF(Info!$A$2:A81,C48,Info!$B$2:B81),
Q48=""Yes"",SUMIF(Info!$A$2:A81,C48,Info!$C$2:C81))"),"")</f>
        <v/>
      </c>
      <c r="Z48" s="47" t="str">
        <f>IFS(OR(COUNTIF(Info!$A$22:A81,C48)&gt;0,C48=""),"",
AND(OR("3x3 FMC"=C48,"3x3 MBLD"=C48),I48&lt;&gt;""),1,
AND(OR(H48&lt;&gt;"",I48&lt;&gt;""),F48="Avg of 5"),2,
F48="Avg of 5",AA48,
AND(OR(H48&lt;&gt;"",I48&lt;&gt;""),F48="Mean of 3",C48="6x6 / 7x7"),2,
AND(OR(H48&lt;&gt;"",I48&lt;&gt;""),F48="Mean of 3"),1,
F48="Mean of 3",AA48,
AND(OR(H48&lt;&gt;"",I48&lt;&gt;""),F48="Best of 3",C48="4x4 / 5x5 BLD"),2,
AND(OR(H48&lt;&gt;"",I48&lt;&gt;""),F48="Best of 3"),1,
F48="Best of 2",AA48,
F48="Best of 1",AA48)</f>
        <v/>
      </c>
      <c r="AA48" s="47" t="str">
        <f>IFS(OR(COUNTIF(Info!$A$22:A81,C48)&gt;0,C48=""),"",
AND(OR("3x3 MBLD"=C48,"3x3 FMC"=C48),F48="Best of 1"=TRUE),1,
AND(OR("3x3 MBLD"=C48,"3x3 FMC"=C48),F48="Best of 2"=TRUE),2,
AND(OR("3x3 MBLD"=C48,"3x3 FMC"=C48),OR(F48="Best of 3",F48="Mean of 3")=TRUE),3,
AND(F48="Mean of 3",C48="6x6 / 7x7"),6,
AND(F48="Best of 3",C48="4x4 / 5x5 BLD"),6,
F48="Avg of 5",5,F48="Mean of 3",3,F48="Best of 3",3,F48="Best of 2",2,F48="Best of 1",1)</f>
        <v/>
      </c>
      <c r="AB48" s="50"/>
    </row>
    <row r="49" ht="15.75" customHeight="1">
      <c r="A49" s="35">
        <f>IFERROR(__xludf.DUMMYFUNCTION("IFS(indirect(""A""&amp;row()-1)=""Start"",TIME(indirect(""A""&amp;row()-2),indirect(""B""&amp;row()-2),0),
$O$2=""No"",TIME(0,($A$6*60+$B$6)+CEILING(SUM($L$7:indirect(""L""&amp;row()-1)),5),0),
D49=$E$2,TIME(0,($A$6*60+$B$6)+CEILING(SUM(IFERROR(FILTER($L$7:indirect(""L"""&amp;"&amp;row()-1),REGEXMATCH($D$7:indirect(""D""&amp;row()-1),$E$2)),0)),5),0),
TRUE,""=time(hh;mm;ss)"")"),0.375)</f>
        <v>0.375</v>
      </c>
      <c r="B49" s="36">
        <f>IFERROR(__xludf.DUMMYFUNCTION("IFS($O$2=""No"",TIME(0,($A$6*60+$B$6)+CEILING(SUM($L$7:indirect(""L""&amp;row())),5),0),
D49=$E$2,TIME(0,($A$6*60+$B$6)+CEILING(SUM(FILTER($L$7:indirect(""L""&amp;row()),REGEXMATCH($D$7:indirect(""D""&amp;row()),$E$2))),5),0),
A49=""=time(hh;mm;ss)"",CONCATENATE(""Sk"&amp;"riv tid i A""&amp;row()),
AND(A49&lt;&gt;"""",A49&lt;&gt;""=time(hh;mm;ss)""),A49+TIME(0,CEILING(indirect(""L""&amp;row()),5),0))"),0.375)</f>
        <v>0.375</v>
      </c>
      <c r="C49" s="37"/>
      <c r="D49" s="38" t="str">
        <f t="shared" si="3"/>
        <v>Stora salen</v>
      </c>
      <c r="E49" s="38" t="str">
        <f>IFERROR(__xludf.DUMMYFUNCTION("IFS(COUNTIF(Info!$A$22:A81,C49)&gt;0,"""",
AND(OR(""3x3 FMC""=C49,""3x3 MBLD""=C49),COUNTIF($C$7:indirect(""C""&amp;row()),indirect(""C""&amp;row()))&gt;=13),""E - Error"",
AND(OR(""3x3 FMC""=C49,""3x3 MBLD""=C49),COUNTIF($C$7:indirect(""C""&amp;row()),indirect(""C""&amp;row()"&amp;"))=12),""Final - A3"",
AND(OR(""3x3 FMC""=C49,""3x3 MBLD""=C49),COUNTIF($C$7:indirect(""C""&amp;row()),indirect(""C""&amp;row()))=11),""Final - A2"",
AND(OR(""3x3 FMC""=C49,""3x3 MBLD""=C49),COUNTIF($C$7:indirect(""C""&amp;row()),indirect(""C""&amp;row()))=10),""Final - "&amp;"A1"",
AND(OR(""3x3 FMC""=C49,""3x3 MBLD""=C49),COUNTIF($C$7:indirect(""C""&amp;row()),indirect(""C""&amp;row()))=9,
COUNTIF($C$7:$C$102,indirect(""C""&amp;row()))&gt;9),""R3 - A3"",
AND(OR(""3x3 FMC""=C49,""3x3 MBLD""=C49),COUNTIF($C$7:indirect(""C""&amp;row()),indirect(""C"&amp;"""&amp;row()))=9,
COUNTIF($C$7:$C$102,indirect(""C""&amp;row()))&lt;=9),""Final - A3"",
AND(OR(""3x3 FMC""=C49,""3x3 MBLD""=C49),COUNTIF($C$7:indirect(""C""&amp;row()),indirect(""C""&amp;row()))=8,
COUNTIF($C$7:$C$102,indirect(""C""&amp;row()))&gt;9),""R3 - A2"",
AND(OR(""3x3 FMC"&amp;"""=C49,""3x3 MBLD""=C49),COUNTIF($C$7:indirect(""C""&amp;row()),indirect(""C""&amp;row()))=8,
COUNTIF($C$7:$C$102,indirect(""C""&amp;row()))&lt;=9),""Final - A2"",
AND(OR(""3x3 FMC""=C49,""3x3 MBLD""=C49),COUNTIF($C$7:indirect(""C""&amp;row()),indirect(""C""&amp;row()))=7,
COUN"&amp;"TIF($C$7:$C$102,indirect(""C""&amp;row()))&gt;9),""R3 - A1"",
AND(OR(""3x3 FMC""=C49,""3x3 MBLD""=C49),COUNTIF($C$7:indirect(""C""&amp;row()),indirect(""C""&amp;row()))=7,
COUNTIF($C$7:$C$102,indirect(""C""&amp;row()))&lt;=9),""Final - A1"",
AND(OR(""3x3 FMC""=C49,""3x3 MBLD"""&amp;"=C49),COUNTIF($C$7:indirect(""C""&amp;row()),indirect(""C""&amp;row()))=6,
COUNTIF($C$7:$C$102,indirect(""C""&amp;row()))&gt;6),""R2 - A3"",
AND(OR(""3x3 FMC""=C49,""3x3 MBLD""=C49),COUNTIF($C$7:indirect(""C""&amp;row()),indirect(""C""&amp;row()))=6,
COUNTIF($C$7:$C$102,indirec"&amp;"t(""C""&amp;row()))&lt;=6),""Final - A3"",
AND(OR(""3x3 FMC""=C49,""3x3 MBLD""=C49),COUNTIF($C$7:indirect(""C""&amp;row()),indirect(""C""&amp;row()))=5,
COUNTIF($C$7:$C$102,indirect(""C""&amp;row()))&gt;6),""R2 - A2"",
AND(OR(""3x3 FMC""=C49,""3x3 MBLD""=C49),COUNTIF($C$7:indi"&amp;"rect(""C""&amp;row()),indirect(""C""&amp;row()))=5,
COUNTIF($C$7:$C$102,indirect(""C""&amp;row()))&lt;=6),""Final - A2"",
AND(OR(""3x3 FMC""=C49,""3x3 MBLD""=C49),COUNTIF($C$7:indirect(""C""&amp;row()),indirect(""C""&amp;row()))=4,
COUNTIF($C$7:$C$102,indirect(""C""&amp;row()))&gt;6),"&amp;"""R2 - A1"",
AND(OR(""3x3 FMC""=C49,""3x3 MBLD""=C49),COUNTIF($C$7:indirect(""C""&amp;row()),indirect(""C""&amp;row()))=4,
COUNTIF($C$7:$C$102,indirect(""C""&amp;row()))&lt;=6),""Final - A1"",
AND(OR(""3x3 FMC""=C49,""3x3 MBLD""=C49),COUNTIF($C$7:indirect(""C""&amp;row()),i"&amp;"ndirect(""C""&amp;row()))=3),""R1 - A3"",
AND(OR(""3x3 FMC""=C49,""3x3 MBLD""=C49),COUNTIF($C$7:indirect(""C""&amp;row()),indirect(""C""&amp;row()))=2),""R1 - A2"",
AND(OR(""3x3 FMC""=C49,""3x3 MBLD""=C49),COUNTIF($C$7:indirect(""C""&amp;row()),indirect(""C""&amp;row()))=1),"&amp;"""R1 -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C49),ROUNDUP((FILTER(Info!$H$2:H81,Info!$A$2:A81=C49)/FILTER(Info!$H$2:H81,Info!$A$2:A81=$K$2))*$I$2)&gt;99),3,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C49),ROUNDUP((FILTER(Info!$H$2:H81,Info!$A$2:A81=C49)/FILTER(Info!$H$2:H81,Info!$A$2:A81=$K$2))*$I$2)&gt;15),2,
AND(COUNTIF($C$7:indirect(""C""&amp;row()),indirect(""C""&amp;row()))=2,COUNTIF($C$7:$C$102,indirect(""C""&amp;row()))=COUNTIF($"&amp;"C$7:indirect(""C""&amp;row()),indirect(""C""&amp;row()))),""Final"",
COUNTIF($C$7:indirect(""C""&amp;row()),indirect(""C""&amp;row()))=1,1,
COUNTIF($C$7:indirect(""C""&amp;row()),indirect(""C""&amp;row()))=0,"""")"),"")</f>
        <v/>
      </c>
      <c r="F49" s="39" t="str">
        <f>IFERROR(__xludf.DUMMYFUNCTION("IFS(C49="""","""",
AND(C49=""3x3 FMC"",MOD(COUNTIF($C$7:indirect(""C""&amp;row()),indirect(""C""&amp;row())),3)=0),""Mean of 3"",
AND(C49=""3x3 MBLD"",MOD(COUNTIF($C$7:indirect(""C""&amp;row()),indirect(""C""&amp;row())),3)=0),""Best of 3"",
AND(C49=""3x3 FMC"",MOD(COUNT"&amp;"IF($C$7:indirect(""C""&amp;row()),indirect(""C""&amp;row())),3)=2,
COUNTIF($C$7:$C$102,indirect(""C""&amp;row()))&lt;=COUNTIF($C$7:indirect(""C""&amp;row()),indirect(""C""&amp;row()))),""Best of 2"",
AND(C49=""3x3 FMC"",MOD(COUNTIF($C$7:indirect(""C""&amp;row()),indirect(""C""&amp;row("&amp;"))),3)=2,
COUNTIF($C$7:$C$102,indirect(""C""&amp;row()))&gt;COUNTIF($C$7:indirect(""C""&amp;row()),indirect(""C""&amp;row()))),""Mean of 3"",
AND(C49=""3x3 MBLD"",MOD(COUNTIF($C$7:indirect(""C""&amp;row()),indirect(""C""&amp;row())),3)=2,
COUNTIF($C$7:$C$102,indirect(""C""&amp;row("&amp;")))&lt;=COUNTIF($C$7:indirect(""C""&amp;row()),indirect(""C""&amp;row()))),""Best of 2"",
AND(C49=""3x3 MBLD"",MOD(COUNTIF($C$7:indirect(""C""&amp;row()),indirect(""C""&amp;row())),3)=2,
COUNTIF($C$7:$C$102,indirect(""C""&amp;row()))&gt;COUNTIF($C$7:indirect(""C""&amp;row()),indirect("&amp;"""C""&amp;row()))),""Best of 3"",
AND(C49=""3x3 FMC"",MOD(COUNTIF($C$7:indirect(""C""&amp;row()),indirect(""C""&amp;row())),3)=1,
COUNTIF($C$7:$C$102,indirect(""C""&amp;row()))&lt;=COUNTIF($C$7:indirect(""C""&amp;row()),indirect(""C""&amp;row()))),""Best of 1"",
AND(C49=""3x3 FMC"""&amp;",MOD(COUNTIF($C$7:indirect(""C""&amp;row()),indirect(""C""&amp;row())),3)=1,
COUNTIF($C$7:$C$102,indirect(""C""&amp;row()))=COUNTIF($C$7:indirect(""C""&amp;row()),indirect(""C""&amp;row()))+1),""Best of 2"",
AND(C49=""3x3 FMC"",MOD(COUNTIF($C$7:indirect(""C""&amp;row()),indirect"&amp;"(""C""&amp;row())),3)=1,
COUNTIF($C$7:$C$102,indirect(""C""&amp;row()))&gt;COUNTIF($C$7:indirect(""C""&amp;row()),indirect(""C""&amp;row()))),""Mean of 3"",
AND(C49=""3x3 MBLD"",MOD(COUNTIF($C$7:indirect(""C""&amp;row()),indirect(""C""&amp;row())),3)=1,
COUNTIF($C$7:$C$102,indirect"&amp;"(""C""&amp;row()))&lt;=COUNTIF($C$7:indirect(""C""&amp;row()),indirect(""C""&amp;row()))),""Best of 1"",
AND(C49=""3x3 MBLD"",MOD(COUNTIF($C$7:indirect(""C""&amp;row()),indirect(""C""&amp;row())),3)=1,
COUNTIF($C$7:$C$102,indirect(""C""&amp;row()))=COUNTIF($C$7:indirect(""C""&amp;row()"&amp;"),indirect(""C""&amp;row()))+1),""Best of 2"",
AND(C49=""3x3 MBLD"",MOD(COUNTIF($C$7:indirect(""C""&amp;row()),indirect(""C""&amp;row())),3)=1,
COUNTIF($C$7:$C$102,indirect(""C""&amp;row()))&gt;COUNTIF($C$7:indirect(""C""&amp;row()),indirect(""C""&amp;row()))),""Best of 3"",
TRUE,("&amp;"IFERROR(FILTER(Info!$D$2:D81, Info!$A$2:A81 = C49), """")))"),"")</f>
        <v/>
      </c>
      <c r="G49" s="40" t="str">
        <f>IFERROR(__xludf.DUMMYFUNCTION("IFS(OR(COUNTIF(Info!$A$22:A81,C49)&gt;0,C49=""""),"""",
OR(""3x3 MBLD""=C49,""3x3 FMC""=C49),60,
AND(E49=1,FILTER(Info!$F$2:F81, Info!$A$2:A81 = C49) = ""No""),FILTER(Info!$P$2:P81, Info!$A$2:A81 = C49),
AND(E49=2,FILTER(Info!$F$2:F81, Info!$A$2:A81 = C49) ="&amp;" ""No""),FILTER(Info!$Q$2:Q81, Info!$A$2:A81 = C49),
AND(E49=3,FILTER(Info!$F$2:F81, Info!$A$2:A81 = C49) = ""No""),FILTER(Info!$R$2:R81, Info!$A$2:A81 = C49),
AND(E49=""Final"",FILTER(Info!$F$2:F81, Info!$A$2:A81 = C49) = ""No""),FILTER(Info!$S$2:S81, In"&amp;"fo!$A$2:A81 = C49),
FILTER(Info!$F$2:F81, Info!$A$2:A81 = C49) = ""Yes"","""")"),"")</f>
        <v/>
      </c>
      <c r="H49" s="40" t="str">
        <f>IFERROR(__xludf.DUMMYFUNCTION("IFS(OR(COUNTIF(Info!$A$22:A81,C49)&gt;0,C49=""""),"""",
OR(""3x3 MBLD""=C49,""3x3 FMC""=C49)=TRUE,"""",
FILTER(Info!$F$2:F81, Info!$A$2:A81 = C49) = ""Yes"",FILTER(Info!$O$2:O81, Info!$A$2:A81 = C49),
FILTER(Info!$F$2:F81, Info!$A$2:A81 = C49) = ""No"",IF(G4"&amp;"9="""",FILTER(Info!$O$2:O81, Info!$A$2:A81 = C49),""""))"),"")</f>
        <v/>
      </c>
      <c r="I49" s="40" t="str">
        <f>IFERROR(__xludf.DUMMYFUNCTION("IFS(OR(COUNTIF(Info!$A$22:A81,C49)&gt;0,C49="""",H49&lt;&gt;""""),"""",
AND(E49&lt;&gt;1,E49&lt;&gt;""R1 - A1"",E49&lt;&gt;""R1 - A2"",E49&lt;&gt;""R1 - A3""),"""",
FILTER(Info!$E$2:E81, Info!$A$2:A81 = C49) = ""Yes"",IF(H49="""",FILTER(Info!$L$2:L81, Info!$A$2:A81 = C49),""""),
FILTER(I"&amp;"nfo!$E$2:E81, Info!$A$2:A81 = C49) = ""No"","""")"),"")</f>
        <v/>
      </c>
      <c r="J49" s="40" t="str">
        <f>IFERROR(__xludf.DUMMYFUNCTION("IFS(OR(COUNTIF(Info!$A$22:A81,C49)&gt;0,C49="""",""3x3 MBLD""=C49,""3x3 FMC""=C49),"""",
AND(E49=1,FILTER(Info!$H$2:H81,Info!$A$2:A81 = C49)&lt;=FILTER(Info!$H$2:H81,Info!$A$2:A81=$K$2)),
ROUNDUP((FILTER(Info!$H$2:H81,Info!$A$2:A81 = C49)/FILTER(Info!$H$2:H81,I"&amp;"nfo!$A$2:A81=$K$2))*$I$2),
AND(E49=1,FILTER(Info!$H$2:H81,Info!$A$2:A81 = C49)&gt;FILTER(Info!$H$2:H81,Info!$A$2:A81=$K$2)),""K2 - Error"",
AND(E49=2,FILTER($J$7:indirect(""J""&amp;row()-1),$C$7:indirect(""C""&amp;row()-1)=C49)&lt;=7),""J - Error"",
E49=2,FLOOR(FILTER("&amp;"$J$7:indirect(""J""&amp;row()-1),$C$7:indirect(""C""&amp;row()-1)=C49)*Info!$T$32),
AND(E49=3,FILTER($J$7:indirect(""J""&amp;row()-1),$C$7:indirect(""C""&amp;row()-1)=C49)&lt;=15),""J - Error"",
E49=3,FLOOR(Info!$T$32*FLOOR(FILTER($J$7:indirect(""J""&amp;row()-1),$C$7:indirect("&amp;"""C""&amp;row()-1)=C49)*Info!$T$32)),
AND(E49=""Final"",COUNTIF($C$7:$C$102,C49)=2,FILTER($J$7:indirect(""J""&amp;row()-1),$C$7:indirect(""C""&amp;row()-1)=C49)&lt;=7),""J - Error"",
AND(E49=""Final"",COUNTIF($C$7:$C$102,C49)=2),
MIN(P49,FLOOR(FILTER($J$7:indirect(""J"""&amp;"&amp;row()-1),$C$7:indirect(""C""&amp;row()-1)=C49)*Info!$T$32)),
AND(E49=""Final"",COUNTIF($C$7:$C$102,C49)=3,FILTER($J$7:indirect(""J""&amp;row()-1),$C$7:indirect(""C""&amp;row()-1)=C49)&lt;=15),""J - Error"",
AND(E49=""Final"",COUNTIF($C$7:$C$102,C49)=3),
MIN(P49,FLOOR(I"&amp;"nfo!$T$32*FLOOR(FILTER($J$7:indirect(""J""&amp;row()-1),$C$7:indirect(""C""&amp;row()-1)=C49)*Info!$T$32))),
AND(E49=""Final"",COUNTIF($C$7:$C$102,C49)&gt;=4,FILTER($J$7:indirect(""J""&amp;row()-1),$C$7:indirect(""C""&amp;row()-1)=C49)&lt;=99),""J - Error"",
AND(E49=""Final"","&amp;"COUNTIF($C$7:$C$102,C49)&gt;=4),
MIN(P49,FLOOR(Info!$T$32*FLOOR(Info!$T$32*FLOOR(FILTER($J$7:indirect(""J""&amp;row()-1),$C$7:indirect(""C""&amp;row()-1)=C49)*Info!$T$32)))))"),"")</f>
        <v/>
      </c>
      <c r="K49" s="41" t="str">
        <f>IFERROR(__xludf.DUMMYFUNCTION("IFS(AND(indirect(""D""&amp;row()+2)&lt;&gt;$E$2,indirect(""D""&amp;row()+1)=""""),CONCATENATE(""Tom rad! Kopiera hela rad ""&amp;row()&amp;"" dit""),
AND(indirect(""D""&amp;row()-1)&lt;&gt;""Rum"",indirect(""D""&amp;row()-1)=""""),CONCATENATE(""Tom rad! Kopiera hela rad ""&amp;row()&amp;"" dit""),
"&amp;"C49="""","""",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OR(AND(D49&lt;&gt;$E$2,D49&lt;&gt;$E$4,D49&lt;&gt;$K$4,D49&lt;&gt;$Q$4),D49="&amp;"""""),CONCATENATE(""Rum: ""&amp;D49&amp;"" finns ej, byt i D""&amp;row()),
AND(indirect(""D""&amp;row()-1)=""Rum"",C49=""""),CONCATENATE(""För att börja: skriv i cell C""&amp;row()),
AND(C49=""Paus"",M49&lt;=0),CONCATENATE(""Skriv pausens längd i M""&amp;row()),
OR(COUNTIF(Info!$A$"&amp;"22:A81,C49)&gt;0,C49=""""),"""",
AND(D49&lt;&gt;$E$2,$O$2=""Yes"",A49=""=time(hh;mm;ss)""),CONCATENATE(""Skriv starttid för ""&amp;C49&amp;"" i A""&amp;row()),
E49=""E - Error"",CONCATENATE(""För många ""&amp;C49&amp;"" rundor!""),
AND(C49&lt;&gt;""3x3 FMC"",C49&lt;&gt;""3x3 MBLD"",E49&lt;&gt;1,E49&lt;&gt;"&amp;"""Final"",IFERROR(FILTER($E$7:indirect(""E""&amp;row()-1),
$E$7:indirect(""E""&amp;row()-1)=E49-1,$C$7:indirect(""C""&amp;row()-1)=C49))=FALSE),CONCATENATE(""Kan ej vara R""&amp;E49&amp;"", saknar R""&amp;(E49-1)),
AND(indirect(""E""&amp;row()-1)&lt;&gt;""Omgång"",IFERROR(FILTER($E$7:indi"&amp;"rect(""E""&amp;row()-1),
$E$7:indirect(""E""&amp;row()-1)=E49,$C$7:indirect(""C""&amp;row()-1)=C49)=E49)=TRUE),CONCATENATE(""Runda ""&amp;E49&amp;"" i ""&amp;C49&amp;"" finns redan""),
AND(C49&lt;&gt;""3x3 BLD"",C49&lt;&gt;""4x4 BLD"",C49&lt;&gt;""5x5 BLD"",C49&lt;&gt;""4x4 / 5x5 BLD"",OR(E49=2,E49=3,E49="&amp;"""Final""),H49&lt;&gt;""""),CONCATENATE(E49&amp;""-rundor brukar ej ha c.t.l.""),
AND(OR(E49=2,E49=3,E49=""Final""),I49&lt;&gt;""""),CONCATENATE(E49&amp;""-rundor brukar ej ha cutoff""),
AND(OR(C49=""3x3 FMC"",C49=""3x3 MBLD""),OR(E49=1,E49=2,E49=3,E49=""Final"")),CONCATENAT"&amp;"E(C49&amp;""s omgång är Rx - Ax""),
AND(C49&lt;&gt;""3x3 MBLD"",C49&lt;&gt;""3x3 FMC"",FILTER(Info!$D$2:D81, Info!$A$2:A81 = C49)&lt;&gt;F49),CONCATENATE(C49&amp;"" måste ha formatet ""&amp;FILTER(Info!$D$2:D81, Info!$A$2:A81 = C49)),
AND(C49=""3x3 MBLD"",OR(F49=""Avg of 5"",F49=""Mea"&amp;"n of 3"")),CONCATENATE(""Ogiltigt format för ""&amp;C49),
AND(C49=""3x3 FMC"",OR(F49=""Avg of 5"",F49=""Best of 3"")),CONCATENATE(""Ogiltigt format för ""&amp;C49),
AND(OR(F49=""Best of 1"",F49=""Best of 2"",F49=""Best of 3""),I49&lt;&gt;""""),CONCATENATE(F49&amp;""-rundor"&amp;" får ej ha cutoff""),
AND(OR(C49=""3x3 FMC"",C49=""3x3 MBLD""),G49&lt;&gt;60),CONCATENATE(C49&amp;"" måste ha time limit: 60""),
AND(OR(C49=""3x3 FMC"",C49=""3x3 MBLD""),H49&lt;&gt;""""),CONCATENATE(C49&amp;"" kan inte ha c.t.l.""),
AND(G49&lt;&gt;"""",H49&lt;&gt;""""),""Välj time limit"&amp;" ELLER c.t.l"",
AND(C49=""6x6 / 7x7"",G49="""",H49=""""),""Sätt time limit (x / y) eller c.t.l (z)"",
AND(G49="""",H49=""""),""Sätt en time limit eller c.t.l"",
AND(OR(C49=""6x6 / 7x7"",C49=""4x4 / 5x5 BLD""),G49&lt;&gt;"""",REGEXMATCH(TO_TEXT(G49),"" / "")=FAL"&amp;"SE),CONCATENATE(""Time limit måste vara x / y""),
AND(H49&lt;&gt;"""",I49&lt;&gt;""""),CONCATENATE(C49&amp;"" brukar ej ha cutoff OCH c.t.l""),
AND(E49=1,H49="""",I49="""",OR(FILTER(Info!$E$2:E81, Info!$A$2:A81 = C49) = ""Yes"",FILTER(Info!$F$2:F81, Info!$A$2:A81 = C49) "&amp;"= ""Yes""),OR(F49=""Avg of 5"",F49=""Mean of 3"")),CONCATENATE(C49&amp;"" bör ha cutoff eller c.t.l""),
AND(C49=""6x6 / 7x7"",I49&lt;&gt;"""",REGEXMATCH(TO_TEXT(I49),"" / "")=FALSE),CONCATENATE(""Cutoff måste vara x / y""),
AND(H49&lt;&gt;"""",ISNUMBER(H49)=FALSE),""C.t."&amp;"l. måste vara positivt tal (x)"",
AND(C49&lt;&gt;""6x6 / 7x7"",I49&lt;&gt;"""",ISNUMBER(I49)=FALSE),""Cutoff måste vara positivt tal (x)"",
AND(H49&lt;&gt;"""",FILTER(Info!$E$2:E81, Info!$A$2:A81 = C49) = ""No"",FILTER(Info!$F$2:F81, Info!$A$2:A81 = C49) = ""No""),CONCATEN"&amp;"ATE(C49&amp;"" brukar inte ha c.t.l.""),
AND(I49&lt;&gt;"""",FILTER(Info!$E$2:E81, Info!$A$2:A81 = C49) = ""No"",FILTER(Info!$F$2:F81, Info!$A$2:A81 = C49) = ""No""),CONCATENATE(C49&amp;"" brukar inte ha cutoff""),
AND(H49="""",FILTER(Info!$F$2:F81, Info!$A$2:A81 = C49"&amp;") = ""Yes""),CONCATENATE(C49&amp;"" brukar ha c.t.l.""),
AND(C49&lt;&gt;""6x6 / 7x7"",C49&lt;&gt;""4x4 / 5x5 BLD"",G49&lt;&gt;"""",ISNUMBER(G49)=FALSE),""Time limit måste vara positivt tal (x)"",
J49=""J - Error"",CONCATENATE(""För få deltagare i R1 för ""&amp;COUNTIF($C$7:$C$102,"&amp;"indirect(""C""&amp;row()))&amp;"" rundor""),
J49=""K2 - Error"",CONCATENATE(C49&amp;"" är mer populär - byt i K2!""),
AND(C49&lt;&gt;""6x6 / 7x7"",C49&lt;&gt;""4x4 / 5x5 BLD"",G49&lt;&gt;"""",I49&lt;&gt;"""",G49&lt;=I49),""Time limit måste vara &gt; cutoff"",
AND(C49&lt;&gt;""6x6 / 7x7"",C49&lt;&gt;""4x4 / 5"&amp;"x5 BLD"",H49&lt;&gt;"""",I49&lt;&gt;"""",H49&lt;=I49),""C.t.l. måste vara &gt; cutoff"",
AND(C49&lt;&gt;""3x3 FMC"",C49&lt;&gt;""3x3 MBLD"",J49=""""),CONCATENATE(""Fyll i antal deltagare i J""&amp;row()),
AND(C49="""",OR(E49&lt;&gt;"""",F49&lt;&gt;"""",G49&lt;&gt;"""",H49&lt;&gt;"""",I49&lt;&gt;"""",J49&lt;&gt;"""")),""Skri"&amp;"v ALLTID gren / aktivitet först"",
AND(I49="""",H49="""",J49&lt;&gt;""""),J49,
OR(""3x3 FMC""=C49,""3x3 MBLD""=C49),J49,
AND(I49&lt;&gt;"""",""6x6 / 7x7""=C49),
IFS(ArrayFormula(SUM(IFERROR(SPLIT(I49,"" / ""))))&lt;(Info!$J$6+Info!$J$7)*2/3,CONCATENATE(""Höj helst cutof"&amp;"fs i ""&amp;C49),
ArrayFormula(SUM(IFERROR(SPLIT(I49,"" / ""))))&lt;=(Info!$J$6+Info!$J$7),ROUNDUP(J49*Info!$J$22),
ArrayFormula(SUM(IFERROR(SPLIT(I49,"" / ""))))&lt;=Info!$J$6+Info!$J$7,ROUNDUP(J49*Info!$K$22),
ArrayFormula(SUM(IFERROR(SPLIT(I49,"" / ""))))&lt;=Info!"&amp;"$K$6+Info!$K$7,ROUNDUP(J49*Info!L$22),
ArrayFormula(SUM(IFERROR(SPLIT(I49,"" / ""))))&lt;=Info!$L$6+Info!$L$7,ROUNDUP(J49*Info!$M$22),
ArrayFormula(SUM(IFERROR(SPLIT(I49,"" / ""))))&lt;=Info!$M$6+Info!$M$7,ROUNDUP(J49*Info!$N$22),
ArrayFormula(SUM(IFERROR(SPLIT"&amp;"(I49,"" / ""))))&lt;=(Info!$N$6+Info!$N$7)*3/2,ROUNDUP(J49*Info!$J$26),
ArrayFormula(SUM(IFERROR(SPLIT(I49,"" / ""))))&gt;(Info!$N$6+Info!$N$7)*3/2,CONCATENATE(""Sänk helst cutoffs i ""&amp;C49)),
AND(I49&lt;&gt;"""",FILTER(Info!$E$2:E81, Info!$A$2:A81 = C49) = ""Yes""),"&amp;"
IFS(I49&lt;FILTER(Info!$J$2:J81, Info!$A$2:A81 = C49)*2/3,CONCATENATE(""Höj helst cutoff i ""&amp;C49),
I49&lt;=FILTER(Info!$J$2:J81, Info!$A$2:A81 = C49),ROUNDUP(J49*Info!$J$22),
I49&lt;=FILTER(Info!$K$2:K81, Info!$A$2:A81 = C49),ROUNDUP(J49*Info!$K$22),
I49&lt;=FILTER"&amp;"(Info!$L$2:L81, Info!$A$2:A81 = C49),ROUNDUP(J49*Info!L$22),
I49&lt;=FILTER(Info!$M$2:M81, Info!$A$2:A81 = C49),ROUNDUP(J49*Info!$M$22),
I49&lt;=FILTER(Info!$N$2:N81, Info!$A$2:A81 = C49),ROUNDUP(J49*Info!$N$22),
I49&lt;=FILTER(Info!$N$2:N81, Info!$A$2:A81 = C49)*"&amp;"3/2,ROUNDUP(J49*Info!$J$26),
I49&gt;FILTER(Info!$N$2:N81, Info!$A$2:A81 = C49)*3/2,CONCATENATE(""Sänk helst cutoff i ""&amp;C49)),
AND(H49&lt;&gt;"""",""6x6 / 7x7""=C49),
IFS(H49/3&lt;=(Info!$J$6+Info!$J$7)*2/3,""Höj helst cumulative time limit"",
H49/3&lt;=Info!$J$6+Info!$"&amp;"J$7,ROUNDUP(J49*Info!$J$24),
H49/3&lt;=Info!$K$6+Info!$K$7,ROUNDUP(J49*Info!$K$24),
H49/3&lt;=Info!$L$6+Info!$L$7,ROUNDUP(J49*Info!L$24),
H49/3&lt;=Info!$M$6+Info!$M$7,ROUNDUP(J49*Info!$M$24),
H49/3&lt;=Info!$N$6+Info!$N$7,ROUNDUP(J49*Info!$N$24),
H49/3&lt;=(Info!$N$6+I"&amp;"nfo!$N$7)*3/2,ROUNDUP(J49*Info!$L$26),
H49/3&gt;(Info!$J$6+Info!$J$7)*3/2,""Sänk helst cumulative time limit""),
AND(H49&lt;&gt;"""",FILTER(Info!$F$2:F81, Info!$A$2:A81 = C49) = ""Yes""),
IFS(H49&lt;=FILTER(Info!$J$2:J81, Info!$A$2:A81 = C49)*2/3,CONCATENATE(""Höj he"&amp;"lst c.t.l. i ""&amp;C49),
H49&lt;=FILTER(Info!$J$2:J81, Info!$A$2:A81 = C49),ROUNDUP(J49*Info!$J$24),
H49&lt;=FILTER(Info!$K$2:K81, Info!$A$2:A81 = C49),ROUNDUP(J49*Info!$K$24),
H49&lt;=FILTER(Info!$L$2:L81, Info!$A$2:A81 = C49),ROUNDUP(J49*Info!L$24),
H49&lt;=FILTER(Inf"&amp;"o!$M$2:M81, Info!$A$2:A81 = C49),ROUNDUP(J49*Info!$M$24),
H49&lt;=FILTER(Info!$N$2:N81, Info!$A$2:A81 = C49),ROUNDUP(J49*Info!$N$24),
H49&lt;=FILTER(Info!$N$2:N81, Info!$A$2:A81 = C49)*3/2,ROUNDUP(J49*Info!$L$26),
H49&gt;FILTER(Info!$N$2:N81, Info!$A$2:A81 = C49)*"&amp;"3/2,CONCATENATE(""Sänk helst c.t.l. i ""&amp;C49)),
AND(H49&lt;&gt;"""",FILTER(Info!$F$2:F81, Info!$A$2:A81 = C49) = ""No""),
IFS(H49/AA49&lt;=FILTER(Info!$J$2:J81, Info!$A$2:A81 = C49)*2/3,CONCATENATE(""Höj helst c.t.l. i ""&amp;C49),
H49/AA49&lt;=FILTER(Info!$J$2:J81, Info"&amp;"!$A$2:A81 = C49),ROUNDUP(J49*Info!$J$24),
H49/AA49&lt;=FILTER(Info!$K$2:K81, Info!$A$2:A81 = C49),ROUNDUP(J49*Info!$K$24),
H49/AA49&lt;=FILTER(Info!$L$2:L81, Info!$A$2:A81 = C49),ROUNDUP(J49*Info!L$24),
H49/AA49&lt;=FILTER(Info!$M$2:M81, Info!$A$2:A81 = C49),ROUND"&amp;"UP(J49*Info!$M$24),
H49/AA49&lt;=FILTER(Info!$N$2:N81, Info!$A$2:A81 = C49),ROUNDUP(J49*Info!$N$24),
H49/AA49&lt;=FILTER(Info!$N$2:N81, Info!$A$2:A81 = C49)*3/2,ROUNDUP(J49*Info!$L$26),
H49/AA49&gt;FILTER(Info!$N$2:N81, Info!$A$2:A81 = C49)*3/2,CONCATENATE(""Sänk "&amp;"helst c.t.l. i ""&amp;C49)),
AND(I49="""",H49&lt;&gt;"""",J49&lt;&gt;""""),ROUNDUP(J49*Info!$T$29),
AND(I49&lt;&gt;"""",H49="""",J49&lt;&gt;""""),ROUNDUP(J49*Info!$T$26))"),"")</f>
        <v/>
      </c>
      <c r="L49" s="42">
        <f>IFERROR(__xludf.DUMMYFUNCTION("IFS(C49="""",0,
C49=""3x3 FMC"",Info!$B$9*N49+M49, C49=""3x3 MBLD"",Info!$B$18*N49+M49,
COUNTIF(Info!$A$22:A81,C49)&gt;0,FILTER(Info!$B$22:B81,Info!$A$22:A81=C49)+M49,
AND(C49&lt;&gt;"""",E49=""""),CONCATENATE(""Fyll i E""&amp;row()),
AND(C49&lt;&gt;"""",E49&lt;&gt;"""",E49&lt;&gt;1,E4"&amp;"9&lt;&gt;2,E49&lt;&gt;3,E49&lt;&gt;""Final""),CONCATENATE(""Fel format på E""&amp;row()),
K49=CONCATENATE(""Runda ""&amp;E49&amp;"" i ""&amp;C49&amp;"" finns redan""),CONCATENATE(""Fel i E""&amp;row()),
AND(C49&lt;&gt;"""",F49=""""),CONCATENATE(""Fyll i F""&amp;row()),
K49=CONCATENATE(C49&amp;"" måste ha forma"&amp;"tet ""&amp;FILTER(Info!$D$2:D81, Info!$A$2:A81 = C49)),CONCATENATE(""Fel format på F""&amp;row()),
AND(C49&lt;&gt;"""",D49=1,H49="""",FILTER(Info!$F$2:F81, Info!$A$2:A81 = C49) = ""Yes""),CONCATENATE(""Fyll i H""&amp;row()),
AND(C49&lt;&gt;"""",D49=1,I49="""",FILTER(Info!$E$2:E8"&amp;"1, Info!$A$2:A81 = C49) = ""Yes""),CONCATENATE(""Fyll i I""&amp;row()),
AND(C49&lt;&gt;"""",J49=""""),CONCATENATE(""Fyll i J""&amp;row()),
AND(C49&lt;&gt;"""",K49="""",OR(H49&lt;&gt;"""",I49&lt;&gt;"""")),CONCATENATE(""Fyll i K""&amp;row()),
AND(C49&lt;&gt;"""",K49=""""),CONCATENATE(""Skriv samma"&amp;" i K""&amp;row()&amp;"" som i J""&amp;row()),
AND(OR(C49=""4x4 BLD"",C49=""5x5 BLD"",C49=""4x4 / 5x5 BLD"")=TRUE,V49&lt;=P49),
MROUND(H49*(Info!$T$20-((Info!$T$20-1)/2)*(1-V49/P49))*(1+((J49/K49)-1)*(1-Info!$J$24))*N49+(Info!$T$11/2)+(N49*Info!$T$11)+(N49*Info!$T$14*(O4"&amp;"9-1)),0.01)+M49,
AND(OR(C49=""4x4 BLD"",C49=""5x5 BLD"",C49=""4x4 / 5x5 BLD"")=TRUE,V49&gt;P49),
MROUND((((J49*Z49+K49*(AA49-Z49))*(H49*Info!$T$20/AA49))/X49)*(1+((J49/K49)-1)*(1-Info!$J$24))*(1+(X49-Info!$T$8)/100)+(Info!$T$11/2)+(N49*Info!$T$11)+(N49*Info!"&amp;"$T$14*(O49-1)),0.01)+M49,
AND(C49=""3x3 BLD"",V49&lt;=P49),
MROUND(H49*(Info!$T$23-((Info!$T$23-1)/2)*(1-V49/P49))*(1+((J49/K49)-1)*(1-Info!$J$24))*N49+(Info!$T$11/2)+(N49*Info!$T$11)+(N49*Info!$T$14*(O49-1)),0.01)+M49,
AND(C49=""3x3 BLD"",V49&gt;P49),
MROUND(("&amp;"((J49*Z49+K49*(AA49-Z49))*(H49*Info!$T$23/AA49))/X49)*(1+((J49/K49)-1)*(1-Info!$J$24))*(1+(X49-Info!$T$8)/100)+(Info!$T$11/2)+(N49*Info!$T$11)+(N49*Info!$T$14*(O49-1)),0.01)+M49,
E49=1,MROUND((((J49*Z49+K49*(AA49-Z49))*Y49)/X49)*(1+(X49-Info!$T$8)/100)+(N"&amp;"49*Info!$T$11)+(N49*Info!$T$14*(O49-1)),0.01)+M49,
AND(E49=""Final"",N49=1,FILTER(Info!$G$2:$G$20,Info!$A$2:$A$20=C49)=""Mycket svår""),
MROUND((((J49*Z49+K49*(AA49-Z49))*(Y49*Info!$T$38))/X49)*(1+(X49-Info!$T$8)/100)+(N49*Info!$T$11)+(N49*Info!$T$14*(O49"&amp;"-1)),0.01)+M49,
AND(E49=""Final"",N49=1,FILTER(Info!$G$2:$G$20,Info!$A$2:$A$20=C49)=""Svår""),
MROUND((((J49*Z49+K49*(AA49-Z49))*(Y49*Info!$T$35))/X49)*(1+(X49-Info!$T$8)/100)+(N49*Info!$T$11)+(N49*Info!$T$14*(O49-1)),0.01)+M49,
E49=""Final"",MROUND((((J4"&amp;"9*Z49+K49*(AA49-Z49))*(Y49*Info!$T$5))/X49)*(1+(X49-Info!$T$8)/100)+(N49*Info!$T$11)+(N49*Info!$T$14*(O49-1)),0.01)+M49,
OR(E49=2,E49=3),MROUND((((J49*Z49+K49*(AA49-Z49))*(Y49*Info!$T$2))/X49)*(1+(X49-Info!$T$8)/100)+(N49*Info!$T$11)+(N49*Info!$T$14*(O49-"&amp;"1)),0.01)+M49)"),0.0)</f>
        <v>0</v>
      </c>
      <c r="M49" s="43">
        <f t="shared" si="4"/>
        <v>0</v>
      </c>
      <c r="N49" s="43" t="str">
        <f>IFS(OR(COUNTIF(Info!$A$22:A81,C49)&gt;0,C49=""),"",
OR(C49="4x4 BLD",C49="5x5 BLD",C49="3x3 MBLD",C49="3x3 FMC",C49="4x4 / 5x5 BLD"),1,
AND(E49="Final",Q49="Yes",MAX(1,ROUNDUP(J49/P49))&gt;1),MAX(2,ROUNDUP(J49/P49)),
AND(E49="Final",Q49="No",MAX(1,ROUNDUP(J49/((P49*2)+2.625-Y49*1.5)))&gt;1),MAX(2,ROUNDUP(J49/((P49*2)+2.625-Y49*1.5))),
E49="Final",1,
Q49="Yes",MAX(2,ROUNDUP(J49/P49)),
TRUE,MAX(2,ROUNDUP(J49/((P49*2)+2.625-Y49*1.5))))</f>
        <v/>
      </c>
      <c r="O49" s="43" t="str">
        <f>IFS(OR(COUNTIF(Info!$A$22:A81,C49)&gt;0,C49=""),"",
OR("3x3 MBLD"=C49,"3x3 FMC"=C49)=TRUE,"",
D49=$E$4,$G$6,D49=$K$4,$M$6,D49=$Q$4,$S$6,D49=$W$4,$Y$6,
TRUE,$S$2)</f>
        <v/>
      </c>
      <c r="P49" s="43" t="str">
        <f>IFS(OR(COUNTIF(Info!$A$22:A81,C49)&gt;0,C49=""),"",
OR("3x3 MBLD"=C49,"3x3 FMC"=C49)=TRUE,"",
D49=$E$4,$E$6,D49=$K$4,$K$6,D49=$Q$4,$Q$6,D49=$W$4,$W$6,
TRUE,$Q$2)</f>
        <v/>
      </c>
      <c r="Q49" s="44" t="str">
        <f>IFS(OR(COUNTIF(Info!$A$22:A81,C49)&gt;0,C49=""),"",
OR("3x3 MBLD"=C49,"3x3 FMC"=C49)=TRUE,"",
D49=$E$4,$I$6,D49=$K$4,$O$6,D49=$Q$4,$U$6,D49=$W$4,$AA$6,
TRUE,$U$2)</f>
        <v/>
      </c>
      <c r="R49" s="45" t="str">
        <f>IFERROR(__xludf.DUMMYFUNCTION("IF(C49="""","""",IFERROR(FILTER(Info!$B$22:B81,Info!$A$22:A81=C49)+M49,""?""))"),"")</f>
        <v/>
      </c>
      <c r="S49" s="46" t="str">
        <f>IFS(OR(COUNTIF(Info!$A$22:A81,C49)&gt;0,C49=""),"",
AND(H49="",I49=""),J49,
TRUE,"?")</f>
        <v/>
      </c>
      <c r="T49" s="45" t="str">
        <f>IFS(OR(COUNTIF(Info!$A$22:A81,C49)&gt;0,C49=""),"",
AND(L49&lt;&gt;0,OR(R49="?",R49="")),"Fyll i R-kolumnen",
OR(C49="3x3 FMC",C49="3x3 MBLD"),R49,
AND(L49&lt;&gt;0,OR(S49="?",S49="")),"Fyll i S-kolumnen",
OR(COUNTIF(Info!$A$22:A81,C49)&gt;0,C49=""),"",
TRUE,Y49*R49/L49)</f>
        <v/>
      </c>
      <c r="U49" s="45"/>
      <c r="V49" s="47" t="str">
        <f>IFS(OR(COUNTIF(Info!$A$22:A81,C49)&gt;0,C49=""),"",
OR("3x3 MBLD"=C49,"3x3 FMC"=C49)=TRUE,"",
TRUE,MROUND((J49/N49),0.01))</f>
        <v/>
      </c>
      <c r="W49" s="48" t="str">
        <f>IFS(OR(COUNTIF(Info!$A$22:A81,C49)&gt;0,C49=""),"",
TRUE,L49/N49)</f>
        <v/>
      </c>
      <c r="X49" s="49" t="str">
        <f>IFS(OR(COUNTIF(Info!$A$22:A81,C49)&gt;0,C49=""),"",
OR("3x3 MBLD"=C49,"3x3 FMC"=C49)=TRUE,"",
OR(C49="4x4 BLD",C49="5x5 BLD",C49="4x4 / 5x5 BLD",AND(C49="3x3 BLD",H49&lt;&gt;""))=TRUE,MIN(V49,P49),
TRUE,MIN(P49,V49,MROUND(((V49*2/3)+((Y49-1.625)/2)),0.01)))</f>
        <v/>
      </c>
      <c r="Y49" s="48" t="str">
        <f>IFERROR(__xludf.DUMMYFUNCTION("IFS(OR(COUNTIF(Info!$A$22:A81,C49)&gt;0,C49=""""),"""",
FILTER(Info!$F$2:F81, Info!$A$2:A81 = C49) = ""Yes"",H49/AA49,
""3x3 FMC""=C49,Info!$B$9,""3x3 MBLD""=C49,Info!$B$18,
AND(E49=1,I49="""",H49="""",Q49=""No"",G49&gt;SUMIF(Info!$A$2:A81,C49,Info!$B$2:B81)*1."&amp;"5),
MIN(SUMIF(Info!$A$2:A81,C49,Info!$B$2:B81)*1.1,SUMIF(Info!$A$2:A81,C49,Info!$B$2:B81)*(1.15-(0.15*(SUMIF(Info!$A$2:A81,C49,Info!$B$2:B81)*1.5)/G49))),
AND(E49=1,I49="""",H49="""",Q49=""Yes"",G49&gt;SUMIF(Info!$A$2:A81,C49,Info!$C$2:C81)*1.5),
MIN(SUMIF(I"&amp;"nfo!$A$2:A81,C49,Info!$C$2:C81)*1.1,SUMIF(Info!$A$2:A81,C49,Info!$C$2:C81)*(1.15-(0.15*(SUMIF(Info!$A$2:A81,C49,Info!$C$2:C81)*1.5)/G49))),
Q49=""No"",SUMIF(Info!$A$2:A81,C49,Info!$B$2:B81),
Q49=""Yes"",SUMIF(Info!$A$2:A81,C49,Info!$C$2:C81))"),"")</f>
        <v/>
      </c>
      <c r="Z49" s="47" t="str">
        <f>IFS(OR(COUNTIF(Info!$A$22:A81,C49)&gt;0,C49=""),"",
AND(OR("3x3 FMC"=C49,"3x3 MBLD"=C49),I49&lt;&gt;""),1,
AND(OR(H49&lt;&gt;"",I49&lt;&gt;""),F49="Avg of 5"),2,
F49="Avg of 5",AA49,
AND(OR(H49&lt;&gt;"",I49&lt;&gt;""),F49="Mean of 3",C49="6x6 / 7x7"),2,
AND(OR(H49&lt;&gt;"",I49&lt;&gt;""),F49="Mean of 3"),1,
F49="Mean of 3",AA49,
AND(OR(H49&lt;&gt;"",I49&lt;&gt;""),F49="Best of 3",C49="4x4 / 5x5 BLD"),2,
AND(OR(H49&lt;&gt;"",I49&lt;&gt;""),F49="Best of 3"),1,
F49="Best of 2",AA49,
F49="Best of 1",AA49)</f>
        <v/>
      </c>
      <c r="AA49" s="47" t="str">
        <f>IFS(OR(COUNTIF(Info!$A$22:A81,C49)&gt;0,C49=""),"",
AND(OR("3x3 MBLD"=C49,"3x3 FMC"=C49),F49="Best of 1"=TRUE),1,
AND(OR("3x3 MBLD"=C49,"3x3 FMC"=C49),F49="Best of 2"=TRUE),2,
AND(OR("3x3 MBLD"=C49,"3x3 FMC"=C49),OR(F49="Best of 3",F49="Mean of 3")=TRUE),3,
AND(F49="Mean of 3",C49="6x6 / 7x7"),6,
AND(F49="Best of 3",C49="4x4 / 5x5 BLD"),6,
F49="Avg of 5",5,F49="Mean of 3",3,F49="Best of 3",3,F49="Best of 2",2,F49="Best of 1",1)</f>
        <v/>
      </c>
      <c r="AB49" s="50"/>
    </row>
    <row r="50" ht="15.75" customHeight="1">
      <c r="A50" s="35">
        <f>IFERROR(__xludf.DUMMYFUNCTION("IFS(indirect(""A""&amp;row()-1)=""Start"",TIME(indirect(""A""&amp;row()-2),indirect(""B""&amp;row()-2),0),
$O$2=""No"",TIME(0,($A$6*60+$B$6)+CEILING(SUM($L$7:indirect(""L""&amp;row()-1)),5),0),
D50=$E$2,TIME(0,($A$6*60+$B$6)+CEILING(SUM(IFERROR(FILTER($L$7:indirect(""L"""&amp;"&amp;row()-1),REGEXMATCH($D$7:indirect(""D""&amp;row()-1),$E$2)),0)),5),0),
TRUE,""=time(hh;mm;ss)"")"),0.375)</f>
        <v>0.375</v>
      </c>
      <c r="B50" s="36">
        <f>IFERROR(__xludf.DUMMYFUNCTION("IFS($O$2=""No"",TIME(0,($A$6*60+$B$6)+CEILING(SUM($L$7:indirect(""L""&amp;row())),5),0),
D50=$E$2,TIME(0,($A$6*60+$B$6)+CEILING(SUM(FILTER($L$7:indirect(""L""&amp;row()),REGEXMATCH($D$7:indirect(""D""&amp;row()),$E$2))),5),0),
A50=""=time(hh;mm;ss)"",CONCATENATE(""Sk"&amp;"riv tid i A""&amp;row()),
AND(A50&lt;&gt;"""",A50&lt;&gt;""=time(hh;mm;ss)""),A50+TIME(0,CEILING(indirect(""L""&amp;row()),5),0))"),0.375)</f>
        <v>0.375</v>
      </c>
      <c r="C50" s="37"/>
      <c r="D50" s="38" t="str">
        <f t="shared" si="3"/>
        <v>Stora salen</v>
      </c>
      <c r="E50" s="38" t="str">
        <f>IFERROR(__xludf.DUMMYFUNCTION("IFS(COUNTIF(Info!$A$22:A81,C50)&gt;0,"""",
AND(OR(""3x3 FMC""=C50,""3x3 MBLD""=C50),COUNTIF($C$7:indirect(""C""&amp;row()),indirect(""C""&amp;row()))&gt;=13),""E - Error"",
AND(OR(""3x3 FMC""=C50,""3x3 MBLD""=C50),COUNTIF($C$7:indirect(""C""&amp;row()),indirect(""C""&amp;row()"&amp;"))=12),""Final - A3"",
AND(OR(""3x3 FMC""=C50,""3x3 MBLD""=C50),COUNTIF($C$7:indirect(""C""&amp;row()),indirect(""C""&amp;row()))=11),""Final - A2"",
AND(OR(""3x3 FMC""=C50,""3x3 MBLD""=C50),COUNTIF($C$7:indirect(""C""&amp;row()),indirect(""C""&amp;row()))=10),""Final - "&amp;"A1"",
AND(OR(""3x3 FMC""=C50,""3x3 MBLD""=C50),COUNTIF($C$7:indirect(""C""&amp;row()),indirect(""C""&amp;row()))=9,
COUNTIF($C$7:$C$102,indirect(""C""&amp;row()))&gt;9),""R3 - A3"",
AND(OR(""3x3 FMC""=C50,""3x3 MBLD""=C50),COUNTIF($C$7:indirect(""C""&amp;row()),indirect(""C"&amp;"""&amp;row()))=9,
COUNTIF($C$7:$C$102,indirect(""C""&amp;row()))&lt;=9),""Final - A3"",
AND(OR(""3x3 FMC""=C50,""3x3 MBLD""=C50),COUNTIF($C$7:indirect(""C""&amp;row()),indirect(""C""&amp;row()))=8,
COUNTIF($C$7:$C$102,indirect(""C""&amp;row()))&gt;9),""R3 - A2"",
AND(OR(""3x3 FMC"&amp;"""=C50,""3x3 MBLD""=C50),COUNTIF($C$7:indirect(""C""&amp;row()),indirect(""C""&amp;row()))=8,
COUNTIF($C$7:$C$102,indirect(""C""&amp;row()))&lt;=9),""Final - A2"",
AND(OR(""3x3 FMC""=C50,""3x3 MBLD""=C50),COUNTIF($C$7:indirect(""C""&amp;row()),indirect(""C""&amp;row()))=7,
COUN"&amp;"TIF($C$7:$C$102,indirect(""C""&amp;row()))&gt;9),""R3 - A1"",
AND(OR(""3x3 FMC""=C50,""3x3 MBLD""=C50),COUNTIF($C$7:indirect(""C""&amp;row()),indirect(""C""&amp;row()))=7,
COUNTIF($C$7:$C$102,indirect(""C""&amp;row()))&lt;=9),""Final - A1"",
AND(OR(""3x3 FMC""=C50,""3x3 MBLD"""&amp;"=C50),COUNTIF($C$7:indirect(""C""&amp;row()),indirect(""C""&amp;row()))=6,
COUNTIF($C$7:$C$102,indirect(""C""&amp;row()))&gt;6),""R2 - A3"",
AND(OR(""3x3 FMC""=C50,""3x3 MBLD""=C50),COUNTIF($C$7:indirect(""C""&amp;row()),indirect(""C""&amp;row()))=6,
COUNTIF($C$7:$C$102,indirec"&amp;"t(""C""&amp;row()))&lt;=6),""Final - A3"",
AND(OR(""3x3 FMC""=C50,""3x3 MBLD""=C50),COUNTIF($C$7:indirect(""C""&amp;row()),indirect(""C""&amp;row()))=5,
COUNTIF($C$7:$C$102,indirect(""C""&amp;row()))&gt;6),""R2 - A2"",
AND(OR(""3x3 FMC""=C50,""3x3 MBLD""=C50),COUNTIF($C$7:indi"&amp;"rect(""C""&amp;row()),indirect(""C""&amp;row()))=5,
COUNTIF($C$7:$C$102,indirect(""C""&amp;row()))&lt;=6),""Final - A2"",
AND(OR(""3x3 FMC""=C50,""3x3 MBLD""=C50),COUNTIF($C$7:indirect(""C""&amp;row()),indirect(""C""&amp;row()))=4,
COUNTIF($C$7:$C$102,indirect(""C""&amp;row()))&gt;6),"&amp;"""R2 - A1"",
AND(OR(""3x3 FMC""=C50,""3x3 MBLD""=C50),COUNTIF($C$7:indirect(""C""&amp;row()),indirect(""C""&amp;row()))=4,
COUNTIF($C$7:$C$102,indirect(""C""&amp;row()))&lt;=6),""Final - A1"",
AND(OR(""3x3 FMC""=C50,""3x3 MBLD""=C50),COUNTIF($C$7:indirect(""C""&amp;row()),i"&amp;"ndirect(""C""&amp;row()))=3),""R1 - A3"",
AND(OR(""3x3 FMC""=C50,""3x3 MBLD""=C50),COUNTIF($C$7:indirect(""C""&amp;row()),indirect(""C""&amp;row()))=2),""R1 - A2"",
AND(OR(""3x3 FMC""=C50,""3x3 MBLD""=C50),COUNTIF($C$7:indirect(""C""&amp;row()),indirect(""C""&amp;row()))=1),"&amp;"""R1 -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C50),ROUNDUP((FILTER(Info!$H$2:H81,Info!$A$2:A81=C50)/FILTER(Info!$H$2:H81,Info!$A$2:A81=$K$2))*$I$2)&gt;99),3,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C50),ROUNDUP((FILTER(Info!$H$2:H81,Info!$A$2:A81=C50)/FILTER(Info!$H$2:H81,Info!$A$2:A81=$K$2))*$I$2)&gt;15),2,
AND(COUNTIF($C$7:indirect(""C""&amp;row()),indirect(""C""&amp;row()))=2,COUNTIF($C$7:$C$102,indirect(""C""&amp;row()))=COUNTIF($"&amp;"C$7:indirect(""C""&amp;row()),indirect(""C""&amp;row()))),""Final"",
COUNTIF($C$7:indirect(""C""&amp;row()),indirect(""C""&amp;row()))=1,1,
COUNTIF($C$7:indirect(""C""&amp;row()),indirect(""C""&amp;row()))=0,"""")"),"")</f>
        <v/>
      </c>
      <c r="F50" s="39" t="str">
        <f>IFERROR(__xludf.DUMMYFUNCTION("IFS(C50="""","""",
AND(C50=""3x3 FMC"",MOD(COUNTIF($C$7:indirect(""C""&amp;row()),indirect(""C""&amp;row())),3)=0),""Mean of 3"",
AND(C50=""3x3 MBLD"",MOD(COUNTIF($C$7:indirect(""C""&amp;row()),indirect(""C""&amp;row())),3)=0),""Best of 3"",
AND(C50=""3x3 FMC"",MOD(COUNT"&amp;"IF($C$7:indirect(""C""&amp;row()),indirect(""C""&amp;row())),3)=2,
COUNTIF($C$7:$C$102,indirect(""C""&amp;row()))&lt;=COUNTIF($C$7:indirect(""C""&amp;row()),indirect(""C""&amp;row()))),""Best of 2"",
AND(C50=""3x3 FMC"",MOD(COUNTIF($C$7:indirect(""C""&amp;row()),indirect(""C""&amp;row("&amp;"))),3)=2,
COUNTIF($C$7:$C$102,indirect(""C""&amp;row()))&gt;COUNTIF($C$7:indirect(""C""&amp;row()),indirect(""C""&amp;row()))),""Mean of 3"",
AND(C50=""3x3 MBLD"",MOD(COUNTIF($C$7:indirect(""C""&amp;row()),indirect(""C""&amp;row())),3)=2,
COUNTIF($C$7:$C$102,indirect(""C""&amp;row("&amp;")))&lt;=COUNTIF($C$7:indirect(""C""&amp;row()),indirect(""C""&amp;row()))),""Best of 2"",
AND(C50=""3x3 MBLD"",MOD(COUNTIF($C$7:indirect(""C""&amp;row()),indirect(""C""&amp;row())),3)=2,
COUNTIF($C$7:$C$102,indirect(""C""&amp;row()))&gt;COUNTIF($C$7:indirect(""C""&amp;row()),indirect("&amp;"""C""&amp;row()))),""Best of 3"",
AND(C50=""3x3 FMC"",MOD(COUNTIF($C$7:indirect(""C""&amp;row()),indirect(""C""&amp;row())),3)=1,
COUNTIF($C$7:$C$102,indirect(""C""&amp;row()))&lt;=COUNTIF($C$7:indirect(""C""&amp;row()),indirect(""C""&amp;row()))),""Best of 1"",
AND(C50=""3x3 FMC"""&amp;",MOD(COUNTIF($C$7:indirect(""C""&amp;row()),indirect(""C""&amp;row())),3)=1,
COUNTIF($C$7:$C$102,indirect(""C""&amp;row()))=COUNTIF($C$7:indirect(""C""&amp;row()),indirect(""C""&amp;row()))+1),""Best of 2"",
AND(C50=""3x3 FMC"",MOD(COUNTIF($C$7:indirect(""C""&amp;row()),indirect"&amp;"(""C""&amp;row())),3)=1,
COUNTIF($C$7:$C$102,indirect(""C""&amp;row()))&gt;COUNTIF($C$7:indirect(""C""&amp;row()),indirect(""C""&amp;row()))),""Mean of 3"",
AND(C50=""3x3 MBLD"",MOD(COUNTIF($C$7:indirect(""C""&amp;row()),indirect(""C""&amp;row())),3)=1,
COUNTIF($C$7:$C$102,indirect"&amp;"(""C""&amp;row()))&lt;=COUNTIF($C$7:indirect(""C""&amp;row()),indirect(""C""&amp;row()))),""Best of 1"",
AND(C50=""3x3 MBLD"",MOD(COUNTIF($C$7:indirect(""C""&amp;row()),indirect(""C""&amp;row())),3)=1,
COUNTIF($C$7:$C$102,indirect(""C""&amp;row()))=COUNTIF($C$7:indirect(""C""&amp;row()"&amp;"),indirect(""C""&amp;row()))+1),""Best of 2"",
AND(C50=""3x3 MBLD"",MOD(COUNTIF($C$7:indirect(""C""&amp;row()),indirect(""C""&amp;row())),3)=1,
COUNTIF($C$7:$C$102,indirect(""C""&amp;row()))&gt;COUNTIF($C$7:indirect(""C""&amp;row()),indirect(""C""&amp;row()))),""Best of 3"",
TRUE,("&amp;"IFERROR(FILTER(Info!$D$2:D81, Info!$A$2:A81 = C50), """")))"),"")</f>
        <v/>
      </c>
      <c r="G50" s="40" t="str">
        <f>IFERROR(__xludf.DUMMYFUNCTION("IFS(OR(COUNTIF(Info!$A$22:A81,C50)&gt;0,C50=""""),"""",
OR(""3x3 MBLD""=C50,""3x3 FMC""=C50),60,
AND(E50=1,FILTER(Info!$F$2:F81, Info!$A$2:A81 = C50) = ""No""),FILTER(Info!$P$2:P81, Info!$A$2:A81 = C50),
AND(E50=2,FILTER(Info!$F$2:F81, Info!$A$2:A81 = C50) ="&amp;" ""No""),FILTER(Info!$Q$2:Q81, Info!$A$2:A81 = C50),
AND(E50=3,FILTER(Info!$F$2:F81, Info!$A$2:A81 = C50) = ""No""),FILTER(Info!$R$2:R81, Info!$A$2:A81 = C50),
AND(E50=""Final"",FILTER(Info!$F$2:F81, Info!$A$2:A81 = C50) = ""No""),FILTER(Info!$S$2:S81, In"&amp;"fo!$A$2:A81 = C50),
FILTER(Info!$F$2:F81, Info!$A$2:A81 = C50) = ""Yes"","""")"),"")</f>
        <v/>
      </c>
      <c r="H50" s="40" t="str">
        <f>IFERROR(__xludf.DUMMYFUNCTION("IFS(OR(COUNTIF(Info!$A$22:A81,C50)&gt;0,C50=""""),"""",
OR(""3x3 MBLD""=C50,""3x3 FMC""=C50)=TRUE,"""",
FILTER(Info!$F$2:F81, Info!$A$2:A81 = C50) = ""Yes"",FILTER(Info!$O$2:O81, Info!$A$2:A81 = C50),
FILTER(Info!$F$2:F81, Info!$A$2:A81 = C50) = ""No"",IF(G5"&amp;"0="""",FILTER(Info!$O$2:O81, Info!$A$2:A81 = C50),""""))"),"")</f>
        <v/>
      </c>
      <c r="I50" s="40" t="str">
        <f>IFERROR(__xludf.DUMMYFUNCTION("IFS(OR(COUNTIF(Info!$A$22:A81,C50)&gt;0,C50="""",H50&lt;&gt;""""),"""",
AND(E50&lt;&gt;1,E50&lt;&gt;""R1 - A1"",E50&lt;&gt;""R1 - A2"",E50&lt;&gt;""R1 - A3""),"""",
FILTER(Info!$E$2:E81, Info!$A$2:A81 = C50) = ""Yes"",IF(H50="""",FILTER(Info!$L$2:L81, Info!$A$2:A81 = C50),""""),
FILTER(I"&amp;"nfo!$E$2:E81, Info!$A$2:A81 = C50) = ""No"","""")"),"")</f>
        <v/>
      </c>
      <c r="J50" s="40" t="str">
        <f>IFERROR(__xludf.DUMMYFUNCTION("IFS(OR(COUNTIF(Info!$A$22:A81,C50)&gt;0,C50="""",""3x3 MBLD""=C50,""3x3 FMC""=C50),"""",
AND(E50=1,FILTER(Info!$H$2:H81,Info!$A$2:A81 = C50)&lt;=FILTER(Info!$H$2:H81,Info!$A$2:A81=$K$2)),
ROUNDUP((FILTER(Info!$H$2:H81,Info!$A$2:A81 = C50)/FILTER(Info!$H$2:H81,I"&amp;"nfo!$A$2:A81=$K$2))*$I$2),
AND(E50=1,FILTER(Info!$H$2:H81,Info!$A$2:A81 = C50)&gt;FILTER(Info!$H$2:H81,Info!$A$2:A81=$K$2)),""K2 - Error"",
AND(E50=2,FILTER($J$7:indirect(""J""&amp;row()-1),$C$7:indirect(""C""&amp;row()-1)=C50)&lt;=7),""J - Error"",
E50=2,FLOOR(FILTER("&amp;"$J$7:indirect(""J""&amp;row()-1),$C$7:indirect(""C""&amp;row()-1)=C50)*Info!$T$32),
AND(E50=3,FILTER($J$7:indirect(""J""&amp;row()-1),$C$7:indirect(""C""&amp;row()-1)=C50)&lt;=15),""J - Error"",
E50=3,FLOOR(Info!$T$32*FLOOR(FILTER($J$7:indirect(""J""&amp;row()-1),$C$7:indirect("&amp;"""C""&amp;row()-1)=C50)*Info!$T$32)),
AND(E50=""Final"",COUNTIF($C$7:$C$102,C50)=2,FILTER($J$7:indirect(""J""&amp;row()-1),$C$7:indirect(""C""&amp;row()-1)=C50)&lt;=7),""J - Error"",
AND(E50=""Final"",COUNTIF($C$7:$C$102,C50)=2),
MIN(P50,FLOOR(FILTER($J$7:indirect(""J"""&amp;"&amp;row()-1),$C$7:indirect(""C""&amp;row()-1)=C50)*Info!$T$32)),
AND(E50=""Final"",COUNTIF($C$7:$C$102,C50)=3,FILTER($J$7:indirect(""J""&amp;row()-1),$C$7:indirect(""C""&amp;row()-1)=C50)&lt;=15),""J - Error"",
AND(E50=""Final"",COUNTIF($C$7:$C$102,C50)=3),
MIN(P50,FLOOR(I"&amp;"nfo!$T$32*FLOOR(FILTER($J$7:indirect(""J""&amp;row()-1),$C$7:indirect(""C""&amp;row()-1)=C50)*Info!$T$32))),
AND(E50=""Final"",COUNTIF($C$7:$C$102,C50)&gt;=4,FILTER($J$7:indirect(""J""&amp;row()-1),$C$7:indirect(""C""&amp;row()-1)=C50)&lt;=99),""J - Error"",
AND(E50=""Final"","&amp;"COUNTIF($C$7:$C$102,C50)&gt;=4),
MIN(P50,FLOOR(Info!$T$32*FLOOR(Info!$T$32*FLOOR(FILTER($J$7:indirect(""J""&amp;row()-1),$C$7:indirect(""C""&amp;row()-1)=C50)*Info!$T$32)))))"),"")</f>
        <v/>
      </c>
      <c r="K50" s="41" t="str">
        <f>IFERROR(__xludf.DUMMYFUNCTION("IFS(AND(indirect(""D""&amp;row()+2)&lt;&gt;$E$2,indirect(""D""&amp;row()+1)=""""),CONCATENATE(""Tom rad! Kopiera hela rad ""&amp;row()&amp;"" dit""),
AND(indirect(""D""&amp;row()-1)&lt;&gt;""Rum"",indirect(""D""&amp;row()-1)=""""),CONCATENATE(""Tom rad! Kopiera hela rad ""&amp;row()&amp;"" dit""),
"&amp;"C50="""","""",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OR(AND(D50&lt;&gt;$E$2,D50&lt;&gt;$E$4,D50&lt;&gt;$K$4,D50&lt;&gt;$Q$4),D50="&amp;"""""),CONCATENATE(""Rum: ""&amp;D50&amp;"" finns ej, byt i D""&amp;row()),
AND(indirect(""D""&amp;row()-1)=""Rum"",C50=""""),CONCATENATE(""För att börja: skriv i cell C""&amp;row()),
AND(C50=""Paus"",M50&lt;=0),CONCATENATE(""Skriv pausens längd i M""&amp;row()),
OR(COUNTIF(Info!$A$"&amp;"22:A81,C50)&gt;0,C50=""""),"""",
AND(D50&lt;&gt;$E$2,$O$2=""Yes"",A50=""=time(hh;mm;ss)""),CONCATENATE(""Skriv starttid för ""&amp;C50&amp;"" i A""&amp;row()),
E50=""E - Error"",CONCATENATE(""För många ""&amp;C50&amp;"" rundor!""),
AND(C50&lt;&gt;""3x3 FMC"",C50&lt;&gt;""3x3 MBLD"",E50&lt;&gt;1,E50&lt;&gt;"&amp;"""Final"",IFERROR(FILTER($E$7:indirect(""E""&amp;row()-1),
$E$7:indirect(""E""&amp;row()-1)=E50-1,$C$7:indirect(""C""&amp;row()-1)=C50))=FALSE),CONCATENATE(""Kan ej vara R""&amp;E50&amp;"", saknar R""&amp;(E50-1)),
AND(indirect(""E""&amp;row()-1)&lt;&gt;""Omgång"",IFERROR(FILTER($E$7:indi"&amp;"rect(""E""&amp;row()-1),
$E$7:indirect(""E""&amp;row()-1)=E50,$C$7:indirect(""C""&amp;row()-1)=C50)=E50)=TRUE),CONCATENATE(""Runda ""&amp;E50&amp;"" i ""&amp;C50&amp;"" finns redan""),
AND(C50&lt;&gt;""3x3 BLD"",C50&lt;&gt;""4x4 BLD"",C50&lt;&gt;""5x5 BLD"",C50&lt;&gt;""4x4 / 5x5 BLD"",OR(E50=2,E50=3,E50="&amp;"""Final""),H50&lt;&gt;""""),CONCATENATE(E50&amp;""-rundor brukar ej ha c.t.l.""),
AND(OR(E50=2,E50=3,E50=""Final""),I50&lt;&gt;""""),CONCATENATE(E50&amp;""-rundor brukar ej ha cutoff""),
AND(OR(C50=""3x3 FMC"",C50=""3x3 MBLD""),OR(E50=1,E50=2,E50=3,E50=""Final"")),CONCATENAT"&amp;"E(C50&amp;""s omgång är Rx - Ax""),
AND(C50&lt;&gt;""3x3 MBLD"",C50&lt;&gt;""3x3 FMC"",FILTER(Info!$D$2:D81, Info!$A$2:A81 = C50)&lt;&gt;F50),CONCATENATE(C50&amp;"" måste ha formatet ""&amp;FILTER(Info!$D$2:D81, Info!$A$2:A81 = C50)),
AND(C50=""3x3 MBLD"",OR(F50=""Avg of 5"",F50=""Mea"&amp;"n of 3"")),CONCATENATE(""Ogiltigt format för ""&amp;C50),
AND(C50=""3x3 FMC"",OR(F50=""Avg of 5"",F50=""Best of 3"")),CONCATENATE(""Ogiltigt format för ""&amp;C50),
AND(OR(F50=""Best of 1"",F50=""Best of 2"",F50=""Best of 3""),I50&lt;&gt;""""),CONCATENATE(F50&amp;""-rundor"&amp;" får ej ha cutoff""),
AND(OR(C50=""3x3 FMC"",C50=""3x3 MBLD""),G50&lt;&gt;60),CONCATENATE(C50&amp;"" måste ha time limit: 60""),
AND(OR(C50=""3x3 FMC"",C50=""3x3 MBLD""),H50&lt;&gt;""""),CONCATENATE(C50&amp;"" kan inte ha c.t.l.""),
AND(G50&lt;&gt;"""",H50&lt;&gt;""""),""Välj time limit"&amp;" ELLER c.t.l"",
AND(C50=""6x6 / 7x7"",G50="""",H50=""""),""Sätt time limit (x / y) eller c.t.l (z)"",
AND(G50="""",H50=""""),""Sätt en time limit eller c.t.l"",
AND(OR(C50=""6x6 / 7x7"",C50=""4x4 / 5x5 BLD""),G50&lt;&gt;"""",REGEXMATCH(TO_TEXT(G50),"" / "")=FAL"&amp;"SE),CONCATENATE(""Time limit måste vara x / y""),
AND(H50&lt;&gt;"""",I50&lt;&gt;""""),CONCATENATE(C50&amp;"" brukar ej ha cutoff OCH c.t.l""),
AND(E50=1,H50="""",I50="""",OR(FILTER(Info!$E$2:E81, Info!$A$2:A81 = C50) = ""Yes"",FILTER(Info!$F$2:F81, Info!$A$2:A81 = C50) "&amp;"= ""Yes""),OR(F50=""Avg of 5"",F50=""Mean of 3"")),CONCATENATE(C50&amp;"" bör ha cutoff eller c.t.l""),
AND(C50=""6x6 / 7x7"",I50&lt;&gt;"""",REGEXMATCH(TO_TEXT(I50),"" / "")=FALSE),CONCATENATE(""Cutoff måste vara x / y""),
AND(H50&lt;&gt;"""",ISNUMBER(H50)=FALSE),""C.t."&amp;"l. måste vara positivt tal (x)"",
AND(C50&lt;&gt;""6x6 / 7x7"",I50&lt;&gt;"""",ISNUMBER(I50)=FALSE),""Cutoff måste vara positivt tal (x)"",
AND(H50&lt;&gt;"""",FILTER(Info!$E$2:E81, Info!$A$2:A81 = C50) = ""No"",FILTER(Info!$F$2:F81, Info!$A$2:A81 = C50) = ""No""),CONCATEN"&amp;"ATE(C50&amp;"" brukar inte ha c.t.l.""),
AND(I50&lt;&gt;"""",FILTER(Info!$E$2:E81, Info!$A$2:A81 = C50) = ""No"",FILTER(Info!$F$2:F81, Info!$A$2:A81 = C50) = ""No""),CONCATENATE(C50&amp;"" brukar inte ha cutoff""),
AND(H50="""",FILTER(Info!$F$2:F81, Info!$A$2:A81 = C50"&amp;") = ""Yes""),CONCATENATE(C50&amp;"" brukar ha c.t.l.""),
AND(C50&lt;&gt;""6x6 / 7x7"",C50&lt;&gt;""4x4 / 5x5 BLD"",G50&lt;&gt;"""",ISNUMBER(G50)=FALSE),""Time limit måste vara positivt tal (x)"",
J50=""J - Error"",CONCATENATE(""För få deltagare i R1 för ""&amp;COUNTIF($C$7:$C$102,"&amp;"indirect(""C""&amp;row()))&amp;"" rundor""),
J50=""K2 - Error"",CONCATENATE(C50&amp;"" är mer populär - byt i K2!""),
AND(C50&lt;&gt;""6x6 / 7x7"",C50&lt;&gt;""4x4 / 5x5 BLD"",G50&lt;&gt;"""",I50&lt;&gt;"""",G50&lt;=I50),""Time limit måste vara &gt; cutoff"",
AND(C50&lt;&gt;""6x6 / 7x7"",C50&lt;&gt;""4x4 / 5"&amp;"x5 BLD"",H50&lt;&gt;"""",I50&lt;&gt;"""",H50&lt;=I50),""C.t.l. måste vara &gt; cutoff"",
AND(C50&lt;&gt;""3x3 FMC"",C50&lt;&gt;""3x3 MBLD"",J50=""""),CONCATENATE(""Fyll i antal deltagare i J""&amp;row()),
AND(C50="""",OR(E50&lt;&gt;"""",F50&lt;&gt;"""",G50&lt;&gt;"""",H50&lt;&gt;"""",I50&lt;&gt;"""",J50&lt;&gt;"""")),""Skri"&amp;"v ALLTID gren / aktivitet först"",
AND(I50="""",H50="""",J50&lt;&gt;""""),J50,
OR(""3x3 FMC""=C50,""3x3 MBLD""=C50),J50,
AND(I50&lt;&gt;"""",""6x6 / 7x7""=C50),
IFS(ArrayFormula(SUM(IFERROR(SPLIT(I50,"" / ""))))&lt;(Info!$J$6+Info!$J$7)*2/3,CONCATENATE(""Höj helst cutof"&amp;"fs i ""&amp;C50),
ArrayFormula(SUM(IFERROR(SPLIT(I50,"" / ""))))&lt;=(Info!$J$6+Info!$J$7),ROUNDUP(J50*Info!$J$22),
ArrayFormula(SUM(IFERROR(SPLIT(I50,"" / ""))))&lt;=Info!$J$6+Info!$J$7,ROUNDUP(J50*Info!$K$22),
ArrayFormula(SUM(IFERROR(SPLIT(I50,"" / ""))))&lt;=Info!"&amp;"$K$6+Info!$K$7,ROUNDUP(J50*Info!L$22),
ArrayFormula(SUM(IFERROR(SPLIT(I50,"" / ""))))&lt;=Info!$L$6+Info!$L$7,ROUNDUP(J50*Info!$M$22),
ArrayFormula(SUM(IFERROR(SPLIT(I50,"" / ""))))&lt;=Info!$M$6+Info!$M$7,ROUNDUP(J50*Info!$N$22),
ArrayFormula(SUM(IFERROR(SPLIT"&amp;"(I50,"" / ""))))&lt;=(Info!$N$6+Info!$N$7)*3/2,ROUNDUP(J50*Info!$J$26),
ArrayFormula(SUM(IFERROR(SPLIT(I50,"" / ""))))&gt;(Info!$N$6+Info!$N$7)*3/2,CONCATENATE(""Sänk helst cutoffs i ""&amp;C50)),
AND(I50&lt;&gt;"""",FILTER(Info!$E$2:E81, Info!$A$2:A81 = C50) = ""Yes""),"&amp;"
IFS(I50&lt;FILTER(Info!$J$2:J81, Info!$A$2:A81 = C50)*2/3,CONCATENATE(""Höj helst cutoff i ""&amp;C50),
I50&lt;=FILTER(Info!$J$2:J81, Info!$A$2:A81 = C50),ROUNDUP(J50*Info!$J$22),
I50&lt;=FILTER(Info!$K$2:K81, Info!$A$2:A81 = C50),ROUNDUP(J50*Info!$K$22),
I50&lt;=FILTER"&amp;"(Info!$L$2:L81, Info!$A$2:A81 = C50),ROUNDUP(J50*Info!L$22),
I50&lt;=FILTER(Info!$M$2:M81, Info!$A$2:A81 = C50),ROUNDUP(J50*Info!$M$22),
I50&lt;=FILTER(Info!$N$2:N81, Info!$A$2:A81 = C50),ROUNDUP(J50*Info!$N$22),
I50&lt;=FILTER(Info!$N$2:N81, Info!$A$2:A81 = C50)*"&amp;"3/2,ROUNDUP(J50*Info!$J$26),
I50&gt;FILTER(Info!$N$2:N81, Info!$A$2:A81 = C50)*3/2,CONCATENATE(""Sänk helst cutoff i ""&amp;C50)),
AND(H50&lt;&gt;"""",""6x6 / 7x7""=C50),
IFS(H50/3&lt;=(Info!$J$6+Info!$J$7)*2/3,""Höj helst cumulative time limit"",
H50/3&lt;=Info!$J$6+Info!$"&amp;"J$7,ROUNDUP(J50*Info!$J$24),
H50/3&lt;=Info!$K$6+Info!$K$7,ROUNDUP(J50*Info!$K$24),
H50/3&lt;=Info!$L$6+Info!$L$7,ROUNDUP(J50*Info!L$24),
H50/3&lt;=Info!$M$6+Info!$M$7,ROUNDUP(J50*Info!$M$24),
H50/3&lt;=Info!$N$6+Info!$N$7,ROUNDUP(J50*Info!$N$24),
H50/3&lt;=(Info!$N$6+I"&amp;"nfo!$N$7)*3/2,ROUNDUP(J50*Info!$L$26),
H50/3&gt;(Info!$J$6+Info!$J$7)*3/2,""Sänk helst cumulative time limit""),
AND(H50&lt;&gt;"""",FILTER(Info!$F$2:F81, Info!$A$2:A81 = C50) = ""Yes""),
IFS(H50&lt;=FILTER(Info!$J$2:J81, Info!$A$2:A81 = C50)*2/3,CONCATENATE(""Höj he"&amp;"lst c.t.l. i ""&amp;C50),
H50&lt;=FILTER(Info!$J$2:J81, Info!$A$2:A81 = C50),ROUNDUP(J50*Info!$J$24),
H50&lt;=FILTER(Info!$K$2:K81, Info!$A$2:A81 = C50),ROUNDUP(J50*Info!$K$24),
H50&lt;=FILTER(Info!$L$2:L81, Info!$A$2:A81 = C50),ROUNDUP(J50*Info!L$24),
H50&lt;=FILTER(Inf"&amp;"o!$M$2:M81, Info!$A$2:A81 = C50),ROUNDUP(J50*Info!$M$24),
H50&lt;=FILTER(Info!$N$2:N81, Info!$A$2:A81 = C50),ROUNDUP(J50*Info!$N$24),
H50&lt;=FILTER(Info!$N$2:N81, Info!$A$2:A81 = C50)*3/2,ROUNDUP(J50*Info!$L$26),
H50&gt;FILTER(Info!$N$2:N81, Info!$A$2:A81 = C50)*"&amp;"3/2,CONCATENATE(""Sänk helst c.t.l. i ""&amp;C50)),
AND(H50&lt;&gt;"""",FILTER(Info!$F$2:F81, Info!$A$2:A81 = C50) = ""No""),
IFS(H50/AA50&lt;=FILTER(Info!$J$2:J81, Info!$A$2:A81 = C50)*2/3,CONCATENATE(""Höj helst c.t.l. i ""&amp;C50),
H50/AA50&lt;=FILTER(Info!$J$2:J81, Info"&amp;"!$A$2:A81 = C50),ROUNDUP(J50*Info!$J$24),
H50/AA50&lt;=FILTER(Info!$K$2:K81, Info!$A$2:A81 = C50),ROUNDUP(J50*Info!$K$24),
H50/AA50&lt;=FILTER(Info!$L$2:L81, Info!$A$2:A81 = C50),ROUNDUP(J50*Info!L$24),
H50/AA50&lt;=FILTER(Info!$M$2:M81, Info!$A$2:A81 = C50),ROUND"&amp;"UP(J50*Info!$M$24),
H50/AA50&lt;=FILTER(Info!$N$2:N81, Info!$A$2:A81 = C50),ROUNDUP(J50*Info!$N$24),
H50/AA50&lt;=FILTER(Info!$N$2:N81, Info!$A$2:A81 = C50)*3/2,ROUNDUP(J50*Info!$L$26),
H50/AA50&gt;FILTER(Info!$N$2:N81, Info!$A$2:A81 = C50)*3/2,CONCATENATE(""Sänk "&amp;"helst c.t.l. i ""&amp;C50)),
AND(I50="""",H50&lt;&gt;"""",J50&lt;&gt;""""),ROUNDUP(J50*Info!$T$29),
AND(I50&lt;&gt;"""",H50="""",J50&lt;&gt;""""),ROUNDUP(J50*Info!$T$26))"),"")</f>
        <v/>
      </c>
      <c r="L50" s="42">
        <f>IFERROR(__xludf.DUMMYFUNCTION("IFS(C50="""",0,
C50=""3x3 FMC"",Info!$B$9*N50+M50, C50=""3x3 MBLD"",Info!$B$18*N50+M50,
COUNTIF(Info!$A$22:A81,C50)&gt;0,FILTER(Info!$B$22:B81,Info!$A$22:A81=C50)+M50,
AND(C50&lt;&gt;"""",E50=""""),CONCATENATE(""Fyll i E""&amp;row()),
AND(C50&lt;&gt;"""",E50&lt;&gt;"""",E50&lt;&gt;1,E5"&amp;"0&lt;&gt;2,E50&lt;&gt;3,E50&lt;&gt;""Final""),CONCATENATE(""Fel format på E""&amp;row()),
K50=CONCATENATE(""Runda ""&amp;E50&amp;"" i ""&amp;C50&amp;"" finns redan""),CONCATENATE(""Fel i E""&amp;row()),
AND(C50&lt;&gt;"""",F50=""""),CONCATENATE(""Fyll i F""&amp;row()),
K50=CONCATENATE(C50&amp;"" måste ha forma"&amp;"tet ""&amp;FILTER(Info!$D$2:D81, Info!$A$2:A81 = C50)),CONCATENATE(""Fel format på F""&amp;row()),
AND(C50&lt;&gt;"""",D50=1,H50="""",FILTER(Info!$F$2:F81, Info!$A$2:A81 = C50) = ""Yes""),CONCATENATE(""Fyll i H""&amp;row()),
AND(C50&lt;&gt;"""",D50=1,I50="""",FILTER(Info!$E$2:E8"&amp;"1, Info!$A$2:A81 = C50) = ""Yes""),CONCATENATE(""Fyll i I""&amp;row()),
AND(C50&lt;&gt;"""",J50=""""),CONCATENATE(""Fyll i J""&amp;row()),
AND(C50&lt;&gt;"""",K50="""",OR(H50&lt;&gt;"""",I50&lt;&gt;"""")),CONCATENATE(""Fyll i K""&amp;row()),
AND(C50&lt;&gt;"""",K50=""""),CONCATENATE(""Skriv samma"&amp;" i K""&amp;row()&amp;"" som i J""&amp;row()),
AND(OR(C50=""4x4 BLD"",C50=""5x5 BLD"",C50=""4x4 / 5x5 BLD"")=TRUE,V50&lt;=P50),
MROUND(H50*(Info!$T$20-((Info!$T$20-1)/2)*(1-V50/P50))*(1+((J50/K50)-1)*(1-Info!$J$24))*N50+(Info!$T$11/2)+(N50*Info!$T$11)+(N50*Info!$T$14*(O5"&amp;"0-1)),0.01)+M50,
AND(OR(C50=""4x4 BLD"",C50=""5x5 BLD"",C50=""4x4 / 5x5 BLD"")=TRUE,V50&gt;P50),
MROUND((((J50*Z50+K50*(AA50-Z50))*(H50*Info!$T$20/AA50))/X50)*(1+((J50/K50)-1)*(1-Info!$J$24))*(1+(X50-Info!$T$8)/100)+(Info!$T$11/2)+(N50*Info!$T$11)+(N50*Info!"&amp;"$T$14*(O50-1)),0.01)+M50,
AND(C50=""3x3 BLD"",V50&lt;=P50),
MROUND(H50*(Info!$T$23-((Info!$T$23-1)/2)*(1-V50/P50))*(1+((J50/K50)-1)*(1-Info!$J$24))*N50+(Info!$T$11/2)+(N50*Info!$T$11)+(N50*Info!$T$14*(O50-1)),0.01)+M50,
AND(C50=""3x3 BLD"",V50&gt;P50),
MROUND(("&amp;"((J50*Z50+K50*(AA50-Z50))*(H50*Info!$T$23/AA50))/X50)*(1+((J50/K50)-1)*(1-Info!$J$24))*(1+(X50-Info!$T$8)/100)+(Info!$T$11/2)+(N50*Info!$T$11)+(N50*Info!$T$14*(O50-1)),0.01)+M50,
E50=1,MROUND((((J50*Z50+K50*(AA50-Z50))*Y50)/X50)*(1+(X50-Info!$T$8)/100)+(N"&amp;"50*Info!$T$11)+(N50*Info!$T$14*(O50-1)),0.01)+M50,
AND(E50=""Final"",N50=1,FILTER(Info!$G$2:$G$20,Info!$A$2:$A$20=C50)=""Mycket svår""),
MROUND((((J50*Z50+K50*(AA50-Z50))*(Y50*Info!$T$38))/X50)*(1+(X50-Info!$T$8)/100)+(N50*Info!$T$11)+(N50*Info!$T$14*(O50"&amp;"-1)),0.01)+M50,
AND(E50=""Final"",N50=1,FILTER(Info!$G$2:$G$20,Info!$A$2:$A$20=C50)=""Svår""),
MROUND((((J50*Z50+K50*(AA50-Z50))*(Y50*Info!$T$35))/X50)*(1+(X50-Info!$T$8)/100)+(N50*Info!$T$11)+(N50*Info!$T$14*(O50-1)),0.01)+M50,
E50=""Final"",MROUND((((J5"&amp;"0*Z50+K50*(AA50-Z50))*(Y50*Info!$T$5))/X50)*(1+(X50-Info!$T$8)/100)+(N50*Info!$T$11)+(N50*Info!$T$14*(O50-1)),0.01)+M50,
OR(E50=2,E50=3),MROUND((((J50*Z50+K50*(AA50-Z50))*(Y50*Info!$T$2))/X50)*(1+(X50-Info!$T$8)/100)+(N50*Info!$T$11)+(N50*Info!$T$14*(O50-"&amp;"1)),0.01)+M50)"),0.0)</f>
        <v>0</v>
      </c>
      <c r="M50" s="43">
        <f t="shared" si="4"/>
        <v>0</v>
      </c>
      <c r="N50" s="43" t="str">
        <f>IFS(OR(COUNTIF(Info!$A$22:A81,C50)&gt;0,C50=""),"",
OR(C50="4x4 BLD",C50="5x5 BLD",C50="3x3 MBLD",C50="3x3 FMC",C50="4x4 / 5x5 BLD"),1,
AND(E50="Final",Q50="Yes",MAX(1,ROUNDUP(J50/P50))&gt;1),MAX(2,ROUNDUP(J50/P50)),
AND(E50="Final",Q50="No",MAX(1,ROUNDUP(J50/((P50*2)+2.625-Y50*1.5)))&gt;1),MAX(2,ROUNDUP(J50/((P50*2)+2.625-Y50*1.5))),
E50="Final",1,
Q50="Yes",MAX(2,ROUNDUP(J50/P50)),
TRUE,MAX(2,ROUNDUP(J50/((P50*2)+2.625-Y50*1.5))))</f>
        <v/>
      </c>
      <c r="O50" s="43" t="str">
        <f>IFS(OR(COUNTIF(Info!$A$22:A81,C50)&gt;0,C50=""),"",
OR("3x3 MBLD"=C50,"3x3 FMC"=C50)=TRUE,"",
D50=$E$4,$G$6,D50=$K$4,$M$6,D50=$Q$4,$S$6,D50=$W$4,$Y$6,
TRUE,$S$2)</f>
        <v/>
      </c>
      <c r="P50" s="43" t="str">
        <f>IFS(OR(COUNTIF(Info!$A$22:A81,C50)&gt;0,C50=""),"",
OR("3x3 MBLD"=C50,"3x3 FMC"=C50)=TRUE,"",
D50=$E$4,$E$6,D50=$K$4,$K$6,D50=$Q$4,$Q$6,D50=$W$4,$W$6,
TRUE,$Q$2)</f>
        <v/>
      </c>
      <c r="Q50" s="44" t="str">
        <f>IFS(OR(COUNTIF(Info!$A$22:A81,C50)&gt;0,C50=""),"",
OR("3x3 MBLD"=C50,"3x3 FMC"=C50)=TRUE,"",
D50=$E$4,$I$6,D50=$K$4,$O$6,D50=$Q$4,$U$6,D50=$W$4,$AA$6,
TRUE,$U$2)</f>
        <v/>
      </c>
      <c r="R50" s="45" t="str">
        <f>IFERROR(__xludf.DUMMYFUNCTION("IF(C50="""","""",IFERROR(FILTER(Info!$B$22:B81,Info!$A$22:A81=C50)+M50,""?""))"),"")</f>
        <v/>
      </c>
      <c r="S50" s="46" t="str">
        <f>IFS(OR(COUNTIF(Info!$A$22:A81,C50)&gt;0,C50=""),"",
AND(H50="",I50=""),J50,
TRUE,"?")</f>
        <v/>
      </c>
      <c r="T50" s="45" t="str">
        <f>IFS(OR(COUNTIF(Info!$A$22:A81,C50)&gt;0,C50=""),"",
AND(L50&lt;&gt;0,OR(R50="?",R50="")),"Fyll i R-kolumnen",
OR(C50="3x3 FMC",C50="3x3 MBLD"),R50,
AND(L50&lt;&gt;0,OR(S50="?",S50="")),"Fyll i S-kolumnen",
OR(COUNTIF(Info!$A$22:A81,C50)&gt;0,C50=""),"",
TRUE,Y50*R50/L50)</f>
        <v/>
      </c>
      <c r="U50" s="45"/>
      <c r="V50" s="47" t="str">
        <f>IFS(OR(COUNTIF(Info!$A$22:A81,C50)&gt;0,C50=""),"",
OR("3x3 MBLD"=C50,"3x3 FMC"=C50)=TRUE,"",
TRUE,MROUND((J50/N50),0.01))</f>
        <v/>
      </c>
      <c r="W50" s="48" t="str">
        <f>IFS(OR(COUNTIF(Info!$A$22:A81,C50)&gt;0,C50=""),"",
TRUE,L50/N50)</f>
        <v/>
      </c>
      <c r="X50" s="49" t="str">
        <f>IFS(OR(COUNTIF(Info!$A$22:A81,C50)&gt;0,C50=""),"",
OR("3x3 MBLD"=C50,"3x3 FMC"=C50)=TRUE,"",
OR(C50="4x4 BLD",C50="5x5 BLD",C50="4x4 / 5x5 BLD",AND(C50="3x3 BLD",H50&lt;&gt;""))=TRUE,MIN(V50,P50),
TRUE,MIN(P50,V50,MROUND(((V50*2/3)+((Y50-1.625)/2)),0.01)))</f>
        <v/>
      </c>
      <c r="Y50" s="48" t="str">
        <f>IFERROR(__xludf.DUMMYFUNCTION("IFS(OR(COUNTIF(Info!$A$22:A81,C50)&gt;0,C50=""""),"""",
FILTER(Info!$F$2:F81, Info!$A$2:A81 = C50) = ""Yes"",H50/AA50,
""3x3 FMC""=C50,Info!$B$9,""3x3 MBLD""=C50,Info!$B$18,
AND(E50=1,I50="""",H50="""",Q50=""No"",G50&gt;SUMIF(Info!$A$2:A81,C50,Info!$B$2:B81)*1."&amp;"5),
MIN(SUMIF(Info!$A$2:A81,C50,Info!$B$2:B81)*1.1,SUMIF(Info!$A$2:A81,C50,Info!$B$2:B81)*(1.15-(0.15*(SUMIF(Info!$A$2:A81,C50,Info!$B$2:B81)*1.5)/G50))),
AND(E50=1,I50="""",H50="""",Q50=""Yes"",G50&gt;SUMIF(Info!$A$2:A81,C50,Info!$C$2:C81)*1.5),
MIN(SUMIF(I"&amp;"nfo!$A$2:A81,C50,Info!$C$2:C81)*1.1,SUMIF(Info!$A$2:A81,C50,Info!$C$2:C81)*(1.15-(0.15*(SUMIF(Info!$A$2:A81,C50,Info!$C$2:C81)*1.5)/G50))),
Q50=""No"",SUMIF(Info!$A$2:A81,C50,Info!$B$2:B81),
Q50=""Yes"",SUMIF(Info!$A$2:A81,C50,Info!$C$2:C81))"),"")</f>
        <v/>
      </c>
      <c r="Z50" s="47" t="str">
        <f>IFS(OR(COUNTIF(Info!$A$22:A81,C50)&gt;0,C50=""),"",
AND(OR("3x3 FMC"=C50,"3x3 MBLD"=C50),I50&lt;&gt;""),1,
AND(OR(H50&lt;&gt;"",I50&lt;&gt;""),F50="Avg of 5"),2,
F50="Avg of 5",AA50,
AND(OR(H50&lt;&gt;"",I50&lt;&gt;""),F50="Mean of 3",C50="6x6 / 7x7"),2,
AND(OR(H50&lt;&gt;"",I50&lt;&gt;""),F50="Mean of 3"),1,
F50="Mean of 3",AA50,
AND(OR(H50&lt;&gt;"",I50&lt;&gt;""),F50="Best of 3",C50="4x4 / 5x5 BLD"),2,
AND(OR(H50&lt;&gt;"",I50&lt;&gt;""),F50="Best of 3"),1,
F50="Best of 2",AA50,
F50="Best of 1",AA50)</f>
        <v/>
      </c>
      <c r="AA50" s="47" t="str">
        <f>IFS(OR(COUNTIF(Info!$A$22:A81,C50)&gt;0,C50=""),"",
AND(OR("3x3 MBLD"=C50,"3x3 FMC"=C50),F50="Best of 1"=TRUE),1,
AND(OR("3x3 MBLD"=C50,"3x3 FMC"=C50),F50="Best of 2"=TRUE),2,
AND(OR("3x3 MBLD"=C50,"3x3 FMC"=C50),OR(F50="Best of 3",F50="Mean of 3")=TRUE),3,
AND(F50="Mean of 3",C50="6x6 / 7x7"),6,
AND(F50="Best of 3",C50="4x4 / 5x5 BLD"),6,
F50="Avg of 5",5,F50="Mean of 3",3,F50="Best of 3",3,F50="Best of 2",2,F50="Best of 1",1)</f>
        <v/>
      </c>
      <c r="AB50" s="50"/>
    </row>
    <row r="51" ht="15.75" customHeight="1">
      <c r="A51" s="51" t="s">
        <v>28</v>
      </c>
      <c r="B51" s="51"/>
      <c r="C51" s="52"/>
      <c r="D51" s="53"/>
      <c r="E51" s="6"/>
      <c r="F51" s="54"/>
      <c r="G51" s="55"/>
      <c r="H51" s="55"/>
      <c r="I51" s="55"/>
      <c r="J51" s="55"/>
      <c r="K51" s="55"/>
      <c r="L51" s="56"/>
      <c r="M51" s="55"/>
      <c r="N51" s="55"/>
      <c r="O51" s="55"/>
      <c r="P51" s="55"/>
      <c r="Q51" s="55"/>
      <c r="R51" s="56" t="str">
        <f>$L$51</f>
        <v/>
      </c>
      <c r="S51" s="55"/>
      <c r="T51" s="55"/>
      <c r="U51" s="55"/>
      <c r="V51" s="55"/>
      <c r="W51" s="55"/>
      <c r="X51" s="55"/>
      <c r="Y51" s="55"/>
      <c r="Z51" s="55"/>
      <c r="AA51" s="55"/>
      <c r="AB51" s="56"/>
    </row>
    <row r="52" ht="15.75" customHeight="1">
      <c r="A52" s="28">
        <v>8.0</v>
      </c>
      <c r="B52" s="28">
        <v>45.0</v>
      </c>
      <c r="C52" s="57">
        <v>44564.0</v>
      </c>
      <c r="D52" s="58" t="str">
        <f>$E$2</f>
        <v>Stora salen</v>
      </c>
      <c r="E52" s="59"/>
      <c r="F52" s="28"/>
      <c r="G52" s="60"/>
      <c r="H52" s="60"/>
      <c r="I52" s="60"/>
      <c r="J52" s="60"/>
      <c r="K52" s="60"/>
      <c r="L52" s="61">
        <f>IFERROR(__xludf.DUMMYFUNCTION("IF($O$2=""No"",2880-($A$6*60+$B$6)-SUM($L$7:indirect(""L""&amp;row()-2))+($A$52*60+$B$52),
2880-($A$6*60+$B$6)-SUM(FILTER($L$7:indirect(""L""&amp;row()-2),REGEXMATCH($D$7:indirect(""D""&amp;row()-2),$E$2)))+($A$52*60+$B$52))"),1425.0)</f>
        <v>1425</v>
      </c>
      <c r="M52" s="60"/>
      <c r="N52" s="60"/>
      <c r="O52" s="60"/>
      <c r="P52" s="60"/>
      <c r="Q52" s="60"/>
      <c r="R52" s="61">
        <f>$L$52</f>
        <v>1425</v>
      </c>
      <c r="S52" s="60"/>
      <c r="T52" s="60"/>
      <c r="U52" s="60"/>
      <c r="V52" s="60"/>
      <c r="W52" s="60"/>
      <c r="X52" s="60"/>
      <c r="Y52" s="60"/>
      <c r="Z52" s="60"/>
      <c r="AA52" s="60"/>
      <c r="AB52" s="61"/>
    </row>
    <row r="53" ht="15.75" customHeight="1">
      <c r="A53" s="16" t="s">
        <v>33</v>
      </c>
      <c r="B53" s="16" t="s">
        <v>34</v>
      </c>
      <c r="C53" s="19" t="s">
        <v>35</v>
      </c>
      <c r="D53" s="20" t="s">
        <v>36</v>
      </c>
      <c r="E53" s="20" t="s">
        <v>37</v>
      </c>
      <c r="F53" s="20" t="s">
        <v>38</v>
      </c>
      <c r="G53" s="20" t="s">
        <v>39</v>
      </c>
      <c r="H53" s="20" t="s">
        <v>40</v>
      </c>
      <c r="I53" s="20" t="s">
        <v>41</v>
      </c>
      <c r="J53" s="20" t="s">
        <v>42</v>
      </c>
      <c r="K53" s="20" t="s">
        <v>59</v>
      </c>
      <c r="L53" s="16" t="s">
        <v>44</v>
      </c>
      <c r="M53" s="17" t="s">
        <v>45</v>
      </c>
      <c r="N53" s="17" t="s">
        <v>46</v>
      </c>
      <c r="O53" s="17" t="s">
        <v>47</v>
      </c>
      <c r="P53" s="17" t="s">
        <v>48</v>
      </c>
      <c r="Q53" s="17" t="s">
        <v>32</v>
      </c>
      <c r="R53" s="21" t="s">
        <v>49</v>
      </c>
      <c r="S53" s="21"/>
      <c r="T53" s="33" t="s">
        <v>51</v>
      </c>
      <c r="U53" s="33"/>
      <c r="V53" s="18" t="s">
        <v>53</v>
      </c>
      <c r="W53" s="34" t="s">
        <v>54</v>
      </c>
      <c r="X53" s="18" t="s">
        <v>55</v>
      </c>
      <c r="Y53" s="18" t="s">
        <v>60</v>
      </c>
      <c r="Z53" s="18" t="s">
        <v>57</v>
      </c>
      <c r="AA53" s="18" t="s">
        <v>58</v>
      </c>
      <c r="AB53" s="8"/>
    </row>
    <row r="54" ht="15.75" customHeight="1">
      <c r="A54" s="35">
        <f>IFERROR(__xludf.DUMMYFUNCTION("IFS(indirect(""A""&amp;row()-1)=""Start"",TIME(indirect(""A""&amp;row()-2),indirect(""B""&amp;row()-2),0),
$O$2=""No"",TIME(0,($A$6*60+$B$6)+CEILING(SUM($L$7:indirect(""L""&amp;row()-1)),5),0),
D54=$E$2,TIME(0,($A$6*60+$B$6)+CEILING(SUM(IFERROR(FILTER($L$7:indirect(""L"""&amp;"&amp;row()-1),REGEXMATCH($D$7:indirect(""D""&amp;row()-1),$E$2)),0)),5),0),
TRUE,""=time(hh;mm;ss)"")"),0.3645833333333333)</f>
        <v>0.3645833333</v>
      </c>
      <c r="B54" s="36">
        <f>IFERROR(__xludf.DUMMYFUNCTION("IFS($O$2=""No"",TIME(0,($A$6*60+$B$6)+CEILING(SUM($L$7:indirect(""L""&amp;row())),5),0),
D54=$E$2,TIME(0,($A$6*60+$B$6)+CEILING(SUM(FILTER($L$7:indirect(""L""&amp;row()),REGEXMATCH($D$7:indirect(""D""&amp;row()),$E$2))),5),0),
A54=""=time(hh;mm;ss)"",CONCATENATE(""Sk"&amp;"riv tid i A""&amp;row()),
AND(A54&lt;&gt;"""",A54&lt;&gt;""=time(hh;mm;ss)""),A54+TIME(0,CEILING(indirect(""L""&amp;row()),5),0))"),0.3645833333333335)</f>
        <v>0.3645833333</v>
      </c>
      <c r="C54" s="37"/>
      <c r="D54" s="38" t="str">
        <f t="shared" ref="D54:D56" si="5">IFS($M$2=1,$E$2,
AND($M$2&gt;1,OR(C54="4x4 BLD",C54="5x5 BLD",C54="3x3 MBLD",C54="4x4 / 5x5 BLD")),$E$4,
$M$2&gt;1,$E$2)</f>
        <v>Stora salen</v>
      </c>
      <c r="E54" s="38" t="str">
        <f>IFERROR(__xludf.DUMMYFUNCTION("IFS(COUNTIF(Info!$A$22:A81,C54)&gt;0,"""",
AND(OR(""3x3 FMC""=C54,""3x3 MBLD""=C54),COUNTIF($C$7:indirect(""C""&amp;row()),indirect(""C""&amp;row()))&gt;=13),""E - Error"",
AND(OR(""3x3 FMC""=C54,""3x3 MBLD""=C54),COUNTIF($C$7:indirect(""C""&amp;row()),indirect(""C""&amp;row()"&amp;"))=12),""Final - A3"",
AND(OR(""3x3 FMC""=C54,""3x3 MBLD""=C54),COUNTIF($C$7:indirect(""C""&amp;row()),indirect(""C""&amp;row()))=11),""Final - A2"",
AND(OR(""3x3 FMC""=C54,""3x3 MBLD""=C54),COUNTIF($C$7:indirect(""C""&amp;row()),indirect(""C""&amp;row()))=10),""Final - "&amp;"A1"",
AND(OR(""3x3 FMC""=C54,""3x3 MBLD""=C54),COUNTIF($C$7:indirect(""C""&amp;row()),indirect(""C""&amp;row()))=9,
COUNTIF($C$7:$C$102,indirect(""C""&amp;row()))&gt;9),""R3 - A3"",
AND(OR(""3x3 FMC""=C54,""3x3 MBLD""=C54),COUNTIF($C$7:indirect(""C""&amp;row()),indirect(""C"&amp;"""&amp;row()))=9,
COUNTIF($C$7:$C$102,indirect(""C""&amp;row()))&lt;=9),""Final - A3"",
AND(OR(""3x3 FMC""=C54,""3x3 MBLD""=C54),COUNTIF($C$7:indirect(""C""&amp;row()),indirect(""C""&amp;row()))=8,
COUNTIF($C$7:$C$102,indirect(""C""&amp;row()))&gt;9),""R3 - A2"",
AND(OR(""3x3 FMC"&amp;"""=C54,""3x3 MBLD""=C54),COUNTIF($C$7:indirect(""C""&amp;row()),indirect(""C""&amp;row()))=8,
COUNTIF($C$7:$C$102,indirect(""C""&amp;row()))&lt;=9),""Final - A2"",
AND(OR(""3x3 FMC""=C54,""3x3 MBLD""=C54),COUNTIF($C$7:indirect(""C""&amp;row()),indirect(""C""&amp;row()))=7,
COUN"&amp;"TIF($C$7:$C$102,indirect(""C""&amp;row()))&gt;9),""R3 - A1"",
AND(OR(""3x3 FMC""=C54,""3x3 MBLD""=C54),COUNTIF($C$7:indirect(""C""&amp;row()),indirect(""C""&amp;row()))=7,
COUNTIF($C$7:$C$102,indirect(""C""&amp;row()))&lt;=9),""Final - A1"",
AND(OR(""3x3 FMC""=C54,""3x3 MBLD"""&amp;"=C54),COUNTIF($C$7:indirect(""C""&amp;row()),indirect(""C""&amp;row()))=6,
COUNTIF($C$7:$C$102,indirect(""C""&amp;row()))&gt;6),""R2 - A3"",
AND(OR(""3x3 FMC""=C54,""3x3 MBLD""=C54),COUNTIF($C$7:indirect(""C""&amp;row()),indirect(""C""&amp;row()))=6,
COUNTIF($C$7:$C$102,indirec"&amp;"t(""C""&amp;row()))&lt;=6),""Final - A3"",
AND(OR(""3x3 FMC""=C54,""3x3 MBLD""=C54),COUNTIF($C$7:indirect(""C""&amp;row()),indirect(""C""&amp;row()))=5,
COUNTIF($C$7:$C$102,indirect(""C""&amp;row()))&gt;6),""R2 - A2"",
AND(OR(""3x3 FMC""=C54,""3x3 MBLD""=C54),COUNTIF($C$7:indi"&amp;"rect(""C""&amp;row()),indirect(""C""&amp;row()))=5,
COUNTIF($C$7:$C$102,indirect(""C""&amp;row()))&lt;=6),""Final - A2"",
AND(OR(""3x3 FMC""=C54,""3x3 MBLD""=C54),COUNTIF($C$7:indirect(""C""&amp;row()),indirect(""C""&amp;row()))=4,
COUNTIF($C$7:$C$102,indirect(""C""&amp;row()))&gt;6),"&amp;"""R2 - A1"",
AND(OR(""3x3 FMC""=C54,""3x3 MBLD""=C54),COUNTIF($C$7:indirect(""C""&amp;row()),indirect(""C""&amp;row()))=4,
COUNTIF($C$7:$C$102,indirect(""C""&amp;row()))&lt;=6),""Final - A1"",
AND(OR(""3x3 FMC""=C54,""3x3 MBLD""=C54),COUNTIF($C$7:indirect(""C""&amp;row()),i"&amp;"ndirect(""C""&amp;row()))=3),""R1 - A3"",
AND(OR(""3x3 FMC""=C54,""3x3 MBLD""=C54),COUNTIF($C$7:indirect(""C""&amp;row()),indirect(""C""&amp;row()))=2),""R1 - A2"",
AND(OR(""3x3 FMC""=C54,""3x3 MBLD""=C54),COUNTIF($C$7:indirect(""C""&amp;row()),indirect(""C""&amp;row()))=1),"&amp;"""R1 -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C54),ROUNDUP((FILTER(Info!$H$2:H81,Info!$A$2:A81=C54)/FILTER(Info!$H$2:H81,Info!$A$2:A81=$K$2))*$I$2)&gt;99),3,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C54),ROUNDUP((FILTER(Info!$H$2:H81,Info!$A$2:A81=C54)/FILTER(Info!$H$2:H81,Info!$A$2:A81=$K$2))*$I$2)&gt;15),2,
AND(COUNTIF($C$7:indirect(""C""&amp;row()),indirect(""C""&amp;row()))=2,COUNTIF($C$7:$C$102,indirect(""C""&amp;row()))=COUNTIF($"&amp;"C$7:indirect(""C""&amp;row()),indirect(""C""&amp;row()))),""Final"",
COUNTIF($C$7:indirect(""C""&amp;row()),indirect(""C""&amp;row()))=1,1,
COUNTIF($C$7:indirect(""C""&amp;row()),indirect(""C""&amp;row()))=0,"""")"),"")</f>
        <v/>
      </c>
      <c r="F54" s="39" t="str">
        <f>IFERROR(__xludf.DUMMYFUNCTION("IFS(C54="""","""",
AND(C54=""3x3 FMC"",MOD(COUNTIF($C$7:indirect(""C""&amp;row()),indirect(""C""&amp;row())),3)=0),""Mean of 3"",
AND(C54=""3x3 MBLD"",MOD(COUNTIF($C$7:indirect(""C""&amp;row()),indirect(""C""&amp;row())),3)=0),""Best of 3"",
AND(C54=""3x3 FMC"",MOD(COUNT"&amp;"IF($C$7:indirect(""C""&amp;row()),indirect(""C""&amp;row())),3)=2,
COUNTIF($C$7:$C$102,indirect(""C""&amp;row()))&lt;=COUNTIF($C$7:indirect(""C""&amp;row()),indirect(""C""&amp;row()))),""Best of 2"",
AND(C54=""3x3 FMC"",MOD(COUNTIF($C$7:indirect(""C""&amp;row()),indirect(""C""&amp;row("&amp;"))),3)=2,
COUNTIF($C$7:$C$102,indirect(""C""&amp;row()))&gt;COUNTIF($C$7:indirect(""C""&amp;row()),indirect(""C""&amp;row()))),""Mean of 3"",
AND(C54=""3x3 MBLD"",MOD(COUNTIF($C$7:indirect(""C""&amp;row()),indirect(""C""&amp;row())),3)=2,
COUNTIF($C$7:$C$102,indirect(""C""&amp;row("&amp;")))&lt;=COUNTIF($C$7:indirect(""C""&amp;row()),indirect(""C""&amp;row()))),""Best of 2"",
AND(C54=""3x3 MBLD"",MOD(COUNTIF($C$7:indirect(""C""&amp;row()),indirect(""C""&amp;row())),3)=2,
COUNTIF($C$7:$C$102,indirect(""C""&amp;row()))&gt;COUNTIF($C$7:indirect(""C""&amp;row()),indirect("&amp;"""C""&amp;row()))),""Best of 3"",
AND(C54=""3x3 FMC"",MOD(COUNTIF($C$7:indirect(""C""&amp;row()),indirect(""C""&amp;row())),3)=1,
COUNTIF($C$7:$C$102,indirect(""C""&amp;row()))&lt;=COUNTIF($C$7:indirect(""C""&amp;row()),indirect(""C""&amp;row()))),""Best of 1"",
AND(C54=""3x3 FMC"""&amp;",MOD(COUNTIF($C$7:indirect(""C""&amp;row()),indirect(""C""&amp;row())),3)=1,
COUNTIF($C$7:$C$102,indirect(""C""&amp;row()))=COUNTIF($C$7:indirect(""C""&amp;row()),indirect(""C""&amp;row()))+1),""Best of 2"",
AND(C54=""3x3 FMC"",MOD(COUNTIF($C$7:indirect(""C""&amp;row()),indirect"&amp;"(""C""&amp;row())),3)=1,
COUNTIF($C$7:$C$102,indirect(""C""&amp;row()))&gt;COUNTIF($C$7:indirect(""C""&amp;row()),indirect(""C""&amp;row()))),""Mean of 3"",
AND(C54=""3x3 MBLD"",MOD(COUNTIF($C$7:indirect(""C""&amp;row()),indirect(""C""&amp;row())),3)=1,
COUNTIF($C$7:$C$102,indirect"&amp;"(""C""&amp;row()))&lt;=COUNTIF($C$7:indirect(""C""&amp;row()),indirect(""C""&amp;row()))),""Best of 1"",
AND(C54=""3x3 MBLD"",MOD(COUNTIF($C$7:indirect(""C""&amp;row()),indirect(""C""&amp;row())),3)=1,
COUNTIF($C$7:$C$102,indirect(""C""&amp;row()))=COUNTIF($C$7:indirect(""C""&amp;row()"&amp;"),indirect(""C""&amp;row()))+1),""Best of 2"",
AND(C54=""3x3 MBLD"",MOD(COUNTIF($C$7:indirect(""C""&amp;row()),indirect(""C""&amp;row())),3)=1,
COUNTIF($C$7:$C$102,indirect(""C""&amp;row()))&gt;COUNTIF($C$7:indirect(""C""&amp;row()),indirect(""C""&amp;row()))),""Best of 3"",
TRUE,("&amp;"IFERROR(FILTER(Info!$D$2:D81, Info!$A$2:A81 = C54), """")))"),"")</f>
        <v/>
      </c>
      <c r="G54" s="40" t="str">
        <f>IFERROR(__xludf.DUMMYFUNCTION("IFS(OR(COUNTIF(Info!$A$22:A81,C54)&gt;0,C54=""""),"""",
OR(""3x3 MBLD""=C54,""3x3 FMC""=C54),60,
AND(E54=1,FILTER(Info!$F$2:F81, Info!$A$2:A81 = C54) = ""No""),FILTER(Info!$P$2:P81, Info!$A$2:A81 = C54),
AND(E54=2,FILTER(Info!$F$2:F81, Info!$A$2:A81 = C54) ="&amp;" ""No""),FILTER(Info!$Q$2:Q81, Info!$A$2:A81 = C54),
AND(E54=3,FILTER(Info!$F$2:F81, Info!$A$2:A81 = C54) = ""No""),FILTER(Info!$R$2:R81, Info!$A$2:A81 = C54),
AND(E54=""Final"",FILTER(Info!$F$2:F81, Info!$A$2:A81 = C54) = ""No""),FILTER(Info!$S$2:S81, In"&amp;"fo!$A$2:A81 = C54),
FILTER(Info!$F$2:F81, Info!$A$2:A81 = C54) = ""Yes"","""")"),"")</f>
        <v/>
      </c>
      <c r="H54" s="40" t="str">
        <f>IFERROR(__xludf.DUMMYFUNCTION("IFS(OR(COUNTIF(Info!$A$22:A81,C54)&gt;0,C54=""""),"""",
OR(""3x3 MBLD""=C54,""3x3 FMC""=C54)=TRUE,"""",
FILTER(Info!$F$2:F81, Info!$A$2:A81 = C54) = ""Yes"",FILTER(Info!$O$2:O81, Info!$A$2:A81 = C54),
FILTER(Info!$F$2:F81, Info!$A$2:A81 = C54) = ""No"",IF(G5"&amp;"4="""",FILTER(Info!$O$2:O81, Info!$A$2:A81 = C54),""""))"),"")</f>
        <v/>
      </c>
      <c r="I54" s="40" t="str">
        <f>IFERROR(__xludf.DUMMYFUNCTION("IFS(OR(COUNTIF(Info!$A$22:A81,C54)&gt;0,C54="""",H54&lt;&gt;""""),"""",
AND(E54&lt;&gt;1,E54&lt;&gt;""R1 - A1"",E54&lt;&gt;""R1 - A2"",E54&lt;&gt;""R1 - A3""),"""",
FILTER(Info!$E$2:E81, Info!$A$2:A81 = C54) = ""Yes"",IF(H54="""",FILTER(Info!$L$2:L81, Info!$A$2:A81 = C54),""""),
FILTER(I"&amp;"nfo!$E$2:E81, Info!$A$2:A81 = C54) = ""No"","""")"),"")</f>
        <v/>
      </c>
      <c r="J54" s="40" t="str">
        <f>IFERROR(__xludf.DUMMYFUNCTION("IFS(OR(COUNTIF(Info!$A$22:A81,C54)&gt;0,C54="""",""3x3 MBLD""=C54,""3x3 FMC""=C54),"""",
AND(E54=1,FILTER(Info!$H$2:H81,Info!$A$2:A81 = C54)&lt;=FILTER(Info!$H$2:H81,Info!$A$2:A81=$K$2)),
ROUNDUP((FILTER(Info!$H$2:H81,Info!$A$2:A81 = C54)/FILTER(Info!$H$2:H81,I"&amp;"nfo!$A$2:A81=$K$2))*$I$2),
AND(E54=1,FILTER(Info!$H$2:H81,Info!$A$2:A81 = C54)&gt;FILTER(Info!$H$2:H81,Info!$A$2:A81=$K$2)),""K2 - Error"",
AND(E54=2,FILTER($J$7:indirect(""J""&amp;row()-1),$C$7:indirect(""C""&amp;row()-1)=C54)&lt;=7),""J - Error"",
E54=2,FLOOR(FILTER("&amp;"$J$7:indirect(""J""&amp;row()-1),$C$7:indirect(""C""&amp;row()-1)=C54)*Info!$T$32),
AND(E54=3,FILTER($J$7:indirect(""J""&amp;row()-1),$C$7:indirect(""C""&amp;row()-1)=C54)&lt;=15),""J - Error"",
E54=3,FLOOR(Info!$T$32*FLOOR(FILTER($J$7:indirect(""J""&amp;row()-1),$C$7:indirect("&amp;"""C""&amp;row()-1)=C54)*Info!$T$32)),
AND(E54=""Final"",COUNTIF($C$7:$C$102,C54)=2,FILTER($J$7:indirect(""J""&amp;row()-1),$C$7:indirect(""C""&amp;row()-1)=C54)&lt;=7),""J - Error"",
AND(E54=""Final"",COUNTIF($C$7:$C$102,C54)=2),
MIN(P54,FLOOR(FILTER($J$7:indirect(""J"""&amp;"&amp;row()-1),$C$7:indirect(""C""&amp;row()-1)=C54)*Info!$T$32)),
AND(E54=""Final"",COUNTIF($C$7:$C$102,C54)=3,FILTER($J$7:indirect(""J""&amp;row()-1),$C$7:indirect(""C""&amp;row()-1)=C54)&lt;=15),""J - Error"",
AND(E54=""Final"",COUNTIF($C$7:$C$102,C54)=3),
MIN(P54,FLOOR(I"&amp;"nfo!$T$32*FLOOR(FILTER($J$7:indirect(""J""&amp;row()-1),$C$7:indirect(""C""&amp;row()-1)=C54)*Info!$T$32))),
AND(E54=""Final"",COUNTIF($C$7:$C$102,C54)&gt;=4,FILTER($J$7:indirect(""J""&amp;row()-1),$C$7:indirect(""C""&amp;row()-1)=C54)&lt;=99),""J - Error"",
AND(E54=""Final"","&amp;"COUNTIF($C$7:$C$102,C54)&gt;=4),
MIN(P54,FLOOR(Info!$T$32*FLOOR(Info!$T$32*FLOOR(FILTER($J$7:indirect(""J""&amp;row()-1),$C$7:indirect(""C""&amp;row()-1)=C54)*Info!$T$32)))))"),"")</f>
        <v/>
      </c>
      <c r="K54" s="41" t="str">
        <f>IFERROR(__xludf.DUMMYFUNCTION("IFS(AND(indirect(""D""&amp;row()+2)&lt;&gt;$E$2,indirect(""D""&amp;row()+1)=""""),CONCATENATE(""Tom rad! Kopiera hela rad ""&amp;row()&amp;"" dit""),
AND(indirect(""D""&amp;row()-1)&lt;&gt;""Rum"",indirect(""D""&amp;row()-1)=""""),CONCATENATE(""Tom rad! Kopiera hela rad ""&amp;row()&amp;"" dit""),
"&amp;"C54="""","""",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OR(AND(D54&lt;&gt;$E$2,D54&lt;&gt;$E$4,D54&lt;&gt;$K$4,D54&lt;&gt;$Q$4),D54="&amp;"""""),CONCATENATE(""Rum: ""&amp;D54&amp;"" finns ej, byt i D""&amp;row()),
AND(indirect(""D""&amp;row()-1)=""Rum"",C54=""""),CONCATENATE(""För att börja: skriv i cell C""&amp;row()),
AND(C54=""Paus"",M54&lt;=0),CONCATENATE(""Skriv pausens längd i M""&amp;row()),
OR(COUNTIF(Info!$A$"&amp;"22:A81,C54)&gt;0,C54=""""),"""",
AND(D54&lt;&gt;$E$2,$O$2=""Yes"",A54=""=time(hh;mm;ss)""),CONCATENATE(""Skriv starttid för ""&amp;C54&amp;"" i A""&amp;row()),
E54=""E - Error"",CONCATENATE(""För många ""&amp;C54&amp;"" rundor!""),
AND(C54&lt;&gt;""3x3 FMC"",C54&lt;&gt;""3x3 MBLD"",E54&lt;&gt;1,E54&lt;&gt;"&amp;"""Final"",IFERROR(FILTER($E$7:indirect(""E""&amp;row()-1),
$E$7:indirect(""E""&amp;row()-1)=E54-1,$C$7:indirect(""C""&amp;row()-1)=C54))=FALSE),CONCATENATE(""Kan ej vara R""&amp;E54&amp;"", saknar R""&amp;(E54-1)),
AND(indirect(""E""&amp;row()-1)&lt;&gt;""Omgång"",IFERROR(FILTER($E$7:indi"&amp;"rect(""E""&amp;row()-1),
$E$7:indirect(""E""&amp;row()-1)=E54,$C$7:indirect(""C""&amp;row()-1)=C54)=E54)=TRUE),CONCATENATE(""Runda ""&amp;E54&amp;"" i ""&amp;C54&amp;"" finns redan""),
AND(C54&lt;&gt;""3x3 BLD"",C54&lt;&gt;""4x4 BLD"",C54&lt;&gt;""5x5 BLD"",C54&lt;&gt;""4x4 / 5x5 BLD"",OR(E54=2,E54=3,E54="&amp;"""Final""),H54&lt;&gt;""""),CONCATENATE(E54&amp;""-rundor brukar ej ha c.t.l.""),
AND(OR(E54=2,E54=3,E54=""Final""),I54&lt;&gt;""""),CONCATENATE(E54&amp;""-rundor brukar ej ha cutoff""),
AND(OR(C54=""3x3 FMC"",C54=""3x3 MBLD""),OR(E54=1,E54=2,E54=3,E54=""Final"")),CONCATENAT"&amp;"E(C54&amp;""s omgång är Rx - Ax""),
AND(C54&lt;&gt;""3x3 MBLD"",C54&lt;&gt;""3x3 FMC"",FILTER(Info!$D$2:D81, Info!$A$2:A81 = C54)&lt;&gt;F54),CONCATENATE(C54&amp;"" måste ha formatet ""&amp;FILTER(Info!$D$2:D81, Info!$A$2:A81 = C54)),
AND(C54=""3x3 MBLD"",OR(F54=""Avg of 5"",F54=""Mea"&amp;"n of 3"")),CONCATENATE(""Ogiltigt format för ""&amp;C54),
AND(C54=""3x3 FMC"",OR(F54=""Avg of 5"",F54=""Best of 3"")),CONCATENATE(""Ogiltigt format för ""&amp;C54),
AND(OR(F54=""Best of 1"",F54=""Best of 2"",F54=""Best of 3""),I54&lt;&gt;""""),CONCATENATE(F54&amp;""-rundor"&amp;" får ej ha cutoff""),
AND(OR(C54=""3x3 FMC"",C54=""3x3 MBLD""),G54&lt;&gt;60),CONCATENATE(C54&amp;"" måste ha time limit: 60""),
AND(OR(C54=""3x3 FMC"",C54=""3x3 MBLD""),H54&lt;&gt;""""),CONCATENATE(C54&amp;"" kan inte ha c.t.l.""),
AND(G54&lt;&gt;"""",H54&lt;&gt;""""),""Välj time limit"&amp;" ELLER c.t.l"",
AND(C54=""6x6 / 7x7"",G54="""",H54=""""),""Sätt time limit (x / y) eller c.t.l (z)"",
AND(G54="""",H54=""""),""Sätt en time limit eller c.t.l"",
AND(OR(C54=""6x6 / 7x7"",C54=""4x4 / 5x5 BLD""),G54&lt;&gt;"""",REGEXMATCH(TO_TEXT(G54),"" / "")=FAL"&amp;"SE),CONCATENATE(""Time limit måste vara x / y""),
AND(H54&lt;&gt;"""",I54&lt;&gt;""""),CONCATENATE(C54&amp;"" brukar ej ha cutoff OCH c.t.l""),
AND(E54=1,H54="""",I54="""",OR(FILTER(Info!$E$2:E81, Info!$A$2:A81 = C54) = ""Yes"",FILTER(Info!$F$2:F81, Info!$A$2:A81 = C54) "&amp;"= ""Yes""),OR(F54=""Avg of 5"",F54=""Mean of 3"")),CONCATENATE(C54&amp;"" bör ha cutoff eller c.t.l""),
AND(C54=""6x6 / 7x7"",I54&lt;&gt;"""",REGEXMATCH(TO_TEXT(I54),"" / "")=FALSE),CONCATENATE(""Cutoff måste vara x / y""),
AND(H54&lt;&gt;"""",ISNUMBER(H54)=FALSE),""C.t."&amp;"l. måste vara positivt tal (x)"",
AND(C54&lt;&gt;""6x6 / 7x7"",I54&lt;&gt;"""",ISNUMBER(I54)=FALSE),""Cutoff måste vara positivt tal (x)"",
AND(H54&lt;&gt;"""",FILTER(Info!$E$2:E81, Info!$A$2:A81 = C54) = ""No"",FILTER(Info!$F$2:F81, Info!$A$2:A81 = C54) = ""No""),CONCATEN"&amp;"ATE(C54&amp;"" brukar inte ha c.t.l.""),
AND(I54&lt;&gt;"""",FILTER(Info!$E$2:E81, Info!$A$2:A81 = C54) = ""No"",FILTER(Info!$F$2:F81, Info!$A$2:A81 = C54) = ""No""),CONCATENATE(C54&amp;"" brukar inte ha cutoff""),
AND(H54="""",FILTER(Info!$F$2:F81, Info!$A$2:A81 = C54"&amp;") = ""Yes""),CONCATENATE(C54&amp;"" brukar ha c.t.l.""),
AND(C54&lt;&gt;""6x6 / 7x7"",C54&lt;&gt;""4x4 / 5x5 BLD"",G54&lt;&gt;"""",ISNUMBER(G54)=FALSE),""Time limit måste vara positivt tal (x)"",
J54=""J - Error"",CONCATENATE(""För få deltagare i R1 för ""&amp;COUNTIF($C$7:$C$102,"&amp;"indirect(""C""&amp;row()))&amp;"" rundor""),
J54=""K2 - Error"",CONCATENATE(C54&amp;"" är mer populär - byt i K2!""),
AND(C54&lt;&gt;""6x6 / 7x7"",C54&lt;&gt;""4x4 / 5x5 BLD"",G54&lt;&gt;"""",I54&lt;&gt;"""",G54&lt;=I54),""Time limit måste vara &gt; cutoff"",
AND(C54&lt;&gt;""6x6 / 7x7"",C54&lt;&gt;""4x4 / 5"&amp;"x5 BLD"",H54&lt;&gt;"""",I54&lt;&gt;"""",H54&lt;=I54),""C.t.l. måste vara &gt; cutoff"",
AND(C54&lt;&gt;""3x3 FMC"",C54&lt;&gt;""3x3 MBLD"",J54=""""),CONCATENATE(""Fyll i antal deltagare i J""&amp;row()),
AND(C54="""",OR(E54&lt;&gt;"""",F54&lt;&gt;"""",G54&lt;&gt;"""",H54&lt;&gt;"""",I54&lt;&gt;"""",J54&lt;&gt;"""")),""Skri"&amp;"v ALLTID gren / aktivitet först"",
AND(I54="""",H54="""",J54&lt;&gt;""""),J54,
OR(""3x3 FMC""=C54,""3x3 MBLD""=C54),J54,
AND(I54&lt;&gt;"""",""6x6 / 7x7""=C54),
IFS(ArrayFormula(SUM(IFERROR(SPLIT(I54,"" / ""))))&lt;(Info!$J$6+Info!$J$7)*2/3,CONCATENATE(""Höj helst cutof"&amp;"fs i ""&amp;C54),
ArrayFormula(SUM(IFERROR(SPLIT(I54,"" / ""))))&lt;=(Info!$J$6+Info!$J$7),ROUNDUP(J54*Info!$J$22),
ArrayFormula(SUM(IFERROR(SPLIT(I54,"" / ""))))&lt;=Info!$J$6+Info!$J$7,ROUNDUP(J54*Info!$K$22),
ArrayFormula(SUM(IFERROR(SPLIT(I54,"" / ""))))&lt;=Info!"&amp;"$K$6+Info!$K$7,ROUNDUP(J54*Info!L$22),
ArrayFormula(SUM(IFERROR(SPLIT(I54,"" / ""))))&lt;=Info!$L$6+Info!$L$7,ROUNDUP(J54*Info!$M$22),
ArrayFormula(SUM(IFERROR(SPLIT(I54,"" / ""))))&lt;=Info!$M$6+Info!$M$7,ROUNDUP(J54*Info!$N$22),
ArrayFormula(SUM(IFERROR(SPLIT"&amp;"(I54,"" / ""))))&lt;=(Info!$N$6+Info!$N$7)*3/2,ROUNDUP(J54*Info!$J$26),
ArrayFormula(SUM(IFERROR(SPLIT(I54,"" / ""))))&gt;(Info!$N$6+Info!$N$7)*3/2,CONCATENATE(""Sänk helst cutoffs i ""&amp;C54)),
AND(I54&lt;&gt;"""",FILTER(Info!$E$2:E81, Info!$A$2:A81 = C54) = ""Yes""),"&amp;"
IFS(I54&lt;FILTER(Info!$J$2:J81, Info!$A$2:A81 = C54)*2/3,CONCATENATE(""Höj helst cutoff i ""&amp;C54),
I54&lt;=FILTER(Info!$J$2:J81, Info!$A$2:A81 = C54),ROUNDUP(J54*Info!$J$22),
I54&lt;=FILTER(Info!$K$2:K81, Info!$A$2:A81 = C54),ROUNDUP(J54*Info!$K$22),
I54&lt;=FILTER"&amp;"(Info!$L$2:L81, Info!$A$2:A81 = C54),ROUNDUP(J54*Info!L$22),
I54&lt;=FILTER(Info!$M$2:M81, Info!$A$2:A81 = C54),ROUNDUP(J54*Info!$M$22),
I54&lt;=FILTER(Info!$N$2:N81, Info!$A$2:A81 = C54),ROUNDUP(J54*Info!$N$22),
I54&lt;=FILTER(Info!$N$2:N81, Info!$A$2:A81 = C54)*"&amp;"3/2,ROUNDUP(J54*Info!$J$26),
I54&gt;FILTER(Info!$N$2:N81, Info!$A$2:A81 = C54)*3/2,CONCATENATE(""Sänk helst cutoff i ""&amp;C54)),
AND(H54&lt;&gt;"""",""6x6 / 7x7""=C54),
IFS(H54/3&lt;=(Info!$J$6+Info!$J$7)*2/3,""Höj helst cumulative time limit"",
H54/3&lt;=Info!$J$6+Info!$"&amp;"J$7,ROUNDUP(J54*Info!$J$24),
H54/3&lt;=Info!$K$6+Info!$K$7,ROUNDUP(J54*Info!$K$24),
H54/3&lt;=Info!$L$6+Info!$L$7,ROUNDUP(J54*Info!L$24),
H54/3&lt;=Info!$M$6+Info!$M$7,ROUNDUP(J54*Info!$M$24),
H54/3&lt;=Info!$N$6+Info!$N$7,ROUNDUP(J54*Info!$N$24),
H54/3&lt;=(Info!$N$6+I"&amp;"nfo!$N$7)*3/2,ROUNDUP(J54*Info!$L$26),
H54/3&gt;(Info!$J$6+Info!$J$7)*3/2,""Sänk helst cumulative time limit""),
AND(H54&lt;&gt;"""",FILTER(Info!$F$2:F81, Info!$A$2:A81 = C54) = ""Yes""),
IFS(H54&lt;=FILTER(Info!$J$2:J81, Info!$A$2:A81 = C54)*2/3,CONCATENATE(""Höj he"&amp;"lst c.t.l. i ""&amp;C54),
H54&lt;=FILTER(Info!$J$2:J81, Info!$A$2:A81 = C54),ROUNDUP(J54*Info!$J$24),
H54&lt;=FILTER(Info!$K$2:K81, Info!$A$2:A81 = C54),ROUNDUP(J54*Info!$K$24),
H54&lt;=FILTER(Info!$L$2:L81, Info!$A$2:A81 = C54),ROUNDUP(J54*Info!L$24),
H54&lt;=FILTER(Inf"&amp;"o!$M$2:M81, Info!$A$2:A81 = C54),ROUNDUP(J54*Info!$M$24),
H54&lt;=FILTER(Info!$N$2:N81, Info!$A$2:A81 = C54),ROUNDUP(J54*Info!$N$24),
H54&lt;=FILTER(Info!$N$2:N81, Info!$A$2:A81 = C54)*3/2,ROUNDUP(J54*Info!$L$26),
H54&gt;FILTER(Info!$N$2:N81, Info!$A$2:A81 = C54)*"&amp;"3/2,CONCATENATE(""Sänk helst c.t.l. i ""&amp;C54)),
AND(H54&lt;&gt;"""",FILTER(Info!$F$2:F81, Info!$A$2:A81 = C54) = ""No""),
IFS(H54/AA54&lt;=FILTER(Info!$J$2:J81, Info!$A$2:A81 = C54)*2/3,CONCATENATE(""Höj helst c.t.l. i ""&amp;C54),
H54/AA54&lt;=FILTER(Info!$J$2:J81, Info"&amp;"!$A$2:A81 = C54),ROUNDUP(J54*Info!$J$24),
H54/AA54&lt;=FILTER(Info!$K$2:K81, Info!$A$2:A81 = C54),ROUNDUP(J54*Info!$K$24),
H54/AA54&lt;=FILTER(Info!$L$2:L81, Info!$A$2:A81 = C54),ROUNDUP(J54*Info!L$24),
H54/AA54&lt;=FILTER(Info!$M$2:M81, Info!$A$2:A81 = C54),ROUND"&amp;"UP(J54*Info!$M$24),
H54/AA54&lt;=FILTER(Info!$N$2:N81, Info!$A$2:A81 = C54),ROUNDUP(J54*Info!$N$24),
H54/AA54&lt;=FILTER(Info!$N$2:N81, Info!$A$2:A81 = C54)*3/2,ROUNDUP(J54*Info!$L$26),
H54/AA54&gt;FILTER(Info!$N$2:N81, Info!$A$2:A81 = C54)*3/2,CONCATENATE(""Sänk "&amp;"helst c.t.l. i ""&amp;C54)),
AND(I54="""",H54&lt;&gt;"""",J54&lt;&gt;""""),ROUNDUP(J54*Info!$T$29),
AND(I54&lt;&gt;"""",H54="""",J54&lt;&gt;""""),ROUNDUP(J54*Info!$T$26))"),"")</f>
        <v/>
      </c>
      <c r="L54" s="42">
        <f>IFERROR(__xludf.DUMMYFUNCTION("IFS(C54="""",0,
C54=""3x3 FMC"",Info!$B$9*N54+M54, C54=""3x3 MBLD"",Info!$B$18*N54+M54,
COUNTIF(Info!$A$22:A81,C54)&gt;0,FILTER(Info!$B$22:B81,Info!$A$22:A81=C54)+M54,
AND(C54&lt;&gt;"""",E54=""""),CONCATENATE(""Fyll i E""&amp;row()),
AND(C54&lt;&gt;"""",E54&lt;&gt;"""",E54&lt;&gt;1,E5"&amp;"4&lt;&gt;2,E54&lt;&gt;3,E54&lt;&gt;""Final""),CONCATENATE(""Fel format på E""&amp;row()),
K54=CONCATENATE(""Runda ""&amp;E54&amp;"" i ""&amp;C54&amp;"" finns redan""),CONCATENATE(""Fel i E""&amp;row()),
AND(C54&lt;&gt;"""",F54=""""),CONCATENATE(""Fyll i F""&amp;row()),
K54=CONCATENATE(C54&amp;"" måste ha forma"&amp;"tet ""&amp;FILTER(Info!$D$2:D81, Info!$A$2:A81 = C54)),CONCATENATE(""Fel format på F""&amp;row()),
AND(C54&lt;&gt;"""",D54=1,H54="""",FILTER(Info!$F$2:F81, Info!$A$2:A81 = C54) = ""Yes""),CONCATENATE(""Fyll i H""&amp;row()),
AND(C54&lt;&gt;"""",D54=1,I54="""",FILTER(Info!$E$2:E8"&amp;"1, Info!$A$2:A81 = C54) = ""Yes""),CONCATENATE(""Fyll i I""&amp;row()),
AND(C54&lt;&gt;"""",J54=""""),CONCATENATE(""Fyll i J""&amp;row()),
AND(C54&lt;&gt;"""",K54="""",OR(H54&lt;&gt;"""",I54&lt;&gt;"""")),CONCATENATE(""Fyll i K""&amp;row()),
AND(C54&lt;&gt;"""",K54=""""),CONCATENATE(""Skriv samma"&amp;" i K""&amp;row()&amp;"" som i J""&amp;row()),
AND(OR(C54=""4x4 BLD"",C54=""5x5 BLD"",C54=""4x4 / 5x5 BLD"")=TRUE,V54&lt;=P54),
MROUND(H54*(Info!$T$20-((Info!$T$20-1)/2)*(1-V54/P54))*(1+((J54/K54)-1)*(1-Info!$J$24))*N54+(Info!$T$11/2)+(N54*Info!$T$11)+(N54*Info!$T$14*(O5"&amp;"4-1)),0.01)+M54,
AND(OR(C54=""4x4 BLD"",C54=""5x5 BLD"",C54=""4x4 / 5x5 BLD"")=TRUE,V54&gt;P54),
MROUND((((J54*Z54+K54*(AA54-Z54))*(H54*Info!$T$20/AA54))/X54)*(1+((J54/K54)-1)*(1-Info!$J$24))*(1+(X54-Info!$T$8)/100)+(Info!$T$11/2)+(N54*Info!$T$11)+(N54*Info!"&amp;"$T$14*(O54-1)),0.01)+M54,
AND(C54=""3x3 BLD"",V54&lt;=P54),
MROUND(H54*(Info!$T$23-((Info!$T$23-1)/2)*(1-V54/P54))*(1+((J54/K54)-1)*(1-Info!$J$24))*N54+(Info!$T$11/2)+(N54*Info!$T$11)+(N54*Info!$T$14*(O54-1)),0.01)+M54,
AND(C54=""3x3 BLD"",V54&gt;P54),
MROUND(("&amp;"((J54*Z54+K54*(AA54-Z54))*(H54*Info!$T$23/AA54))/X54)*(1+((J54/K54)-1)*(1-Info!$J$24))*(1+(X54-Info!$T$8)/100)+(Info!$T$11/2)+(N54*Info!$T$11)+(N54*Info!$T$14*(O54-1)),0.01)+M54,
E54=1,MROUND((((J54*Z54+K54*(AA54-Z54))*Y54)/X54)*(1+(X54-Info!$T$8)/100)+(N"&amp;"54*Info!$T$11)+(N54*Info!$T$14*(O54-1)),0.01)+M54,
AND(E54=""Final"",N54=1,FILTER(Info!$G$2:$G$20,Info!$A$2:$A$20=C54)=""Mycket svår""),
MROUND((((J54*Z54+K54*(AA54-Z54))*(Y54*Info!$T$38))/X54)*(1+(X54-Info!$T$8)/100)+(N54*Info!$T$11)+(N54*Info!$T$14*(O54"&amp;"-1)),0.01)+M54,
AND(E54=""Final"",N54=1,FILTER(Info!$G$2:$G$20,Info!$A$2:$A$20=C54)=""Svår""),
MROUND((((J54*Z54+K54*(AA54-Z54))*(Y54*Info!$T$35))/X54)*(1+(X54-Info!$T$8)/100)+(N54*Info!$T$11)+(N54*Info!$T$14*(O54-1)),0.01)+M54,
E54=""Final"",MROUND((((J5"&amp;"4*Z54+K54*(AA54-Z54))*(Y54*Info!$T$5))/X54)*(1+(X54-Info!$T$8)/100)+(N54*Info!$T$11)+(N54*Info!$T$14*(O54-1)),0.01)+M54,
OR(E54=2,E54=3),MROUND((((J54*Z54+K54*(AA54-Z54))*(Y54*Info!$T$2))/X54)*(1+(X54-Info!$T$8)/100)+(N54*Info!$T$11)+(N54*Info!$T$14*(O54-"&amp;"1)),0.01)+M54)"),0.0)</f>
        <v>0</v>
      </c>
      <c r="M54" s="43">
        <f t="shared" ref="M54:M76" si="6">$W$2</f>
        <v>0</v>
      </c>
      <c r="N54" s="43" t="str">
        <f>IFS(OR(COUNTIF(Info!$A$22:A81,C54)&gt;0,C54=""),"",
OR(C54="4x4 BLD",C54="5x5 BLD",C54="3x3 MBLD",C54="3x3 FMC",C54="4x4 / 5x5 BLD"),1,
AND(E54="Final",Q54="Yes",MAX(1,ROUNDUP(J54/P54))&gt;1),MAX(2,ROUNDUP(J54/P54)),
AND(E54="Final",Q54="No",MAX(1,ROUNDUP(J54/((P54*2)+2.625-Y54*1.5)))&gt;1),MAX(2,ROUNDUP(J54/((P54*2)+2.625-Y54*1.5))),
E54="Final",1,
Q54="Yes",MAX(2,ROUNDUP(J54/P54)),
TRUE,MAX(2,ROUNDUP(J54/((P54*2)+2.625-Y54*1.5))))</f>
        <v/>
      </c>
      <c r="O54" s="43" t="str">
        <f>IFS(OR(COUNTIF(Info!$A$22:A81,C54)&gt;0,C54=""),"",
OR("3x3 MBLD"=C54,"3x3 FMC"=C54)=TRUE,"",
D54=$E$4,$G$6,D54=$K$4,$M$6,D54=$Q$4,$S$6,D54=$W$4,$Y$6,
TRUE,$S$2)</f>
        <v/>
      </c>
      <c r="P54" s="43" t="str">
        <f>IFS(OR(COUNTIF(Info!$A$22:A81,C54)&gt;0,C54=""),"",
OR("3x3 MBLD"=C54,"3x3 FMC"=C54)=TRUE,"",
D54=$E$4,$E$6,D54=$K$4,$K$6,D54=$Q$4,$Q$6,D54=$W$4,$W$6,
TRUE,$Q$2)</f>
        <v/>
      </c>
      <c r="Q54" s="44" t="str">
        <f>IFS(OR(COUNTIF(Info!$A$22:A81,C54)&gt;0,C54=""),"",
OR("3x3 MBLD"=C54,"3x3 FMC"=C54)=TRUE,"",
D54=$E$4,$I$6,D54=$K$4,$O$6,D54=$Q$4,$U$6,D54=$W$4,$AA$6,
TRUE,$U$2)</f>
        <v/>
      </c>
      <c r="R54" s="45" t="str">
        <f>IFERROR(__xludf.DUMMYFUNCTION("IF(C54="""","""",IFERROR(FILTER(Info!$B$22:B81,Info!$A$22:A81=C54)+M54,""?""))"),"")</f>
        <v/>
      </c>
      <c r="S54" s="46" t="str">
        <f>IFS(OR(COUNTIF(Info!$A$22:A81,C54)&gt;0,C54=""),"",
AND(H54="",I54=""),J54,
TRUE,"?")</f>
        <v/>
      </c>
      <c r="T54" s="45" t="str">
        <f>IFS(OR(COUNTIF(Info!$A$22:A81,C54)&gt;0,C54=""),"",
AND(L54&lt;&gt;0,OR(R54="?",R54="")),"Fyll i R-kolumnen",
OR(C54="3x3 FMC",C54="3x3 MBLD"),R54,
AND(L54&lt;&gt;0,OR(S54="?",S54="")),"Fyll i S-kolumnen",
OR(COUNTIF(Info!$A$22:A81,C54)&gt;0,C54=""),"",
TRUE,Y54*R54/L54)</f>
        <v/>
      </c>
      <c r="U54" s="45"/>
      <c r="V54" s="47" t="str">
        <f>IFS(OR(COUNTIF(Info!$A$22:A81,C54)&gt;0,C54=""),"",
OR("3x3 MBLD"=C54,"3x3 FMC"=C54)=TRUE,"",
TRUE,MROUND((J54/N54),0.01))</f>
        <v/>
      </c>
      <c r="W54" s="48" t="str">
        <f>IFS(OR(COUNTIF(Info!$A$22:A81,C54)&gt;0,C54=""),"",
TRUE,L54/N54)</f>
        <v/>
      </c>
      <c r="X54" s="49" t="str">
        <f>IFS(OR(COUNTIF(Info!$A$22:A81,C54)&gt;0,C54=""),"",
OR("3x3 MBLD"=C54,"3x3 FMC"=C54)=TRUE,"",
OR(C54="4x4 BLD",C54="5x5 BLD",C54="4x4 / 5x5 BLD",AND(C54="3x3 BLD",H54&lt;&gt;""))=TRUE,MIN(V54,P54),
TRUE,MIN(P54,V54,MROUND(((V54*2/3)+((Y54-1.625)/2)),0.01)))</f>
        <v/>
      </c>
      <c r="Y54" s="48" t="str">
        <f>IFERROR(__xludf.DUMMYFUNCTION("IFS(OR(COUNTIF(Info!$A$22:A81,C54)&gt;0,C54=""""),"""",
FILTER(Info!$F$2:F81, Info!$A$2:A81 = C54) = ""Yes"",H54/AA54,
""3x3 FMC""=C54,Info!$B$9,""3x3 MBLD""=C54,Info!$B$18,
AND(E54=1,I54="""",H54="""",Q54=""No"",G54&gt;SUMIF(Info!$A$2:A81,C54,Info!$B$2:B81)*1."&amp;"5),
MIN(SUMIF(Info!$A$2:A81,C54,Info!$B$2:B81)*1.1,SUMIF(Info!$A$2:A81,C54,Info!$B$2:B81)*(1.15-(0.15*(SUMIF(Info!$A$2:A81,C54,Info!$B$2:B81)*1.5)/G54))),
AND(E54=1,I54="""",H54="""",Q54=""Yes"",G54&gt;SUMIF(Info!$A$2:A81,C54,Info!$C$2:C81)*1.5),
MIN(SUMIF(I"&amp;"nfo!$A$2:A81,C54,Info!$C$2:C81)*1.1,SUMIF(Info!$A$2:A81,C54,Info!$C$2:C81)*(1.15-(0.15*(SUMIF(Info!$A$2:A81,C54,Info!$C$2:C81)*1.5)/G54))),
Q54=""No"",SUMIF(Info!$A$2:A81,C54,Info!$B$2:B81),
Q54=""Yes"",SUMIF(Info!$A$2:A81,C54,Info!$C$2:C81))"),"")</f>
        <v/>
      </c>
      <c r="Z54" s="47" t="str">
        <f>IFS(OR(COUNTIF(Info!$A$22:A81,C54)&gt;0,C54=""),"",
AND(OR("3x3 FMC"=C54,"3x3 MBLD"=C54),I54&lt;&gt;""),1,
AND(OR(H54&lt;&gt;"",I54&lt;&gt;""),F54="Avg of 5"),2,
F54="Avg of 5",AA54,
AND(OR(H54&lt;&gt;"",I54&lt;&gt;""),F54="Mean of 3",C54="6x6 / 7x7"),2,
AND(OR(H54&lt;&gt;"",I54&lt;&gt;""),F54="Mean of 3"),1,
F54="Mean of 3",AA54,
AND(OR(H54&lt;&gt;"",I54&lt;&gt;""),F54="Best of 3",C54="4x4 / 5x5 BLD"),2,
AND(OR(H54&lt;&gt;"",I54&lt;&gt;""),F54="Best of 3"),1,
F54="Best of 2",AA54,
F54="Best of 1",AA54)</f>
        <v/>
      </c>
      <c r="AA54" s="47" t="str">
        <f>IFS(OR(COUNTIF(Info!$A$22:A81,C54)&gt;0,C54=""),"",
AND(OR("3x3 MBLD"=C54,"3x3 FMC"=C54),F54="Best of 1"=TRUE),1,
AND(OR("3x3 MBLD"=C54,"3x3 FMC"=C54),F54="Best of 2"=TRUE),2,
AND(OR("3x3 MBLD"=C54,"3x3 FMC"=C54),OR(F54="Best of 3",F54="Mean of 3")=TRUE),3,
AND(F54="Mean of 3",C54="6x6 / 7x7"),6,
AND(F54="Best of 3",C54="4x4 / 5x5 BLD"),6,
F54="Avg of 5",5,F54="Mean of 3",3,F54="Best of 3",3,F54="Best of 2",2,F54="Best of 1",1)</f>
        <v/>
      </c>
      <c r="AB54" s="50"/>
    </row>
    <row r="55" ht="15.75" customHeight="1">
      <c r="A55" s="35">
        <f>IFERROR(__xludf.DUMMYFUNCTION("IFS(indirect(""A""&amp;row()-1)=""Start"",TIME(indirect(""A""&amp;row()-2),indirect(""B""&amp;row()-2),0),
$O$2=""No"",TIME(0,($A$6*60+$B$6)+CEILING(SUM($L$7:indirect(""L""&amp;row()-1)),5),0),
D55=$E$2,TIME(0,($A$6*60+$B$6)+CEILING(SUM(IFERROR(FILTER($L$7:indirect(""L"""&amp;"&amp;row()-1),REGEXMATCH($D$7:indirect(""D""&amp;row()-1),$E$2)),0)),5),0),
TRUE,""=time(hh;mm;ss)"")"),0.3645833333333335)</f>
        <v>0.3645833333</v>
      </c>
      <c r="B55" s="36">
        <f>IFERROR(__xludf.DUMMYFUNCTION("IFS($O$2=""No"",TIME(0,($A$6*60+$B$6)+CEILING(SUM($L$7:indirect(""L""&amp;row())),5),0),
D55=$E$2,TIME(0,($A$6*60+$B$6)+CEILING(SUM(FILTER($L$7:indirect(""L""&amp;row()),REGEXMATCH($D$7:indirect(""D""&amp;row()),$E$2))),5),0),
A55=""=time(hh;mm;ss)"",CONCATENATE(""Sk"&amp;"riv tid i A""&amp;row()),
AND(A55&lt;&gt;"""",A55&lt;&gt;""=time(hh;mm;ss)""),A55+TIME(0,CEILING(indirect(""L""&amp;row()),5),0))"),0.3645833333333335)</f>
        <v>0.3645833333</v>
      </c>
      <c r="C55" s="37"/>
      <c r="D55" s="38" t="str">
        <f t="shared" si="5"/>
        <v>Stora salen</v>
      </c>
      <c r="E55" s="38" t="str">
        <f>IFERROR(__xludf.DUMMYFUNCTION("IFS(COUNTIF(Info!$A$22:A81,C55)&gt;0,"""",
AND(OR(""3x3 FMC""=C55,""3x3 MBLD""=C55),COUNTIF($C$7:indirect(""C""&amp;row()),indirect(""C""&amp;row()))&gt;=13),""E - Error"",
AND(OR(""3x3 FMC""=C55,""3x3 MBLD""=C55),COUNTIF($C$7:indirect(""C""&amp;row()),indirect(""C""&amp;row()"&amp;"))=12),""Final - A3"",
AND(OR(""3x3 FMC""=C55,""3x3 MBLD""=C55),COUNTIF($C$7:indirect(""C""&amp;row()),indirect(""C""&amp;row()))=11),""Final - A2"",
AND(OR(""3x3 FMC""=C55,""3x3 MBLD""=C55),COUNTIF($C$7:indirect(""C""&amp;row()),indirect(""C""&amp;row()))=10),""Final - "&amp;"A1"",
AND(OR(""3x3 FMC""=C55,""3x3 MBLD""=C55),COUNTIF($C$7:indirect(""C""&amp;row()),indirect(""C""&amp;row()))=9,
COUNTIF($C$7:$C$102,indirect(""C""&amp;row()))&gt;9),""R3 - A3"",
AND(OR(""3x3 FMC""=C55,""3x3 MBLD""=C55),COUNTIF($C$7:indirect(""C""&amp;row()),indirect(""C"&amp;"""&amp;row()))=9,
COUNTIF($C$7:$C$102,indirect(""C""&amp;row()))&lt;=9),""Final - A3"",
AND(OR(""3x3 FMC""=C55,""3x3 MBLD""=C55),COUNTIF($C$7:indirect(""C""&amp;row()),indirect(""C""&amp;row()))=8,
COUNTIF($C$7:$C$102,indirect(""C""&amp;row()))&gt;9),""R3 - A2"",
AND(OR(""3x3 FMC"&amp;"""=C55,""3x3 MBLD""=C55),COUNTIF($C$7:indirect(""C""&amp;row()),indirect(""C""&amp;row()))=8,
COUNTIF($C$7:$C$102,indirect(""C""&amp;row()))&lt;=9),""Final - A2"",
AND(OR(""3x3 FMC""=C55,""3x3 MBLD""=C55),COUNTIF($C$7:indirect(""C""&amp;row()),indirect(""C""&amp;row()))=7,
COUN"&amp;"TIF($C$7:$C$102,indirect(""C""&amp;row()))&gt;9),""R3 - A1"",
AND(OR(""3x3 FMC""=C55,""3x3 MBLD""=C55),COUNTIF($C$7:indirect(""C""&amp;row()),indirect(""C""&amp;row()))=7,
COUNTIF($C$7:$C$102,indirect(""C""&amp;row()))&lt;=9),""Final - A1"",
AND(OR(""3x3 FMC""=C55,""3x3 MBLD"""&amp;"=C55),COUNTIF($C$7:indirect(""C""&amp;row()),indirect(""C""&amp;row()))=6,
COUNTIF($C$7:$C$102,indirect(""C""&amp;row()))&gt;6),""R2 - A3"",
AND(OR(""3x3 FMC""=C55,""3x3 MBLD""=C55),COUNTIF($C$7:indirect(""C""&amp;row()),indirect(""C""&amp;row()))=6,
COUNTIF($C$7:$C$102,indirec"&amp;"t(""C""&amp;row()))&lt;=6),""Final - A3"",
AND(OR(""3x3 FMC""=C55,""3x3 MBLD""=C55),COUNTIF($C$7:indirect(""C""&amp;row()),indirect(""C""&amp;row()))=5,
COUNTIF($C$7:$C$102,indirect(""C""&amp;row()))&gt;6),""R2 - A2"",
AND(OR(""3x3 FMC""=C55,""3x3 MBLD""=C55),COUNTIF($C$7:indi"&amp;"rect(""C""&amp;row()),indirect(""C""&amp;row()))=5,
COUNTIF($C$7:$C$102,indirect(""C""&amp;row()))&lt;=6),""Final - A2"",
AND(OR(""3x3 FMC""=C55,""3x3 MBLD""=C55),COUNTIF($C$7:indirect(""C""&amp;row()),indirect(""C""&amp;row()))=4,
COUNTIF($C$7:$C$102,indirect(""C""&amp;row()))&gt;6),"&amp;"""R2 - A1"",
AND(OR(""3x3 FMC""=C55,""3x3 MBLD""=C55),COUNTIF($C$7:indirect(""C""&amp;row()),indirect(""C""&amp;row()))=4,
COUNTIF($C$7:$C$102,indirect(""C""&amp;row()))&lt;=6),""Final - A1"",
AND(OR(""3x3 FMC""=C55,""3x3 MBLD""=C55),COUNTIF($C$7:indirect(""C""&amp;row()),i"&amp;"ndirect(""C""&amp;row()))=3),""R1 - A3"",
AND(OR(""3x3 FMC""=C55,""3x3 MBLD""=C55),COUNTIF($C$7:indirect(""C""&amp;row()),indirect(""C""&amp;row()))=2),""R1 - A2"",
AND(OR(""3x3 FMC""=C55,""3x3 MBLD""=C55),COUNTIF($C$7:indirect(""C""&amp;row()),indirect(""C""&amp;row()))=1),"&amp;"""R1 -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C55),ROUNDUP((FILTER(Info!$H$2:H81,Info!$A$2:A81=C55)/FILTER(Info!$H$2:H81,Info!$A$2:A81=$K$2))*$I$2)&gt;99),3,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C55),ROUNDUP((FILTER(Info!$H$2:H81,Info!$A$2:A81=C55)/FILTER(Info!$H$2:H81,Info!$A$2:A81=$K$2))*$I$2)&gt;15),2,
AND(COUNTIF($C$7:indirect(""C""&amp;row()),indirect(""C""&amp;row()))=2,COUNTIF($C$7:$C$102,indirect(""C""&amp;row()))=COUNTIF($"&amp;"C$7:indirect(""C""&amp;row()),indirect(""C""&amp;row()))),""Final"",
COUNTIF($C$7:indirect(""C""&amp;row()),indirect(""C""&amp;row()))=1,1,
COUNTIF($C$7:indirect(""C""&amp;row()),indirect(""C""&amp;row()))=0,"""")"),"")</f>
        <v/>
      </c>
      <c r="F55" s="39" t="str">
        <f>IFERROR(__xludf.DUMMYFUNCTION("IFS(C55="""","""",
AND(C55=""3x3 FMC"",MOD(COUNTIF($C$7:indirect(""C""&amp;row()),indirect(""C""&amp;row())),3)=0),""Mean of 3"",
AND(C55=""3x3 MBLD"",MOD(COUNTIF($C$7:indirect(""C""&amp;row()),indirect(""C""&amp;row())),3)=0),""Best of 3"",
AND(C55=""3x3 FMC"",MOD(COUNT"&amp;"IF($C$7:indirect(""C""&amp;row()),indirect(""C""&amp;row())),3)=2,
COUNTIF($C$7:$C$102,indirect(""C""&amp;row()))&lt;=COUNTIF($C$7:indirect(""C""&amp;row()),indirect(""C""&amp;row()))),""Best of 2"",
AND(C55=""3x3 FMC"",MOD(COUNTIF($C$7:indirect(""C""&amp;row()),indirect(""C""&amp;row("&amp;"))),3)=2,
COUNTIF($C$7:$C$102,indirect(""C""&amp;row()))&gt;COUNTIF($C$7:indirect(""C""&amp;row()),indirect(""C""&amp;row()))),""Mean of 3"",
AND(C55=""3x3 MBLD"",MOD(COUNTIF($C$7:indirect(""C""&amp;row()),indirect(""C""&amp;row())),3)=2,
COUNTIF($C$7:$C$102,indirect(""C""&amp;row("&amp;")))&lt;=COUNTIF($C$7:indirect(""C""&amp;row()),indirect(""C""&amp;row()))),""Best of 2"",
AND(C55=""3x3 MBLD"",MOD(COUNTIF($C$7:indirect(""C""&amp;row()),indirect(""C""&amp;row())),3)=2,
COUNTIF($C$7:$C$102,indirect(""C""&amp;row()))&gt;COUNTIF($C$7:indirect(""C""&amp;row()),indirect("&amp;"""C""&amp;row()))),""Best of 3"",
AND(C55=""3x3 FMC"",MOD(COUNTIF($C$7:indirect(""C""&amp;row()),indirect(""C""&amp;row())),3)=1,
COUNTIF($C$7:$C$102,indirect(""C""&amp;row()))&lt;=COUNTIF($C$7:indirect(""C""&amp;row()),indirect(""C""&amp;row()))),""Best of 1"",
AND(C55=""3x3 FMC"""&amp;",MOD(COUNTIF($C$7:indirect(""C""&amp;row()),indirect(""C""&amp;row())),3)=1,
COUNTIF($C$7:$C$102,indirect(""C""&amp;row()))=COUNTIF($C$7:indirect(""C""&amp;row()),indirect(""C""&amp;row()))+1),""Best of 2"",
AND(C55=""3x3 FMC"",MOD(COUNTIF($C$7:indirect(""C""&amp;row()),indirect"&amp;"(""C""&amp;row())),3)=1,
COUNTIF($C$7:$C$102,indirect(""C""&amp;row()))&gt;COUNTIF($C$7:indirect(""C""&amp;row()),indirect(""C""&amp;row()))),""Mean of 3"",
AND(C55=""3x3 MBLD"",MOD(COUNTIF($C$7:indirect(""C""&amp;row()),indirect(""C""&amp;row())),3)=1,
COUNTIF($C$7:$C$102,indirect"&amp;"(""C""&amp;row()))&lt;=COUNTIF($C$7:indirect(""C""&amp;row()),indirect(""C""&amp;row()))),""Best of 1"",
AND(C55=""3x3 MBLD"",MOD(COUNTIF($C$7:indirect(""C""&amp;row()),indirect(""C""&amp;row())),3)=1,
COUNTIF($C$7:$C$102,indirect(""C""&amp;row()))=COUNTIF($C$7:indirect(""C""&amp;row()"&amp;"),indirect(""C""&amp;row()))+1),""Best of 2"",
AND(C55=""3x3 MBLD"",MOD(COUNTIF($C$7:indirect(""C""&amp;row()),indirect(""C""&amp;row())),3)=1,
COUNTIF($C$7:$C$102,indirect(""C""&amp;row()))&gt;COUNTIF($C$7:indirect(""C""&amp;row()),indirect(""C""&amp;row()))),""Best of 3"",
TRUE,("&amp;"IFERROR(FILTER(Info!$D$2:D81, Info!$A$2:A81 = C55), """")))"),"")</f>
        <v/>
      </c>
      <c r="G55" s="40" t="str">
        <f>IFERROR(__xludf.DUMMYFUNCTION("IFS(OR(COUNTIF(Info!$A$22:A81,C55)&gt;0,C55=""""),"""",
OR(""3x3 MBLD""=C55,""3x3 FMC""=C55),60,
AND(E55=1,FILTER(Info!$F$2:F81, Info!$A$2:A81 = C55) = ""No""),FILTER(Info!$P$2:P81, Info!$A$2:A81 = C55),
AND(E55=2,FILTER(Info!$F$2:F81, Info!$A$2:A81 = C55) ="&amp;" ""No""),FILTER(Info!$Q$2:Q81, Info!$A$2:A81 = C55),
AND(E55=3,FILTER(Info!$F$2:F81, Info!$A$2:A81 = C55) = ""No""),FILTER(Info!$R$2:R81, Info!$A$2:A81 = C55),
AND(E55=""Final"",FILTER(Info!$F$2:F81, Info!$A$2:A81 = C55) = ""No""),FILTER(Info!$S$2:S81, In"&amp;"fo!$A$2:A81 = C55),
FILTER(Info!$F$2:F81, Info!$A$2:A81 = C55) = ""Yes"","""")"),"")</f>
        <v/>
      </c>
      <c r="H55" s="40" t="str">
        <f>IFERROR(__xludf.DUMMYFUNCTION("IFS(OR(COUNTIF(Info!$A$22:A81,C55)&gt;0,C55=""""),"""",
OR(""3x3 MBLD""=C55,""3x3 FMC""=C55)=TRUE,"""",
FILTER(Info!$F$2:F81, Info!$A$2:A81 = C55) = ""Yes"",FILTER(Info!$O$2:O81, Info!$A$2:A81 = C55),
FILTER(Info!$F$2:F81, Info!$A$2:A81 = C55) = ""No"",IF(G5"&amp;"5="""",FILTER(Info!$O$2:O81, Info!$A$2:A81 = C55),""""))"),"")</f>
        <v/>
      </c>
      <c r="I55" s="40" t="str">
        <f>IFERROR(__xludf.DUMMYFUNCTION("IFS(OR(COUNTIF(Info!$A$22:A81,C55)&gt;0,C55="""",H55&lt;&gt;""""),"""",
AND(E55&lt;&gt;1,E55&lt;&gt;""R1 - A1"",E55&lt;&gt;""R1 - A2"",E55&lt;&gt;""R1 - A3""),"""",
FILTER(Info!$E$2:E81, Info!$A$2:A81 = C55) = ""Yes"",IF(H55="""",FILTER(Info!$L$2:L81, Info!$A$2:A81 = C55),""""),
FILTER(I"&amp;"nfo!$E$2:E81, Info!$A$2:A81 = C55) = ""No"","""")"),"")</f>
        <v/>
      </c>
      <c r="J55" s="40" t="str">
        <f>IFERROR(__xludf.DUMMYFUNCTION("IFS(OR(COUNTIF(Info!$A$22:A81,C55)&gt;0,C55="""",""3x3 MBLD""=C55,""3x3 FMC""=C55),"""",
AND(E55=1,FILTER(Info!$H$2:H81,Info!$A$2:A81 = C55)&lt;=FILTER(Info!$H$2:H81,Info!$A$2:A81=$K$2)),
ROUNDUP((FILTER(Info!$H$2:H81,Info!$A$2:A81 = C55)/FILTER(Info!$H$2:H81,I"&amp;"nfo!$A$2:A81=$K$2))*$I$2),
AND(E55=1,FILTER(Info!$H$2:H81,Info!$A$2:A81 = C55)&gt;FILTER(Info!$H$2:H81,Info!$A$2:A81=$K$2)),""K2 - Error"",
AND(E55=2,FILTER($J$7:indirect(""J""&amp;row()-1),$C$7:indirect(""C""&amp;row()-1)=C55)&lt;=7),""J - Error"",
E55=2,FLOOR(FILTER("&amp;"$J$7:indirect(""J""&amp;row()-1),$C$7:indirect(""C""&amp;row()-1)=C55)*Info!$T$32),
AND(E55=3,FILTER($J$7:indirect(""J""&amp;row()-1),$C$7:indirect(""C""&amp;row()-1)=C55)&lt;=15),""J - Error"",
E55=3,FLOOR(Info!$T$32*FLOOR(FILTER($J$7:indirect(""J""&amp;row()-1),$C$7:indirect("&amp;"""C""&amp;row()-1)=C55)*Info!$T$32)),
AND(E55=""Final"",COUNTIF($C$7:$C$102,C55)=2,FILTER($J$7:indirect(""J""&amp;row()-1),$C$7:indirect(""C""&amp;row()-1)=C55)&lt;=7),""J - Error"",
AND(E55=""Final"",COUNTIF($C$7:$C$102,C55)=2),
MIN(P55,FLOOR(FILTER($J$7:indirect(""J"""&amp;"&amp;row()-1),$C$7:indirect(""C""&amp;row()-1)=C55)*Info!$T$32)),
AND(E55=""Final"",COUNTIF($C$7:$C$102,C55)=3,FILTER($J$7:indirect(""J""&amp;row()-1),$C$7:indirect(""C""&amp;row()-1)=C55)&lt;=15),""J - Error"",
AND(E55=""Final"",COUNTIF($C$7:$C$102,C55)=3),
MIN(P55,FLOOR(I"&amp;"nfo!$T$32*FLOOR(FILTER($J$7:indirect(""J""&amp;row()-1),$C$7:indirect(""C""&amp;row()-1)=C55)*Info!$T$32))),
AND(E55=""Final"",COUNTIF($C$7:$C$102,C55)&gt;=4,FILTER($J$7:indirect(""J""&amp;row()-1),$C$7:indirect(""C""&amp;row()-1)=C55)&lt;=99),""J - Error"",
AND(E55=""Final"","&amp;"COUNTIF($C$7:$C$102,C55)&gt;=4),
MIN(P55,FLOOR(Info!$T$32*FLOOR(Info!$T$32*FLOOR(FILTER($J$7:indirect(""J""&amp;row()-1),$C$7:indirect(""C""&amp;row()-1)=C55)*Info!$T$32)))))"),"")</f>
        <v/>
      </c>
      <c r="K55" s="41" t="str">
        <f>IFERROR(__xludf.DUMMYFUNCTION("IFS(AND(indirect(""D""&amp;row()+2)&lt;&gt;$E$2,indirect(""D""&amp;row()+1)=""""),CONCATENATE(""Tom rad! Kopiera hela rad ""&amp;row()&amp;"" dit""),
AND(indirect(""D""&amp;row()-1)&lt;&gt;""Rum"",indirect(""D""&amp;row()-1)=""""),CONCATENATE(""Tom rad! Kopiera hela rad ""&amp;row()&amp;"" dit""),
"&amp;"C55="""","""",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OR(AND(D55&lt;&gt;$E$2,D55&lt;&gt;$E$4,D55&lt;&gt;$K$4,D55&lt;&gt;$Q$4),D55="&amp;"""""),CONCATENATE(""Rum: ""&amp;D55&amp;"" finns ej, byt i D""&amp;row()),
AND(indirect(""D""&amp;row()-1)=""Rum"",C55=""""),CONCATENATE(""För att börja: skriv i cell C""&amp;row()),
AND(C55=""Paus"",M55&lt;=0),CONCATENATE(""Skriv pausens längd i M""&amp;row()),
OR(COUNTIF(Info!$A$"&amp;"22:A81,C55)&gt;0,C55=""""),"""",
AND(D55&lt;&gt;$E$2,$O$2=""Yes"",A55=""=time(hh;mm;ss)""),CONCATENATE(""Skriv starttid för ""&amp;C55&amp;"" i A""&amp;row()),
E55=""E - Error"",CONCATENATE(""För många ""&amp;C55&amp;"" rundor!""),
AND(C55&lt;&gt;""3x3 FMC"",C55&lt;&gt;""3x3 MBLD"",E55&lt;&gt;1,E55&lt;&gt;"&amp;"""Final"",IFERROR(FILTER($E$7:indirect(""E""&amp;row()-1),
$E$7:indirect(""E""&amp;row()-1)=E55-1,$C$7:indirect(""C""&amp;row()-1)=C55))=FALSE),CONCATENATE(""Kan ej vara R""&amp;E55&amp;"", saknar R""&amp;(E55-1)),
AND(indirect(""E""&amp;row()-1)&lt;&gt;""Omgång"",IFERROR(FILTER($E$7:indi"&amp;"rect(""E""&amp;row()-1),
$E$7:indirect(""E""&amp;row()-1)=E55,$C$7:indirect(""C""&amp;row()-1)=C55)=E55)=TRUE),CONCATENATE(""Runda ""&amp;E55&amp;"" i ""&amp;C55&amp;"" finns redan""),
AND(C55&lt;&gt;""3x3 BLD"",C55&lt;&gt;""4x4 BLD"",C55&lt;&gt;""5x5 BLD"",C55&lt;&gt;""4x4 / 5x5 BLD"",OR(E55=2,E55=3,E55="&amp;"""Final""),H55&lt;&gt;""""),CONCATENATE(E55&amp;""-rundor brukar ej ha c.t.l.""),
AND(OR(E55=2,E55=3,E55=""Final""),I55&lt;&gt;""""),CONCATENATE(E55&amp;""-rundor brukar ej ha cutoff""),
AND(OR(C55=""3x3 FMC"",C55=""3x3 MBLD""),OR(E55=1,E55=2,E55=3,E55=""Final"")),CONCATENAT"&amp;"E(C55&amp;""s omgång är Rx - Ax""),
AND(C55&lt;&gt;""3x3 MBLD"",C55&lt;&gt;""3x3 FMC"",FILTER(Info!$D$2:D81, Info!$A$2:A81 = C55)&lt;&gt;F55),CONCATENATE(C55&amp;"" måste ha formatet ""&amp;FILTER(Info!$D$2:D81, Info!$A$2:A81 = C55)),
AND(C55=""3x3 MBLD"",OR(F55=""Avg of 5"",F55=""Mea"&amp;"n of 3"")),CONCATENATE(""Ogiltigt format för ""&amp;C55),
AND(C55=""3x3 FMC"",OR(F55=""Avg of 5"",F55=""Best of 3"")),CONCATENATE(""Ogiltigt format för ""&amp;C55),
AND(OR(F55=""Best of 1"",F55=""Best of 2"",F55=""Best of 3""),I55&lt;&gt;""""),CONCATENATE(F55&amp;""-rundor"&amp;" får ej ha cutoff""),
AND(OR(C55=""3x3 FMC"",C55=""3x3 MBLD""),G55&lt;&gt;60),CONCATENATE(C55&amp;"" måste ha time limit: 60""),
AND(OR(C55=""3x3 FMC"",C55=""3x3 MBLD""),H55&lt;&gt;""""),CONCATENATE(C55&amp;"" kan inte ha c.t.l.""),
AND(G55&lt;&gt;"""",H55&lt;&gt;""""),""Välj time limit"&amp;" ELLER c.t.l"",
AND(C55=""6x6 / 7x7"",G55="""",H55=""""),""Sätt time limit (x / y) eller c.t.l (z)"",
AND(G55="""",H55=""""),""Sätt en time limit eller c.t.l"",
AND(OR(C55=""6x6 / 7x7"",C55=""4x4 / 5x5 BLD""),G55&lt;&gt;"""",REGEXMATCH(TO_TEXT(G55),"" / "")=FAL"&amp;"SE),CONCATENATE(""Time limit måste vara x / y""),
AND(H55&lt;&gt;"""",I55&lt;&gt;""""),CONCATENATE(C55&amp;"" brukar ej ha cutoff OCH c.t.l""),
AND(E55=1,H55="""",I55="""",OR(FILTER(Info!$E$2:E81, Info!$A$2:A81 = C55) = ""Yes"",FILTER(Info!$F$2:F81, Info!$A$2:A81 = C55) "&amp;"= ""Yes""),OR(F55=""Avg of 5"",F55=""Mean of 3"")),CONCATENATE(C55&amp;"" bör ha cutoff eller c.t.l""),
AND(C55=""6x6 / 7x7"",I55&lt;&gt;"""",REGEXMATCH(TO_TEXT(I55),"" / "")=FALSE),CONCATENATE(""Cutoff måste vara x / y""),
AND(H55&lt;&gt;"""",ISNUMBER(H55)=FALSE),""C.t."&amp;"l. måste vara positivt tal (x)"",
AND(C55&lt;&gt;""6x6 / 7x7"",I55&lt;&gt;"""",ISNUMBER(I55)=FALSE),""Cutoff måste vara positivt tal (x)"",
AND(H55&lt;&gt;"""",FILTER(Info!$E$2:E81, Info!$A$2:A81 = C55) = ""No"",FILTER(Info!$F$2:F81, Info!$A$2:A81 = C55) = ""No""),CONCATEN"&amp;"ATE(C55&amp;"" brukar inte ha c.t.l.""),
AND(I55&lt;&gt;"""",FILTER(Info!$E$2:E81, Info!$A$2:A81 = C55) = ""No"",FILTER(Info!$F$2:F81, Info!$A$2:A81 = C55) = ""No""),CONCATENATE(C55&amp;"" brukar inte ha cutoff""),
AND(H55="""",FILTER(Info!$F$2:F81, Info!$A$2:A81 = C55"&amp;") = ""Yes""),CONCATENATE(C55&amp;"" brukar ha c.t.l.""),
AND(C55&lt;&gt;""6x6 / 7x7"",C55&lt;&gt;""4x4 / 5x5 BLD"",G55&lt;&gt;"""",ISNUMBER(G55)=FALSE),""Time limit måste vara positivt tal (x)"",
J55=""J - Error"",CONCATENATE(""För få deltagare i R1 för ""&amp;COUNTIF($C$7:$C$102,"&amp;"indirect(""C""&amp;row()))&amp;"" rundor""),
J55=""K2 - Error"",CONCATENATE(C55&amp;"" är mer populär - byt i K2!""),
AND(C55&lt;&gt;""6x6 / 7x7"",C55&lt;&gt;""4x4 / 5x5 BLD"",G55&lt;&gt;"""",I55&lt;&gt;"""",G55&lt;=I55),""Time limit måste vara &gt; cutoff"",
AND(C55&lt;&gt;""6x6 / 7x7"",C55&lt;&gt;""4x4 / 5"&amp;"x5 BLD"",H55&lt;&gt;"""",I55&lt;&gt;"""",H55&lt;=I55),""C.t.l. måste vara &gt; cutoff"",
AND(C55&lt;&gt;""3x3 FMC"",C55&lt;&gt;""3x3 MBLD"",J55=""""),CONCATENATE(""Fyll i antal deltagare i J""&amp;row()),
AND(C55="""",OR(E55&lt;&gt;"""",F55&lt;&gt;"""",G55&lt;&gt;"""",H55&lt;&gt;"""",I55&lt;&gt;"""",J55&lt;&gt;"""")),""Skri"&amp;"v ALLTID gren / aktivitet först"",
AND(I55="""",H55="""",J55&lt;&gt;""""),J55,
OR(""3x3 FMC""=C55,""3x3 MBLD""=C55),J55,
AND(I55&lt;&gt;"""",""6x6 / 7x7""=C55),
IFS(ArrayFormula(SUM(IFERROR(SPLIT(I55,"" / ""))))&lt;(Info!$J$6+Info!$J$7)*2/3,CONCATENATE(""Höj helst cutof"&amp;"fs i ""&amp;C55),
ArrayFormula(SUM(IFERROR(SPLIT(I55,"" / ""))))&lt;=(Info!$J$6+Info!$J$7),ROUNDUP(J55*Info!$J$22),
ArrayFormula(SUM(IFERROR(SPLIT(I55,"" / ""))))&lt;=Info!$J$6+Info!$J$7,ROUNDUP(J55*Info!$K$22),
ArrayFormula(SUM(IFERROR(SPLIT(I55,"" / ""))))&lt;=Info!"&amp;"$K$6+Info!$K$7,ROUNDUP(J55*Info!L$22),
ArrayFormula(SUM(IFERROR(SPLIT(I55,"" / ""))))&lt;=Info!$L$6+Info!$L$7,ROUNDUP(J55*Info!$M$22),
ArrayFormula(SUM(IFERROR(SPLIT(I55,"" / ""))))&lt;=Info!$M$6+Info!$M$7,ROUNDUP(J55*Info!$N$22),
ArrayFormula(SUM(IFERROR(SPLIT"&amp;"(I55,"" / ""))))&lt;=(Info!$N$6+Info!$N$7)*3/2,ROUNDUP(J55*Info!$J$26),
ArrayFormula(SUM(IFERROR(SPLIT(I55,"" / ""))))&gt;(Info!$N$6+Info!$N$7)*3/2,CONCATENATE(""Sänk helst cutoffs i ""&amp;C55)),
AND(I55&lt;&gt;"""",FILTER(Info!$E$2:E81, Info!$A$2:A81 = C55) = ""Yes""),"&amp;"
IFS(I55&lt;FILTER(Info!$J$2:J81, Info!$A$2:A81 = C55)*2/3,CONCATENATE(""Höj helst cutoff i ""&amp;C55),
I55&lt;=FILTER(Info!$J$2:J81, Info!$A$2:A81 = C55),ROUNDUP(J55*Info!$J$22),
I55&lt;=FILTER(Info!$K$2:K81, Info!$A$2:A81 = C55),ROUNDUP(J55*Info!$K$22),
I55&lt;=FILTER"&amp;"(Info!$L$2:L81, Info!$A$2:A81 = C55),ROUNDUP(J55*Info!L$22),
I55&lt;=FILTER(Info!$M$2:M81, Info!$A$2:A81 = C55),ROUNDUP(J55*Info!$M$22),
I55&lt;=FILTER(Info!$N$2:N81, Info!$A$2:A81 = C55),ROUNDUP(J55*Info!$N$22),
I55&lt;=FILTER(Info!$N$2:N81, Info!$A$2:A81 = C55)*"&amp;"3/2,ROUNDUP(J55*Info!$J$26),
I55&gt;FILTER(Info!$N$2:N81, Info!$A$2:A81 = C55)*3/2,CONCATENATE(""Sänk helst cutoff i ""&amp;C55)),
AND(H55&lt;&gt;"""",""6x6 / 7x7""=C55),
IFS(H55/3&lt;=(Info!$J$6+Info!$J$7)*2/3,""Höj helst cumulative time limit"",
H55/3&lt;=Info!$J$6+Info!$"&amp;"J$7,ROUNDUP(J55*Info!$J$24),
H55/3&lt;=Info!$K$6+Info!$K$7,ROUNDUP(J55*Info!$K$24),
H55/3&lt;=Info!$L$6+Info!$L$7,ROUNDUP(J55*Info!L$24),
H55/3&lt;=Info!$M$6+Info!$M$7,ROUNDUP(J55*Info!$M$24),
H55/3&lt;=Info!$N$6+Info!$N$7,ROUNDUP(J55*Info!$N$24),
H55/3&lt;=(Info!$N$6+I"&amp;"nfo!$N$7)*3/2,ROUNDUP(J55*Info!$L$26),
H55/3&gt;(Info!$J$6+Info!$J$7)*3/2,""Sänk helst cumulative time limit""),
AND(H55&lt;&gt;"""",FILTER(Info!$F$2:F81, Info!$A$2:A81 = C55) = ""Yes""),
IFS(H55&lt;=FILTER(Info!$J$2:J81, Info!$A$2:A81 = C55)*2/3,CONCATENATE(""Höj he"&amp;"lst c.t.l. i ""&amp;C55),
H55&lt;=FILTER(Info!$J$2:J81, Info!$A$2:A81 = C55),ROUNDUP(J55*Info!$J$24),
H55&lt;=FILTER(Info!$K$2:K81, Info!$A$2:A81 = C55),ROUNDUP(J55*Info!$K$24),
H55&lt;=FILTER(Info!$L$2:L81, Info!$A$2:A81 = C55),ROUNDUP(J55*Info!L$24),
H55&lt;=FILTER(Inf"&amp;"o!$M$2:M81, Info!$A$2:A81 = C55),ROUNDUP(J55*Info!$M$24),
H55&lt;=FILTER(Info!$N$2:N81, Info!$A$2:A81 = C55),ROUNDUP(J55*Info!$N$24),
H55&lt;=FILTER(Info!$N$2:N81, Info!$A$2:A81 = C55)*3/2,ROUNDUP(J55*Info!$L$26),
H55&gt;FILTER(Info!$N$2:N81, Info!$A$2:A81 = C55)*"&amp;"3/2,CONCATENATE(""Sänk helst c.t.l. i ""&amp;C55)),
AND(H55&lt;&gt;"""",FILTER(Info!$F$2:F81, Info!$A$2:A81 = C55) = ""No""),
IFS(H55/AA55&lt;=FILTER(Info!$J$2:J81, Info!$A$2:A81 = C55)*2/3,CONCATENATE(""Höj helst c.t.l. i ""&amp;C55),
H55/AA55&lt;=FILTER(Info!$J$2:J81, Info"&amp;"!$A$2:A81 = C55),ROUNDUP(J55*Info!$J$24),
H55/AA55&lt;=FILTER(Info!$K$2:K81, Info!$A$2:A81 = C55),ROUNDUP(J55*Info!$K$24),
H55/AA55&lt;=FILTER(Info!$L$2:L81, Info!$A$2:A81 = C55),ROUNDUP(J55*Info!L$24),
H55/AA55&lt;=FILTER(Info!$M$2:M81, Info!$A$2:A81 = C55),ROUND"&amp;"UP(J55*Info!$M$24),
H55/AA55&lt;=FILTER(Info!$N$2:N81, Info!$A$2:A81 = C55),ROUNDUP(J55*Info!$N$24),
H55/AA55&lt;=FILTER(Info!$N$2:N81, Info!$A$2:A81 = C55)*3/2,ROUNDUP(J55*Info!$L$26),
H55/AA55&gt;FILTER(Info!$N$2:N81, Info!$A$2:A81 = C55)*3/2,CONCATENATE(""Sänk "&amp;"helst c.t.l. i ""&amp;C55)),
AND(I55="""",H55&lt;&gt;"""",J55&lt;&gt;""""),ROUNDUP(J55*Info!$T$29),
AND(I55&lt;&gt;"""",H55="""",J55&lt;&gt;""""),ROUNDUP(J55*Info!$T$26))"),"")</f>
        <v/>
      </c>
      <c r="L55" s="42">
        <f>IFERROR(__xludf.DUMMYFUNCTION("IFS(C55="""",0,
C55=""3x3 FMC"",Info!$B$9*N55+M55, C55=""3x3 MBLD"",Info!$B$18*N55+M55,
COUNTIF(Info!$A$22:A81,C55)&gt;0,FILTER(Info!$B$22:B81,Info!$A$22:A81=C55)+M55,
AND(C55&lt;&gt;"""",E55=""""),CONCATENATE(""Fyll i E""&amp;row()),
AND(C55&lt;&gt;"""",E55&lt;&gt;"""",E55&lt;&gt;1,E5"&amp;"5&lt;&gt;2,E55&lt;&gt;3,E55&lt;&gt;""Final""),CONCATENATE(""Fel format på E""&amp;row()),
K55=CONCATENATE(""Runda ""&amp;E55&amp;"" i ""&amp;C55&amp;"" finns redan""),CONCATENATE(""Fel i E""&amp;row()),
AND(C55&lt;&gt;"""",F55=""""),CONCATENATE(""Fyll i F""&amp;row()),
K55=CONCATENATE(C55&amp;"" måste ha forma"&amp;"tet ""&amp;FILTER(Info!$D$2:D81, Info!$A$2:A81 = C55)),CONCATENATE(""Fel format på F""&amp;row()),
AND(C55&lt;&gt;"""",D55=1,H55="""",FILTER(Info!$F$2:F81, Info!$A$2:A81 = C55) = ""Yes""),CONCATENATE(""Fyll i H""&amp;row()),
AND(C55&lt;&gt;"""",D55=1,I55="""",FILTER(Info!$E$2:E8"&amp;"1, Info!$A$2:A81 = C55) = ""Yes""),CONCATENATE(""Fyll i I""&amp;row()),
AND(C55&lt;&gt;"""",J55=""""),CONCATENATE(""Fyll i J""&amp;row()),
AND(C55&lt;&gt;"""",K55="""",OR(H55&lt;&gt;"""",I55&lt;&gt;"""")),CONCATENATE(""Fyll i K""&amp;row()),
AND(C55&lt;&gt;"""",K55=""""),CONCATENATE(""Skriv samma"&amp;" i K""&amp;row()&amp;"" som i J""&amp;row()),
AND(OR(C55=""4x4 BLD"",C55=""5x5 BLD"",C55=""4x4 / 5x5 BLD"")=TRUE,V55&lt;=P55),
MROUND(H55*(Info!$T$20-((Info!$T$20-1)/2)*(1-V55/P55))*(1+((J55/K55)-1)*(1-Info!$J$24))*N55+(Info!$T$11/2)+(N55*Info!$T$11)+(N55*Info!$T$14*(O5"&amp;"5-1)),0.01)+M55,
AND(OR(C55=""4x4 BLD"",C55=""5x5 BLD"",C55=""4x4 / 5x5 BLD"")=TRUE,V55&gt;P55),
MROUND((((J55*Z55+K55*(AA55-Z55))*(H55*Info!$T$20/AA55))/X55)*(1+((J55/K55)-1)*(1-Info!$J$24))*(1+(X55-Info!$T$8)/100)+(Info!$T$11/2)+(N55*Info!$T$11)+(N55*Info!"&amp;"$T$14*(O55-1)),0.01)+M55,
AND(C55=""3x3 BLD"",V55&lt;=P55),
MROUND(H55*(Info!$T$23-((Info!$T$23-1)/2)*(1-V55/P55))*(1+((J55/K55)-1)*(1-Info!$J$24))*N55+(Info!$T$11/2)+(N55*Info!$T$11)+(N55*Info!$T$14*(O55-1)),0.01)+M55,
AND(C55=""3x3 BLD"",V55&gt;P55),
MROUND(("&amp;"((J55*Z55+K55*(AA55-Z55))*(H55*Info!$T$23/AA55))/X55)*(1+((J55/K55)-1)*(1-Info!$J$24))*(1+(X55-Info!$T$8)/100)+(Info!$T$11/2)+(N55*Info!$T$11)+(N55*Info!$T$14*(O55-1)),0.01)+M55,
E55=1,MROUND((((J55*Z55+K55*(AA55-Z55))*Y55)/X55)*(1+(X55-Info!$T$8)/100)+(N"&amp;"55*Info!$T$11)+(N55*Info!$T$14*(O55-1)),0.01)+M55,
AND(E55=""Final"",N55=1,FILTER(Info!$G$2:$G$20,Info!$A$2:$A$20=C55)=""Mycket svår""),
MROUND((((J55*Z55+K55*(AA55-Z55))*(Y55*Info!$T$38))/X55)*(1+(X55-Info!$T$8)/100)+(N55*Info!$T$11)+(N55*Info!$T$14*(O55"&amp;"-1)),0.01)+M55,
AND(E55=""Final"",N55=1,FILTER(Info!$G$2:$G$20,Info!$A$2:$A$20=C55)=""Svår""),
MROUND((((J55*Z55+K55*(AA55-Z55))*(Y55*Info!$T$35))/X55)*(1+(X55-Info!$T$8)/100)+(N55*Info!$T$11)+(N55*Info!$T$14*(O55-1)),0.01)+M55,
E55=""Final"",MROUND((((J5"&amp;"5*Z55+K55*(AA55-Z55))*(Y55*Info!$T$5))/X55)*(1+(X55-Info!$T$8)/100)+(N55*Info!$T$11)+(N55*Info!$T$14*(O55-1)),0.01)+M55,
OR(E55=2,E55=3),MROUND((((J55*Z55+K55*(AA55-Z55))*(Y55*Info!$T$2))/X55)*(1+(X55-Info!$T$8)/100)+(N55*Info!$T$11)+(N55*Info!$T$14*(O55-"&amp;"1)),0.01)+M55)"),0.0)</f>
        <v>0</v>
      </c>
      <c r="M55" s="43">
        <f t="shared" si="6"/>
        <v>0</v>
      </c>
      <c r="N55" s="43" t="str">
        <f>IFS(OR(COUNTIF(Info!$A$22:A81,C55)&gt;0,C55=""),"",
OR(C55="4x4 BLD",C55="5x5 BLD",C55="3x3 MBLD",C55="3x3 FMC",C55="4x4 / 5x5 BLD"),1,
AND(E55="Final",Q55="Yes",MAX(1,ROUNDUP(J55/P55))&gt;1),MAX(2,ROUNDUP(J55/P55)),
AND(E55="Final",Q55="No",MAX(1,ROUNDUP(J55/((P55*2)+2.625-Y55*1.5)))&gt;1),MAX(2,ROUNDUP(J55/((P55*2)+2.625-Y55*1.5))),
E55="Final",1,
Q55="Yes",MAX(2,ROUNDUP(J55/P55)),
TRUE,MAX(2,ROUNDUP(J55/((P55*2)+2.625-Y55*1.5))))</f>
        <v/>
      </c>
      <c r="O55" s="43" t="str">
        <f>IFS(OR(COUNTIF(Info!$A$22:A81,C55)&gt;0,C55=""),"",
OR("3x3 MBLD"=C55,"3x3 FMC"=C55)=TRUE,"",
D55=$E$4,$G$6,D55=$K$4,$M$6,D55=$Q$4,$S$6,D55=$W$4,$Y$6,
TRUE,$S$2)</f>
        <v/>
      </c>
      <c r="P55" s="43" t="str">
        <f>IFS(OR(COUNTIF(Info!$A$22:A81,C55)&gt;0,C55=""),"",
OR("3x3 MBLD"=C55,"3x3 FMC"=C55)=TRUE,"",
D55=$E$4,$E$6,D55=$K$4,$K$6,D55=$Q$4,$Q$6,D55=$W$4,$W$6,
TRUE,$Q$2)</f>
        <v/>
      </c>
      <c r="Q55" s="44" t="str">
        <f>IFS(OR(COUNTIF(Info!$A$22:A81,C55)&gt;0,C55=""),"",
OR("3x3 MBLD"=C55,"3x3 FMC"=C55)=TRUE,"",
D55=$E$4,$I$6,D55=$K$4,$O$6,D55=$Q$4,$U$6,D55=$W$4,$AA$6,
TRUE,$U$2)</f>
        <v/>
      </c>
      <c r="R55" s="45" t="str">
        <f>IFERROR(__xludf.DUMMYFUNCTION("IF(C55="""","""",IFERROR(FILTER(Info!$B$22:B81,Info!$A$22:A81=C55)+M55,""?""))"),"")</f>
        <v/>
      </c>
      <c r="S55" s="46" t="str">
        <f>IFS(OR(COUNTIF(Info!$A$22:A81,C55)&gt;0,C55=""),"",
AND(H55="",I55=""),J55,
TRUE,"?")</f>
        <v/>
      </c>
      <c r="T55" s="45" t="str">
        <f>IFS(OR(COUNTIF(Info!$A$22:A81,C55)&gt;0,C55=""),"",
AND(L55&lt;&gt;0,OR(R55="?",R55="")),"Fyll i R-kolumnen",
OR(C55="3x3 FMC",C55="3x3 MBLD"),R55,
AND(L55&lt;&gt;0,OR(S55="?",S55="")),"Fyll i S-kolumnen",
OR(COUNTIF(Info!$A$22:A81,C55)&gt;0,C55=""),"",
TRUE,Y55*R55/L55)</f>
        <v/>
      </c>
      <c r="U55" s="45"/>
      <c r="V55" s="47" t="str">
        <f>IFS(OR(COUNTIF(Info!$A$22:A81,C55)&gt;0,C55=""),"",
OR("3x3 MBLD"=C55,"3x3 FMC"=C55)=TRUE,"",
TRUE,MROUND((J55/N55),0.01))</f>
        <v/>
      </c>
      <c r="W55" s="48" t="str">
        <f>IFS(OR(COUNTIF(Info!$A$22:A81,C55)&gt;0,C55=""),"",
TRUE,L55/N55)</f>
        <v/>
      </c>
      <c r="X55" s="49" t="str">
        <f>IFS(OR(COUNTIF(Info!$A$22:A81,C55)&gt;0,C55=""),"",
OR("3x3 MBLD"=C55,"3x3 FMC"=C55)=TRUE,"",
OR(C55="4x4 BLD",C55="5x5 BLD",C55="4x4 / 5x5 BLD",AND(C55="3x3 BLD",H55&lt;&gt;""))=TRUE,MIN(V55,P55),
TRUE,MIN(P55,V55,MROUND(((V55*2/3)+((Y55-1.625)/2)),0.01)))</f>
        <v/>
      </c>
      <c r="Y55" s="48" t="str">
        <f>IFERROR(__xludf.DUMMYFUNCTION("IFS(OR(COUNTIF(Info!$A$22:A81,C55)&gt;0,C55=""""),"""",
FILTER(Info!$F$2:F81, Info!$A$2:A81 = C55) = ""Yes"",H55/AA55,
""3x3 FMC""=C55,Info!$B$9,""3x3 MBLD""=C55,Info!$B$18,
AND(E55=1,I55="""",H55="""",Q55=""No"",G55&gt;SUMIF(Info!$A$2:A81,C55,Info!$B$2:B81)*1."&amp;"5),
MIN(SUMIF(Info!$A$2:A81,C55,Info!$B$2:B81)*1.1,SUMIF(Info!$A$2:A81,C55,Info!$B$2:B81)*(1.15-(0.15*(SUMIF(Info!$A$2:A81,C55,Info!$B$2:B81)*1.5)/G55))),
AND(E55=1,I55="""",H55="""",Q55=""Yes"",G55&gt;SUMIF(Info!$A$2:A81,C55,Info!$C$2:C81)*1.5),
MIN(SUMIF(I"&amp;"nfo!$A$2:A81,C55,Info!$C$2:C81)*1.1,SUMIF(Info!$A$2:A81,C55,Info!$C$2:C81)*(1.15-(0.15*(SUMIF(Info!$A$2:A81,C55,Info!$C$2:C81)*1.5)/G55))),
Q55=""No"",SUMIF(Info!$A$2:A81,C55,Info!$B$2:B81),
Q55=""Yes"",SUMIF(Info!$A$2:A81,C55,Info!$C$2:C81))"),"")</f>
        <v/>
      </c>
      <c r="Z55" s="47" t="str">
        <f>IFS(OR(COUNTIF(Info!$A$22:A81,C55)&gt;0,C55=""),"",
AND(OR("3x3 FMC"=C55,"3x3 MBLD"=C55),I55&lt;&gt;""),1,
AND(OR(H55&lt;&gt;"",I55&lt;&gt;""),F55="Avg of 5"),2,
F55="Avg of 5",AA55,
AND(OR(H55&lt;&gt;"",I55&lt;&gt;""),F55="Mean of 3",C55="6x6 / 7x7"),2,
AND(OR(H55&lt;&gt;"",I55&lt;&gt;""),F55="Mean of 3"),1,
F55="Mean of 3",AA55,
AND(OR(H55&lt;&gt;"",I55&lt;&gt;""),F55="Best of 3",C55="4x4 / 5x5 BLD"),2,
AND(OR(H55&lt;&gt;"",I55&lt;&gt;""),F55="Best of 3"),1,
F55="Best of 2",AA55,
F55="Best of 1",AA55)</f>
        <v/>
      </c>
      <c r="AA55" s="47" t="str">
        <f>IFS(OR(COUNTIF(Info!$A$22:A81,C55)&gt;0,C55=""),"",
AND(OR("3x3 MBLD"=C55,"3x3 FMC"=C55),F55="Best of 1"=TRUE),1,
AND(OR("3x3 MBLD"=C55,"3x3 FMC"=C55),F55="Best of 2"=TRUE),2,
AND(OR("3x3 MBLD"=C55,"3x3 FMC"=C55),OR(F55="Best of 3",F55="Mean of 3")=TRUE),3,
AND(F55="Mean of 3",C55="6x6 / 7x7"),6,
AND(F55="Best of 3",C55="4x4 / 5x5 BLD"),6,
F55="Avg of 5",5,F55="Mean of 3",3,F55="Best of 3",3,F55="Best of 2",2,F55="Best of 1",1)</f>
        <v/>
      </c>
      <c r="AB55" s="50"/>
    </row>
    <row r="56" ht="15.75" customHeight="1">
      <c r="A56" s="35">
        <f>IFERROR(__xludf.DUMMYFUNCTION("IFS(indirect(""A""&amp;row()-1)=""Start"",TIME(indirect(""A""&amp;row()-2),indirect(""B""&amp;row()-2),0),
$O$2=""No"",TIME(0,($A$6*60+$B$6)+CEILING(SUM($L$7:indirect(""L""&amp;row()-1)),5),0),
D56=$E$2,TIME(0,($A$6*60+$B$6)+CEILING(SUM(IFERROR(FILTER($L$7:indirect(""L"""&amp;"&amp;row()-1),REGEXMATCH($D$7:indirect(""D""&amp;row()-1),$E$2)),0)),5),0),
TRUE,""=time(hh;mm;ss)"")"),0.3645833333333335)</f>
        <v>0.3645833333</v>
      </c>
      <c r="B56" s="36">
        <f>IFERROR(__xludf.DUMMYFUNCTION("IFS($O$2=""No"",TIME(0,($A$6*60+$B$6)+CEILING(SUM($L$7:indirect(""L""&amp;row())),5),0),
D56=$E$2,TIME(0,($A$6*60+$B$6)+CEILING(SUM(FILTER($L$7:indirect(""L""&amp;row()),REGEXMATCH($D$7:indirect(""D""&amp;row()),$E$2))),5),0),
A56=""=time(hh;mm;ss)"",CONCATENATE(""Sk"&amp;"riv tid i A""&amp;row()),
AND(A56&lt;&gt;"""",A56&lt;&gt;""=time(hh;mm;ss)""),A56+TIME(0,CEILING(indirect(""L""&amp;row()),5),0))"),0.3645833333333335)</f>
        <v>0.3645833333</v>
      </c>
      <c r="C56" s="37"/>
      <c r="D56" s="38" t="str">
        <f t="shared" si="5"/>
        <v>Stora salen</v>
      </c>
      <c r="E56" s="38" t="str">
        <f>IFERROR(__xludf.DUMMYFUNCTION("IFS(COUNTIF(Info!$A$22:A82,C56)&gt;0,"""",
AND(OR(""3x3 FMC""=C56,""3x3 MBLD""=C56),COUNTIF($C$7:indirect(""C""&amp;row()),indirect(""C""&amp;row()))&gt;=13),""E - Error"",
AND(OR(""3x3 FMC""=C56,""3x3 MBLD""=C56),COUNTIF($C$7:indirect(""C""&amp;row()),indirect(""C""&amp;row()"&amp;"))=12),""Final - A3"",
AND(OR(""3x3 FMC""=C56,""3x3 MBLD""=C56),COUNTIF($C$7:indirect(""C""&amp;row()),indirect(""C""&amp;row()))=11),""Final - A2"",
AND(OR(""3x3 FMC""=C56,""3x3 MBLD""=C56),COUNTIF($C$7:indirect(""C""&amp;row()),indirect(""C""&amp;row()))=10),""Final - "&amp;"A1"",
AND(OR(""3x3 FMC""=C56,""3x3 MBLD""=C56),COUNTIF($C$7:indirect(""C""&amp;row()),indirect(""C""&amp;row()))=9,
COUNTIF($C$7:$C$102,indirect(""C""&amp;row()))&gt;9),""R3 - A3"",
AND(OR(""3x3 FMC""=C56,""3x3 MBLD""=C56),COUNTIF($C$7:indirect(""C""&amp;row()),indirect(""C"&amp;"""&amp;row()))=9,
COUNTIF($C$7:$C$102,indirect(""C""&amp;row()))&lt;=9),""Final - A3"",
AND(OR(""3x3 FMC""=C56,""3x3 MBLD""=C56),COUNTIF($C$7:indirect(""C""&amp;row()),indirect(""C""&amp;row()))=8,
COUNTIF($C$7:$C$102,indirect(""C""&amp;row()))&gt;9),""R3 - A2"",
AND(OR(""3x3 FMC"&amp;"""=C56,""3x3 MBLD""=C56),COUNTIF($C$7:indirect(""C""&amp;row()),indirect(""C""&amp;row()))=8,
COUNTIF($C$7:$C$102,indirect(""C""&amp;row()))&lt;=9),""Final - A2"",
AND(OR(""3x3 FMC""=C56,""3x3 MBLD""=C56),COUNTIF($C$7:indirect(""C""&amp;row()),indirect(""C""&amp;row()))=7,
COUN"&amp;"TIF($C$7:$C$102,indirect(""C""&amp;row()))&gt;9),""R3 - A1"",
AND(OR(""3x3 FMC""=C56,""3x3 MBLD""=C56),COUNTIF($C$7:indirect(""C""&amp;row()),indirect(""C""&amp;row()))=7,
COUNTIF($C$7:$C$102,indirect(""C""&amp;row()))&lt;=9),""Final - A1"",
AND(OR(""3x3 FMC""=C56,""3x3 MBLD"""&amp;"=C56),COUNTIF($C$7:indirect(""C""&amp;row()),indirect(""C""&amp;row()))=6,
COUNTIF($C$7:$C$102,indirect(""C""&amp;row()))&gt;6),""R2 - A3"",
AND(OR(""3x3 FMC""=C56,""3x3 MBLD""=C56),COUNTIF($C$7:indirect(""C""&amp;row()),indirect(""C""&amp;row()))=6,
COUNTIF($C$7:$C$102,indirec"&amp;"t(""C""&amp;row()))&lt;=6),""Final - A3"",
AND(OR(""3x3 FMC""=C56,""3x3 MBLD""=C56),COUNTIF($C$7:indirect(""C""&amp;row()),indirect(""C""&amp;row()))=5,
COUNTIF($C$7:$C$102,indirect(""C""&amp;row()))&gt;6),""R2 - A2"",
AND(OR(""3x3 FMC""=C56,""3x3 MBLD""=C56),COUNTIF($C$7:indi"&amp;"rect(""C""&amp;row()),indirect(""C""&amp;row()))=5,
COUNTIF($C$7:$C$102,indirect(""C""&amp;row()))&lt;=6),""Final - A2"",
AND(OR(""3x3 FMC""=C56,""3x3 MBLD""=C56),COUNTIF($C$7:indirect(""C""&amp;row()),indirect(""C""&amp;row()))=4,
COUNTIF($C$7:$C$102,indirect(""C""&amp;row()))&gt;6),"&amp;"""R2 - A1"",
AND(OR(""3x3 FMC""=C56,""3x3 MBLD""=C56),COUNTIF($C$7:indirect(""C""&amp;row()),indirect(""C""&amp;row()))=4,
COUNTIF($C$7:$C$102,indirect(""C""&amp;row()))&lt;=6),""Final - A1"",
AND(OR(""3x3 FMC""=C56,""3x3 MBLD""=C56),COUNTIF($C$7:indirect(""C""&amp;row()),i"&amp;"ndirect(""C""&amp;row()))=3),""R1 - A3"",
AND(OR(""3x3 FMC""=C56,""3x3 MBLD""=C56),COUNTIF($C$7:indirect(""C""&amp;row()),indirect(""C""&amp;row()))=2),""R1 - A2"",
AND(OR(""3x3 FMC""=C56,""3x3 MBLD""=C56),COUNTIF($C$7:indirect(""C""&amp;row()),indirect(""C""&amp;row()))=1),"&amp;"""R1 -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82, Info!$A$2:A82 = C56),ROUNDUP((FILTER(Info!$H$2:H82,Info!$A$2:A82=C56)/FILTER(Info!$H$2:H82,Info!$A$2:A82=$K$2))*$I$2)&gt;99),3,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82, Info!$A$2:A82 = C56),ROUNDUP((FILTER(Info!$H$2:H82,Info!$A$2:A82=C56)/FILTER(Info!$H$2:H82,Info!$A$2:A82=$K$2))*$I$2)&gt;15),2,
AND(COUNTIF($C$7:indirect(""C""&amp;row()),indirect(""C""&amp;row()))=2,COUNTIF($C$7:$C$102,indirect(""C""&amp;row()))=COUNTIF($"&amp;"C$7:indirect(""C""&amp;row()),indirect(""C""&amp;row()))),""Final"",
COUNTIF($C$7:indirect(""C""&amp;row()),indirect(""C""&amp;row()))=1,1,
COUNTIF($C$7:indirect(""C""&amp;row()),indirect(""C""&amp;row()))=0,"""")"),"")</f>
        <v/>
      </c>
      <c r="F56" s="39" t="str">
        <f>IFERROR(__xludf.DUMMYFUNCTION("IFS(C56="""","""",
AND(C56=""3x3 FMC"",MOD(COUNTIF($C$7:indirect(""C""&amp;row()),indirect(""C""&amp;row())),3)=0),""Mean of 3"",
AND(C56=""3x3 MBLD"",MOD(COUNTIF($C$7:indirect(""C""&amp;row()),indirect(""C""&amp;row())),3)=0),""Best of 3"",
AND(C56=""3x3 FMC"",MOD(COUNT"&amp;"IF($C$7:indirect(""C""&amp;row()),indirect(""C""&amp;row())),3)=2,
COUNTIF($C$7:$C$102,indirect(""C""&amp;row()))&lt;=COUNTIF($C$7:indirect(""C""&amp;row()),indirect(""C""&amp;row()))),""Best of 2"",
AND(C56=""3x3 FMC"",MOD(COUNTIF($C$7:indirect(""C""&amp;row()),indirect(""C""&amp;row("&amp;"))),3)=2,
COUNTIF($C$7:$C$102,indirect(""C""&amp;row()))&gt;COUNTIF($C$7:indirect(""C""&amp;row()),indirect(""C""&amp;row()))),""Mean of 3"",
AND(C56=""3x3 MBLD"",MOD(COUNTIF($C$7:indirect(""C""&amp;row()),indirect(""C""&amp;row())),3)=2,
COUNTIF($C$7:$C$102,indirect(""C""&amp;row("&amp;")))&lt;=COUNTIF($C$7:indirect(""C""&amp;row()),indirect(""C""&amp;row()))),""Best of 2"",
AND(C56=""3x3 MBLD"",MOD(COUNTIF($C$7:indirect(""C""&amp;row()),indirect(""C""&amp;row())),3)=2,
COUNTIF($C$7:$C$102,indirect(""C""&amp;row()))&gt;COUNTIF($C$7:indirect(""C""&amp;row()),indirect("&amp;"""C""&amp;row()))),""Best of 3"",
AND(C56=""3x3 FMC"",MOD(COUNTIF($C$7:indirect(""C""&amp;row()),indirect(""C""&amp;row())),3)=1,
COUNTIF($C$7:$C$102,indirect(""C""&amp;row()))&lt;=COUNTIF($C$7:indirect(""C""&amp;row()),indirect(""C""&amp;row()))),""Best of 1"",
AND(C56=""3x3 FMC"""&amp;",MOD(COUNTIF($C$7:indirect(""C""&amp;row()),indirect(""C""&amp;row())),3)=1,
COUNTIF($C$7:$C$102,indirect(""C""&amp;row()))=COUNTIF($C$7:indirect(""C""&amp;row()),indirect(""C""&amp;row()))+1),""Best of 2"",
AND(C56=""3x3 FMC"",MOD(COUNTIF($C$7:indirect(""C""&amp;row()),indirect"&amp;"(""C""&amp;row())),3)=1,
COUNTIF($C$7:$C$102,indirect(""C""&amp;row()))&gt;COUNTIF($C$7:indirect(""C""&amp;row()),indirect(""C""&amp;row()))),""Mean of 3"",
AND(C56=""3x3 MBLD"",MOD(COUNTIF($C$7:indirect(""C""&amp;row()),indirect(""C""&amp;row())),3)=1,
COUNTIF($C$7:$C$102,indirect"&amp;"(""C""&amp;row()))&lt;=COUNTIF($C$7:indirect(""C""&amp;row()),indirect(""C""&amp;row()))),""Best of 1"",
AND(C56=""3x3 MBLD"",MOD(COUNTIF($C$7:indirect(""C""&amp;row()),indirect(""C""&amp;row())),3)=1,
COUNTIF($C$7:$C$102,indirect(""C""&amp;row()))=COUNTIF($C$7:indirect(""C""&amp;row()"&amp;"),indirect(""C""&amp;row()))+1),""Best of 2"",
AND(C56=""3x3 MBLD"",MOD(COUNTIF($C$7:indirect(""C""&amp;row()),indirect(""C""&amp;row())),3)=1,
COUNTIF($C$7:$C$102,indirect(""C""&amp;row()))&gt;COUNTIF($C$7:indirect(""C""&amp;row()),indirect(""C""&amp;row()))),""Best of 3"",
TRUE,("&amp;"IFERROR(FILTER(Info!$D$2:D82, Info!$A$2:A82 = C56), """")))"),"")</f>
        <v/>
      </c>
      <c r="G56" s="40" t="str">
        <f>IFERROR(__xludf.DUMMYFUNCTION("IFS(OR(COUNTIF(Info!$A$22:A82,C56)&gt;0,C56=""""),"""",
OR(""3x3 MBLD""=C56,""3x3 FMC""=C56),60,
AND(E56=1,FILTER(Info!$F$2:F82, Info!$A$2:A82 = C56) = ""No""),FILTER(Info!$P$2:P82, Info!$A$2:A82 = C56),
AND(E56=2,FILTER(Info!$F$2:F82, Info!$A$2:A82 = C56) ="&amp;" ""No""),FILTER(Info!$Q$2:Q82, Info!$A$2:A82 = C56),
AND(E56=3,FILTER(Info!$F$2:F82, Info!$A$2:A82 = C56) = ""No""),FILTER(Info!$R$2:R82, Info!$A$2:A82 = C56),
AND(E56=""Final"",FILTER(Info!$F$2:F82, Info!$A$2:A82 = C56) = ""No""),FILTER(Info!$S$2:S82, In"&amp;"fo!$A$2:A82 = C56),
FILTER(Info!$F$2:F82, Info!$A$2:A82 = C56) = ""Yes"","""")"),"")</f>
        <v/>
      </c>
      <c r="H56" s="40" t="str">
        <f>IFERROR(__xludf.DUMMYFUNCTION("IFS(OR(COUNTIF(Info!$A$22:A82,C56)&gt;0,C56=""""),"""",
OR(""3x3 MBLD""=C56,""3x3 FMC""=C56)=TRUE,"""",
FILTER(Info!$F$2:F82, Info!$A$2:A82 = C56) = ""Yes"",FILTER(Info!$O$2:O82, Info!$A$2:A82 = C56),
FILTER(Info!$F$2:F82, Info!$A$2:A82 = C56) = ""No"",IF(G5"&amp;"6="""",FILTER(Info!$O$2:O82, Info!$A$2:A82 = C56),""""))"),"")</f>
        <v/>
      </c>
      <c r="I56" s="40" t="str">
        <f>IFERROR(__xludf.DUMMYFUNCTION("IFS(OR(COUNTIF(Info!$A$22:A82,C56)&gt;0,C56="""",H56&lt;&gt;""""),"""",
AND(E56&lt;&gt;1,E56&lt;&gt;""R1 - A1"",E56&lt;&gt;""R1 - A2"",E56&lt;&gt;""R1 - A3""),"""",
FILTER(Info!$E$2:E82, Info!$A$2:A82 = C56) = ""Yes"",IF(H56="""",FILTER(Info!$L$2:L82, Info!$A$2:A82 = C56),""""),
FILTER(I"&amp;"nfo!$E$2:E82, Info!$A$2:A82 = C56) = ""No"","""")"),"")</f>
        <v/>
      </c>
      <c r="J56" s="40" t="str">
        <f>IFERROR(__xludf.DUMMYFUNCTION("IFS(OR(COUNTIF(Info!$A$22:A82,C56)&gt;0,C56="""",""3x3 MBLD""=C56,""3x3 FMC""=C56),"""",
AND(E56=1,FILTER(Info!$H$2:H82,Info!$A$2:A82 = C56)&lt;=FILTER(Info!$H$2:H82,Info!$A$2:A82=$K$2)),
ROUNDUP((FILTER(Info!$H$2:H82,Info!$A$2:A82 = C56)/FILTER(Info!$H$2:H82,I"&amp;"nfo!$A$2:A82=$K$2))*$I$2),
AND(E56=1,FILTER(Info!$H$2:H82,Info!$A$2:A82 = C56)&gt;FILTER(Info!$H$2:H82,Info!$A$2:A82=$K$2)),""K2 - Error"",
AND(E56=2,FILTER($J$7:indirect(""J""&amp;row()-1),$C$7:indirect(""C""&amp;row()-1)=C56)&lt;=7),""J - Error"",
E56=2,FLOOR(FILTER("&amp;"$J$7:indirect(""J""&amp;row()-1),$C$7:indirect(""C""&amp;row()-1)=C56)*Info!$T$32),
AND(E56=3,FILTER($J$7:indirect(""J""&amp;row()-1),$C$7:indirect(""C""&amp;row()-1)=C56)&lt;=15),""J - Error"",
E56=3,FLOOR(Info!$T$32*FLOOR(FILTER($J$7:indirect(""J""&amp;row()-1),$C$7:indirect("&amp;"""C""&amp;row()-1)=C56)*Info!$T$32)),
AND(E56=""Final"",COUNTIF($C$7:$C$102,C56)=2,FILTER($J$7:indirect(""J""&amp;row()-1),$C$7:indirect(""C""&amp;row()-1)=C56)&lt;=7),""J - Error"",
AND(E56=""Final"",COUNTIF($C$7:$C$102,C56)=2),
MIN(P56,FLOOR(FILTER($J$7:indirect(""J"""&amp;"&amp;row()-1),$C$7:indirect(""C""&amp;row()-1)=C56)*Info!$T$32)),
AND(E56=""Final"",COUNTIF($C$7:$C$102,C56)=3,FILTER($J$7:indirect(""J""&amp;row()-1),$C$7:indirect(""C""&amp;row()-1)=C56)&lt;=15),""J - Error"",
AND(E56=""Final"",COUNTIF($C$7:$C$102,C56)=3),
MIN(P56,FLOOR(I"&amp;"nfo!$T$32*FLOOR(FILTER($J$7:indirect(""J""&amp;row()-1),$C$7:indirect(""C""&amp;row()-1)=C56)*Info!$T$32))),
AND(E56=""Final"",COUNTIF($C$7:$C$102,C56)&gt;=4,FILTER($J$7:indirect(""J""&amp;row()-1),$C$7:indirect(""C""&amp;row()-1)=C56)&lt;=99),""J - Error"",
AND(E56=""Final"","&amp;"COUNTIF($C$7:$C$102,C56)&gt;=4),
MIN(P56,FLOOR(Info!$T$32*FLOOR(Info!$T$32*FLOOR(FILTER($J$7:indirect(""J""&amp;row()-1),$C$7:indirect(""C""&amp;row()-1)=C56)*Info!$T$32)))))"),"")</f>
        <v/>
      </c>
      <c r="K56" s="41" t="str">
        <f>IFERROR(__xludf.DUMMYFUNCTION("IFS(AND(indirect(""D""&amp;row()+2)&lt;&gt;$E$2,indirect(""D""&amp;row()+1)=""""),CONCATENATE(""Tom rad! Kopiera hela rad ""&amp;row()&amp;"" dit""),
AND(indirect(""D""&amp;row()-1)&lt;&gt;""Rum"",indirect(""D""&amp;row()-1)=""""),CONCATENATE(""Tom rad! Kopiera hela rad ""&amp;row()&amp;"" dit""),
"&amp;"C56="""","""",
COUNTIF(Info!$A$22:A82,$K$2)&gt;0,""Det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OR(AND(D56&lt;&gt;$E$2,D56&lt;&gt;$E$4,D56&lt;&gt;$K$4,D56&lt;&gt;$Q$4),D56="&amp;"""""),CONCATENATE(""Rum: ""&amp;D56&amp;"" finns ej, byt i D""&amp;row()),
AND(indirect(""D""&amp;row()-1)=""Rum"",C56=""""),CONCATENATE(""För att börja: skriv i cell C""&amp;row()),
AND(C56=""Paus"",M56&lt;=0),CONCATENATE(""Skriv pausens längd i M""&amp;row()),
OR(COUNTIF(Info!$A$"&amp;"22:A82,C56)&gt;0,C56=""""),"""",
AND(D56&lt;&gt;$E$2,$O$2=""Yes"",A56=""=time(hh;mm;ss)""),CONCATENATE(""Skriv starttid för ""&amp;C56&amp;"" i A""&amp;row()),
E56=""E - Error"",CONCATENATE(""För många ""&amp;C56&amp;"" rundor!""),
AND(C56&lt;&gt;""3x3 FMC"",C56&lt;&gt;""3x3 MBLD"",E56&lt;&gt;1,E56&lt;&gt;"&amp;"""Final"",IFERROR(FILTER($E$7:indirect(""E""&amp;row()-1),
$E$7:indirect(""E""&amp;row()-1)=E56-1,$C$7:indirect(""C""&amp;row()-1)=C56))=FALSE),CONCATENATE(""Kan ej vara R""&amp;E56&amp;"", saknar R""&amp;(E56-1)),
AND(indirect(""E""&amp;row()-1)&lt;&gt;""Omgång"",IFERROR(FILTER($E$7:indi"&amp;"rect(""E""&amp;row()-1),
$E$7:indirect(""E""&amp;row()-1)=E56,$C$7:indirect(""C""&amp;row()-1)=C56)=E56)=TRUE),CONCATENATE(""Runda ""&amp;E56&amp;"" i ""&amp;C56&amp;"" finns redan""),
AND(C56&lt;&gt;""3x3 BLD"",C56&lt;&gt;""4x4 BLD"",C56&lt;&gt;""5x5 BLD"",C56&lt;&gt;""4x4 / 5x5 BLD"",OR(E56=2,E56=3,E56="&amp;"""Final""),H56&lt;&gt;""""),CONCATENATE(E56&amp;""-rundor brukar ej ha c.t.l.""),
AND(OR(E56=2,E56=3,E56=""Final""),I56&lt;&gt;""""),CONCATENATE(E56&amp;""-rundor brukar ej ha cutoff""),
AND(OR(C56=""3x3 FMC"",C56=""3x3 MBLD""),OR(E56=1,E56=2,E56=3,E56=""Final"")),CONCATENAT"&amp;"E(C56&amp;""s omgång är Rx - Ax""),
AND(C56&lt;&gt;""3x3 MBLD"",C56&lt;&gt;""3x3 FMC"",FILTER(Info!$D$2:D82, Info!$A$2:A82 = C56)&lt;&gt;F56),CONCATENATE(C56&amp;"" måste ha formatet ""&amp;FILTER(Info!$D$2:D82, Info!$A$2:A82 = C56)),
AND(C56=""3x3 MBLD"",OR(F56=""Avg of 5"",F56=""Mea"&amp;"n of 3"")),CONCATENATE(""Ogiltigt format för ""&amp;C56),
AND(C56=""3x3 FMC"",OR(F56=""Avg of 5"",F56=""Best of 3"")),CONCATENATE(""Ogiltigt format för ""&amp;C56),
AND(OR(F56=""Best of 1"",F56=""Best of 2"",F56=""Best of 3""),I56&lt;&gt;""""),CONCATENATE(F56&amp;""-rundor"&amp;" får ej ha cutoff""),
AND(OR(C56=""3x3 FMC"",C56=""3x3 MBLD""),G56&lt;&gt;60),CONCATENATE(C56&amp;"" måste ha time limit: 60""),
AND(OR(C56=""3x3 FMC"",C56=""3x3 MBLD""),H56&lt;&gt;""""),CONCATENATE(C56&amp;"" kan inte ha c.t.l.""),
AND(G56&lt;&gt;"""",H56&lt;&gt;""""),""Välj time limit"&amp;" ELLER c.t.l"",
AND(C56=""6x6 / 7x7"",G56="""",H56=""""),""Sätt time limit (x / y) eller c.t.l (z)"",
AND(G56="""",H56=""""),""Sätt en time limit eller c.t.l"",
AND(OR(C56=""6x6 / 7x7"",C56=""4x4 / 5x5 BLD""),G56&lt;&gt;"""",REGEXMATCH(TO_TEXT(G56),"" / "")=FAL"&amp;"SE),CONCATENATE(""Time limit måste vara x / y""),
AND(H56&lt;&gt;"""",I56&lt;&gt;""""),CONCATENATE(C56&amp;"" brukar ej ha cutoff OCH c.t.l""),
AND(E56=1,H56="""",I56="""",OR(FILTER(Info!$E$2:E82, Info!$A$2:A82 = C56) = ""Yes"",FILTER(Info!$F$2:F82, Info!$A$2:A82 = C56) "&amp;"= ""Yes""),OR(F56=""Avg of 5"",F56=""Mean of 3"")),CONCATENATE(C56&amp;"" bör ha cutoff eller c.t.l""),
AND(C56=""6x6 / 7x7"",I56&lt;&gt;"""",REGEXMATCH(TO_TEXT(I56),"" / "")=FALSE),CONCATENATE(""Cutoff måste vara x / y""),
AND(H56&lt;&gt;"""",ISNUMBER(H56)=FALSE),""C.t."&amp;"l. måste vara positivt tal (x)"",
AND(C56&lt;&gt;""6x6 / 7x7"",I56&lt;&gt;"""",ISNUMBER(I56)=FALSE),""Cutoff måste vara positivt tal (x)"",
AND(H56&lt;&gt;"""",FILTER(Info!$E$2:E82, Info!$A$2:A82 = C56) = ""No"",FILTER(Info!$F$2:F82, Info!$A$2:A82 = C56) = ""No""),CONCATEN"&amp;"ATE(C56&amp;"" brukar inte ha c.t.l.""),
AND(I56&lt;&gt;"""",FILTER(Info!$E$2:E82, Info!$A$2:A82 = C56) = ""No"",FILTER(Info!$F$2:F82, Info!$A$2:A82 = C56) = ""No""),CONCATENATE(C56&amp;"" brukar inte ha cutoff""),
AND(H56="""",FILTER(Info!$F$2:F82, Info!$A$2:A82 = C56"&amp;") = ""Yes""),CONCATENATE(C56&amp;"" brukar ha c.t.l.""),
AND(C56&lt;&gt;""6x6 / 7x7"",C56&lt;&gt;""4x4 / 5x5 BLD"",G56&lt;&gt;"""",ISNUMBER(G56)=FALSE),""Time limit måste vara positivt tal (x)"",
J56=""J - Error"",CONCATENATE(""För få deltagare i R1 för ""&amp;COUNTIF($C$7:$C$102,"&amp;"indirect(""C""&amp;row()))&amp;"" rundor""),
J56=""K2 - Error"",CONCATENATE(C56&amp;"" är mer populär - byt i K2!""),
AND(C56&lt;&gt;""6x6 / 7x7"",C56&lt;&gt;""4x4 / 5x5 BLD"",G56&lt;&gt;"""",I56&lt;&gt;"""",G56&lt;=I56),""Time limit måste vara &gt; cutoff"",
AND(C56&lt;&gt;""6x6 / 7x7"",C56&lt;&gt;""4x4 / 5"&amp;"x5 BLD"",H56&lt;&gt;"""",I56&lt;&gt;"""",H56&lt;=I56),""C.t.l. måste vara &gt; cutoff"",
AND(C56&lt;&gt;""3x3 FMC"",C56&lt;&gt;""3x3 MBLD"",J56=""""),CONCATENATE(""Fyll i antal deltagare i J""&amp;row()),
AND(C56="""",OR(E56&lt;&gt;"""",F56&lt;&gt;"""",G56&lt;&gt;"""",H56&lt;&gt;"""",I56&lt;&gt;"""",J56&lt;&gt;"""")),""Skri"&amp;"v ALLTID gren / aktivitet först"",
AND(I56="""",H56="""",J56&lt;&gt;""""),J56,
OR(""3x3 FMC""=C56,""3x3 MBLD""=C56),J56,
AND(I56&lt;&gt;"""",""6x6 / 7x7""=C56),
IFS(ArrayFormula(SUM(IFERROR(SPLIT(I56,"" / ""))))&lt;(Info!$J$6+Info!$J$7)*2/3,CONCATENATE(""Höj helst cutof"&amp;"fs i ""&amp;C56),
ArrayFormula(SUM(IFERROR(SPLIT(I56,"" / ""))))&lt;=(Info!$J$6+Info!$J$7),ROUNDUP(J56*Info!$J$22),
ArrayFormula(SUM(IFERROR(SPLIT(I56,"" / ""))))&lt;=Info!$J$6+Info!$J$7,ROUNDUP(J56*Info!$K$22),
ArrayFormula(SUM(IFERROR(SPLIT(I56,"" / ""))))&lt;=Info!"&amp;"$K$6+Info!$K$7,ROUNDUP(J56*Info!L$22),
ArrayFormula(SUM(IFERROR(SPLIT(I56,"" / ""))))&lt;=Info!$L$6+Info!$L$7,ROUNDUP(J56*Info!$M$22),
ArrayFormula(SUM(IFERROR(SPLIT(I56,"" / ""))))&lt;=Info!$M$6+Info!$M$7,ROUNDUP(J56*Info!$N$22),
ArrayFormula(SUM(IFERROR(SPLIT"&amp;"(I56,"" / ""))))&lt;=(Info!$N$6+Info!$N$7)*3/2,ROUNDUP(J56*Info!$J$26),
ArrayFormula(SUM(IFERROR(SPLIT(I56,"" / ""))))&gt;(Info!$N$6+Info!$N$7)*3/2,CONCATENATE(""Sänk helst cutoffs i ""&amp;C56)),
AND(I56&lt;&gt;"""",FILTER(Info!$E$2:E82, Info!$A$2:A82 = C56) = ""Yes""),"&amp;"
IFS(I56&lt;FILTER(Info!$J$2:J82, Info!$A$2:A82 = C56)*2/3,CONCATENATE(""Höj helst cutoff i ""&amp;C56),
I56&lt;=FILTER(Info!$J$2:J82, Info!$A$2:A82 = C56),ROUNDUP(J56*Info!$J$22),
I56&lt;=FILTER(Info!$K$2:K82, Info!$A$2:A82 = C56),ROUNDUP(J56*Info!$K$22),
I56&lt;=FILTER"&amp;"(Info!$L$2:L82, Info!$A$2:A82 = C56),ROUNDUP(J56*Info!L$22),
I56&lt;=FILTER(Info!$M$2:M82, Info!$A$2:A82 = C56),ROUNDUP(J56*Info!$M$22),
I56&lt;=FILTER(Info!$N$2:N82, Info!$A$2:A82 = C56),ROUNDUP(J56*Info!$N$22),
I56&lt;=FILTER(Info!$N$2:N82, Info!$A$2:A82 = C56)*"&amp;"3/2,ROUNDUP(J56*Info!$J$26),
I56&gt;FILTER(Info!$N$2:N82, Info!$A$2:A82 = C56)*3/2,CONCATENATE(""Sänk helst cutoff i ""&amp;C56)),
AND(H56&lt;&gt;"""",""6x6 / 7x7""=C56),
IFS(H56/3&lt;=(Info!$J$6+Info!$J$7)*2/3,""Höj helst cumulative time limit"",
H56/3&lt;=Info!$J$6+Info!$"&amp;"J$7,ROUNDUP(J56*Info!$J$24),
H56/3&lt;=Info!$K$6+Info!$K$7,ROUNDUP(J56*Info!$K$24),
H56/3&lt;=Info!$L$6+Info!$L$7,ROUNDUP(J56*Info!L$24),
H56/3&lt;=Info!$M$6+Info!$M$7,ROUNDUP(J56*Info!$M$24),
H56/3&lt;=Info!$N$6+Info!$N$7,ROUNDUP(J56*Info!$N$24),
H56/3&lt;=(Info!$N$6+I"&amp;"nfo!$N$7)*3/2,ROUNDUP(J56*Info!$L$26),
H56/3&gt;(Info!$J$6+Info!$J$7)*3/2,""Sänk helst cumulative time limit""),
AND(H56&lt;&gt;"""",FILTER(Info!$F$2:F82, Info!$A$2:A82 = C56) = ""Yes""),
IFS(H56&lt;=FILTER(Info!$J$2:J82, Info!$A$2:A82 = C56)*2/3,CONCATENATE(""Höj he"&amp;"lst c.t.l. i ""&amp;C56),
H56&lt;=FILTER(Info!$J$2:J82, Info!$A$2:A82 = C56),ROUNDUP(J56*Info!$J$24),
H56&lt;=FILTER(Info!$K$2:K82, Info!$A$2:A82 = C56),ROUNDUP(J56*Info!$K$24),
H56&lt;=FILTER(Info!$L$2:L82, Info!$A$2:A82 = C56),ROUNDUP(J56*Info!L$24),
H56&lt;=FILTER(Inf"&amp;"o!$M$2:M82, Info!$A$2:A82 = C56),ROUNDUP(J56*Info!$M$24),
H56&lt;=FILTER(Info!$N$2:N82, Info!$A$2:A82 = C56),ROUNDUP(J56*Info!$N$24),
H56&lt;=FILTER(Info!$N$2:N82, Info!$A$2:A82 = C56)*3/2,ROUNDUP(J56*Info!$L$26),
H56&gt;FILTER(Info!$N$2:N82, Info!$A$2:A82 = C56)*"&amp;"3/2,CONCATENATE(""Sänk helst c.t.l. i ""&amp;C56)),
AND(H56&lt;&gt;"""",FILTER(Info!$F$2:F82, Info!$A$2:A82 = C56) = ""No""),
IFS(H56/AA56&lt;=FILTER(Info!$J$2:J82, Info!$A$2:A82 = C56)*2/3,CONCATENATE(""Höj helst c.t.l. i ""&amp;C56),
H56/AA56&lt;=FILTER(Info!$J$2:J82, Info"&amp;"!$A$2:A82 = C56),ROUNDUP(J56*Info!$J$24),
H56/AA56&lt;=FILTER(Info!$K$2:K82, Info!$A$2:A82 = C56),ROUNDUP(J56*Info!$K$24),
H56/AA56&lt;=FILTER(Info!$L$2:L82, Info!$A$2:A82 = C56),ROUNDUP(J56*Info!L$24),
H56/AA56&lt;=FILTER(Info!$M$2:M82, Info!$A$2:A82 = C56),ROUND"&amp;"UP(J56*Info!$M$24),
H56/AA56&lt;=FILTER(Info!$N$2:N82, Info!$A$2:A82 = C56),ROUNDUP(J56*Info!$N$24),
H56/AA56&lt;=FILTER(Info!$N$2:N82, Info!$A$2:A82 = C56)*3/2,ROUNDUP(J56*Info!$L$26),
H56/AA56&gt;FILTER(Info!$N$2:N82, Info!$A$2:A82 = C56)*3/2,CONCATENATE(""Sänk "&amp;"helst c.t.l. i ""&amp;C56)),
AND(I56="""",H56&lt;&gt;"""",J56&lt;&gt;""""),ROUNDUP(J56*Info!$T$29),
AND(I56&lt;&gt;"""",H56="""",J56&lt;&gt;""""),ROUNDUP(J56*Info!$T$26))"),"")</f>
        <v/>
      </c>
      <c r="L56" s="42">
        <f>IFERROR(__xludf.DUMMYFUNCTION("IFS(C56="""",0,
C56=""3x3 FMC"",Info!$B$9*N56+M56, C56=""3x3 MBLD"",Info!$B$18*N56+M56,
COUNTIF(Info!$A$22:A82,C56)&gt;0,FILTER(Info!$B$22:B82,Info!$A$22:A82=C56)+M56,
AND(C56&lt;&gt;"""",E56=""""),CONCATENATE(""Fyll i E""&amp;row()),
AND(C56&lt;&gt;"""",E56&lt;&gt;"""",E56&lt;&gt;1,E5"&amp;"6&lt;&gt;2,E56&lt;&gt;3,E56&lt;&gt;""Final""),CONCATENATE(""Fel format på E""&amp;row()),
K56=CONCATENATE(""Runda ""&amp;E56&amp;"" i ""&amp;C56&amp;"" finns redan""),CONCATENATE(""Fel i E""&amp;row()),
AND(C56&lt;&gt;"""",F56=""""),CONCATENATE(""Fyll i F""&amp;row()),
K56=CONCATENATE(C56&amp;"" måste ha forma"&amp;"tet ""&amp;FILTER(Info!$D$2:D82, Info!$A$2:A82 = C56)),CONCATENATE(""Fel format på F""&amp;row()),
AND(C56&lt;&gt;"""",D56=1,H56="""",FILTER(Info!$F$2:F82, Info!$A$2:A82 = C56) = ""Yes""),CONCATENATE(""Fyll i H""&amp;row()),
AND(C56&lt;&gt;"""",D56=1,I56="""",FILTER(Info!$E$2:E8"&amp;"2, Info!$A$2:A82 = C56) = ""Yes""),CONCATENATE(""Fyll i I""&amp;row()),
AND(C56&lt;&gt;"""",J56=""""),CONCATENATE(""Fyll i J""&amp;row()),
AND(C56&lt;&gt;"""",K56="""",OR(H56&lt;&gt;"""",I56&lt;&gt;"""")),CONCATENATE(""Fyll i K""&amp;row()),
AND(C56&lt;&gt;"""",K56=""""),CONCATENATE(""Skriv samma"&amp;" i K""&amp;row()&amp;"" som i J""&amp;row()),
AND(OR(C56=""4x4 BLD"",C56=""5x5 BLD"",C56=""4x4 / 5x5 BLD"")=TRUE,V56&lt;=P56),
MROUND(H56*(Info!$T$20-((Info!$T$20-1)/2)*(1-V56/P56))*(1+((J56/K56)-1)*(1-Info!$J$24))*N56+(Info!$T$11/2)+(N56*Info!$T$11)+(N56*Info!$T$14*(O5"&amp;"6-1)),0.01)+M56,
AND(OR(C56=""4x4 BLD"",C56=""5x5 BLD"",C56=""4x4 / 5x5 BLD"")=TRUE,V56&gt;P56),
MROUND((((J56*Z56+K56*(AA56-Z56))*(H56*Info!$T$20/AA56))/X56)*(1+((J56/K56)-1)*(1-Info!$J$24))*(1+(X56-Info!$T$8)/100)+(Info!$T$11/2)+(N56*Info!$T$11)+(N56*Info!"&amp;"$T$14*(O56-1)),0.01)+M56,
AND(C56=""3x3 BLD"",V56&lt;=P56),
MROUND(H56*(Info!$T$23-((Info!$T$23-1)/2)*(1-V56/P56))*(1+((J56/K56)-1)*(1-Info!$J$24))*N56+(Info!$T$11/2)+(N56*Info!$T$11)+(N56*Info!$T$14*(O56-1)),0.01)+M56,
AND(C56=""3x3 BLD"",V56&gt;P56),
MROUND(("&amp;"((J56*Z56+K56*(AA56-Z56))*(H56*Info!$T$23/AA56))/X56)*(1+((J56/K56)-1)*(1-Info!$J$24))*(1+(X56-Info!$T$8)/100)+(Info!$T$11/2)+(N56*Info!$T$11)+(N56*Info!$T$14*(O56-1)),0.01)+M56,
E56=1,MROUND((((J56*Z56+K56*(AA56-Z56))*Y56)/X56)*(1+(X56-Info!$T$8)/100)+(N"&amp;"56*Info!$T$11)+(N56*Info!$T$14*(O56-1)),0.01)+M56,
AND(E56=""Final"",N56=1,FILTER(Info!$G$2:$G$20,Info!$A$2:$A$20=C56)=""Mycket svår""),
MROUND((((J56*Z56+K56*(AA56-Z56))*(Y56*Info!$T$38))/X56)*(1+(X56-Info!$T$8)/100)+(N56*Info!$T$11)+(N56*Info!$T$14*(O56"&amp;"-1)),0.01)+M56,
AND(E56=""Final"",N56=1,FILTER(Info!$G$2:$G$20,Info!$A$2:$A$20=C56)=""Svår""),
MROUND((((J56*Z56+K56*(AA56-Z56))*(Y56*Info!$T$35))/X56)*(1+(X56-Info!$T$8)/100)+(N56*Info!$T$11)+(N56*Info!$T$14*(O56-1)),0.01)+M56,
E56=""Final"",MROUND((((J5"&amp;"6*Z56+K56*(AA56-Z56))*(Y56*Info!$T$5))/X56)*(1+(X56-Info!$T$8)/100)+(N56*Info!$T$11)+(N56*Info!$T$14*(O56-1)),0.01)+M56,
OR(E56=2,E56=3),MROUND((((J56*Z56+K56*(AA56-Z56))*(Y56*Info!$T$2))/X56)*(1+(X56-Info!$T$8)/100)+(N56*Info!$T$11)+(N56*Info!$T$14*(O56-"&amp;"1)),0.01)+M56)"),0.0)</f>
        <v>0</v>
      </c>
      <c r="M56" s="43">
        <f t="shared" si="6"/>
        <v>0</v>
      </c>
      <c r="N56" s="43" t="str">
        <f>IFS(OR(COUNTIF(Info!$A$22:A82,C56)&gt;0,C56=""),"",
OR(C56="4x4 BLD",C56="5x5 BLD",C56="3x3 MBLD",C56="3x3 FMC",C56="4x4 / 5x5 BLD"),1,
AND(E56="Final",Q56="Yes",MAX(1,ROUNDUP(J56/P56))&gt;1),MAX(2,ROUNDUP(J56/P56)),
AND(E56="Final",Q56="No",MAX(1,ROUNDUP(J56/((P56*2)+2.625-Y56*1.5)))&gt;1),MAX(2,ROUNDUP(J56/((P56*2)+2.625-Y56*1.5))),
E56="Final",1,
Q56="Yes",MAX(2,ROUNDUP(J56/P56)),
TRUE,MAX(2,ROUNDUP(J56/((P56*2)+2.625-Y56*1.5))))</f>
        <v/>
      </c>
      <c r="O56" s="43" t="str">
        <f>IFS(OR(COUNTIF(Info!$A$22:A82,C56)&gt;0,C56=""),"",
OR("3x3 MBLD"=C56,"3x3 FMC"=C56)=TRUE,"",
D56=$E$4,$G$6,D56=$K$4,$M$6,D56=$Q$4,$S$6,D56=$W$4,$Y$6,
TRUE,$S$2)</f>
        <v/>
      </c>
      <c r="P56" s="43" t="str">
        <f>IFS(OR(COUNTIF(Info!$A$22:A82,C56)&gt;0,C56=""),"",
OR("3x3 MBLD"=C56,"3x3 FMC"=C56)=TRUE,"",
D56=$E$4,$E$6,D56=$K$4,$K$6,D56=$Q$4,$Q$6,D56=$W$4,$W$6,
TRUE,$Q$2)</f>
        <v/>
      </c>
      <c r="Q56" s="44" t="str">
        <f>IFS(OR(COUNTIF(Info!$A$22:A82,C56)&gt;0,C56=""),"",
OR("3x3 MBLD"=C56,"3x3 FMC"=C56)=TRUE,"",
D56=$E$4,$I$6,D56=$K$4,$O$6,D56=$Q$4,$U$6,D56=$W$4,$AA$6,
TRUE,$U$2)</f>
        <v/>
      </c>
      <c r="R56" s="45" t="str">
        <f>IFERROR(__xludf.DUMMYFUNCTION("IF(C56="""","""",IFERROR(FILTER(Info!$B$22:B82,Info!$A$22:A82=C56)+M56,""?""))"),"")</f>
        <v/>
      </c>
      <c r="S56" s="46" t="str">
        <f>IFS(OR(COUNTIF(Info!$A$22:A82,C56)&gt;0,C56=""),"",
AND(H56="",I56=""),J56,
TRUE,"?")</f>
        <v/>
      </c>
      <c r="T56" s="45" t="str">
        <f>IFS(OR(COUNTIF(Info!$A$22:A82,C56)&gt;0,C56=""),"",
AND(L56&lt;&gt;0,OR(R56="?",R56="")),"Fyll i R-kolumnen",
OR(C56="3x3 FMC",C56="3x3 MBLD"),R56,
AND(L56&lt;&gt;0,OR(S56="?",S56="")),"Fyll i S-kolumnen",
OR(COUNTIF(Info!$A$22:A82,C56)&gt;0,C56=""),"",
TRUE,Y56*R56/L56)</f>
        <v/>
      </c>
      <c r="U56" s="45"/>
      <c r="V56" s="47" t="str">
        <f>IFS(OR(COUNTIF(Info!$A$22:A82,C56)&gt;0,C56=""),"",
OR("3x3 MBLD"=C56,"3x3 FMC"=C56)=TRUE,"",
TRUE,MROUND((J56/N56),0.01))</f>
        <v/>
      </c>
      <c r="W56" s="48" t="str">
        <f>IFS(OR(COUNTIF(Info!$A$22:A82,C56)&gt;0,C56=""),"",
TRUE,L56/N56)</f>
        <v/>
      </c>
      <c r="X56" s="49" t="str">
        <f>IFS(OR(COUNTIF(Info!$A$22:A82,C56)&gt;0,C56=""),"",
OR("3x3 MBLD"=C56,"3x3 FMC"=C56)=TRUE,"",
OR(C56="4x4 BLD",C56="5x5 BLD",C56="4x4 / 5x5 BLD",AND(C56="3x3 BLD",H56&lt;&gt;""))=TRUE,MIN(V56,P56),
TRUE,MIN(P56,V56,MROUND(((V56*2/3)+((Y56-1.625)/2)),0.01)))</f>
        <v/>
      </c>
      <c r="Y56" s="48" t="str">
        <f>IFERROR(__xludf.DUMMYFUNCTION("IFS(OR(COUNTIF(Info!$A$22:A82,C56)&gt;0,C56=""""),"""",
FILTER(Info!$F$2:F82, Info!$A$2:A82 = C56) = ""Yes"",H56/AA56,
""3x3 FMC""=C56,Info!$B$9,""3x3 MBLD""=C56,Info!$B$18,
AND(E56=1,I56="""",H56="""",Q56=""No"",G56&gt;SUMIF(Info!$A$2:A82,C56,Info!$B$2:B82)*1."&amp;"5),
MIN(SUMIF(Info!$A$2:A82,C56,Info!$B$2:B82)*1.1,SUMIF(Info!$A$2:A82,C56,Info!$B$2:B82)*(1.15-(0.15*(SUMIF(Info!$A$2:A82,C56,Info!$B$2:B82)*1.5)/G56))),
AND(E56=1,I56="""",H56="""",Q56=""Yes"",G56&gt;SUMIF(Info!$A$2:A82,C56,Info!$C$2:C82)*1.5),
MIN(SUMIF(I"&amp;"nfo!$A$2:A82,C56,Info!$C$2:C82)*1.1,SUMIF(Info!$A$2:A82,C56,Info!$C$2:C82)*(1.15-(0.15*(SUMIF(Info!$A$2:A82,C56,Info!$C$2:C82)*1.5)/G56))),
Q56=""No"",SUMIF(Info!$A$2:A82,C56,Info!$B$2:B82),
Q56=""Yes"",SUMIF(Info!$A$2:A82,C56,Info!$C$2:C82))"),"")</f>
        <v/>
      </c>
      <c r="Z56" s="47" t="str">
        <f>IFS(OR(COUNTIF(Info!$A$22:A82,C56)&gt;0,C56=""),"",
AND(OR("3x3 FMC"=C56,"3x3 MBLD"=C56),I56&lt;&gt;""),1,
AND(OR(H56&lt;&gt;"",I56&lt;&gt;""),F56="Avg of 5"),2,
F56="Avg of 5",AA56,
AND(OR(H56&lt;&gt;"",I56&lt;&gt;""),F56="Mean of 3",C56="6x6 / 7x7"),2,
AND(OR(H56&lt;&gt;"",I56&lt;&gt;""),F56="Mean of 3"),1,
F56="Mean of 3",AA56,
AND(OR(H56&lt;&gt;"",I56&lt;&gt;""),F56="Best of 3",C56="4x4 / 5x5 BLD"),2,
AND(OR(H56&lt;&gt;"",I56&lt;&gt;""),F56="Best of 3"),1,
F56="Best of 2",AA56,
F56="Best of 1",AA56)</f>
        <v/>
      </c>
      <c r="AA56" s="47" t="str">
        <f>IFS(OR(COUNTIF(Info!$A$22:A82,C56)&gt;0,C56=""),"",
AND(OR("3x3 MBLD"=C56,"3x3 FMC"=C56),F56="Best of 1"=TRUE),1,
AND(OR("3x3 MBLD"=C56,"3x3 FMC"=C56),F56="Best of 2"=TRUE),2,
AND(OR("3x3 MBLD"=C56,"3x3 FMC"=C56),OR(F56="Best of 3",F56="Mean of 3")=TRUE),3,
AND(F56="Mean of 3",C56="6x6 / 7x7"),6,
AND(F56="Best of 3",C56="4x4 / 5x5 BLD"),6,
F56="Avg of 5",5,F56="Mean of 3",3,F56="Best of 3",3,F56="Best of 2",2,F56="Best of 1",1)</f>
        <v/>
      </c>
      <c r="AB56" s="50"/>
    </row>
    <row r="57" ht="15.75" customHeight="1">
      <c r="A57" s="62">
        <f>IFERROR(__xludf.DUMMYFUNCTION("IFS(indirect(""A""&amp;row()-1)=""Start"",TIME(indirect(""A""&amp;row()-2),indirect(""B""&amp;row()-2),0),
$O$2=""No"",TIME(0,($A$6*60+$B$6)+CEILING(SUM($L$7:indirect(""L""&amp;row()-1)),5),0),
D57=$E$2,TIME(0,($A$6*60+$B$6)+CEILING(SUM(IFERROR(FILTER($L$7:indirect(""L"""&amp;"&amp;row()-1),REGEXMATCH($D$7:indirect(""D""&amp;row()-1),$E$2)),0)),5),0),
TRUE,""=time(hh;mm;ss)"")"),0.3645833333333335)</f>
        <v>0.3645833333</v>
      </c>
      <c r="B57" s="63">
        <f>IFERROR(__xludf.DUMMYFUNCTION("IFS($O$2=""No"",TIME(0,($A$6*60+$B$6)+CEILING(SUM($L$7:indirect(""L""&amp;row())),5),0),
D57=$E$2,TIME(0,($A$6*60+$B$6)+CEILING(SUM(FILTER($L$7:indirect(""L""&amp;row()),REGEXMATCH($D$7:indirect(""D""&amp;row()),$E$2))),5),0),
A57=""=time(hh;mm;ss)"",CONCATENATE(""Sk"&amp;"riv tid i A""&amp;row()),
AND(A57&lt;&gt;"""",A57&lt;&gt;""=time(hh;mm;ss)""),A57+TIME(0,CEILING(indirect(""L""&amp;row()),5),0))"),0.3645833333333335)</f>
        <v>0.3645833333</v>
      </c>
      <c r="C57" s="37"/>
      <c r="D57" s="64" t="str">
        <f t="shared" ref="D57:D76" si="7">IFS($M$2=1,$E$2,
AND($M$2&gt;1,OR(C57="4x4 BLD",C57="5x5 BLD",C57="3x3 MBLD",C57="4x4 / 5x5 BLD")),$E$4,
$M$2&gt;1,$E$2)</f>
        <v>Stora salen</v>
      </c>
      <c r="E57" s="64" t="str">
        <f>IFERROR(__xludf.DUMMYFUNCTION("IFS(COUNTIF(Info!$A$22:A83,C57)&gt;0,"""",
AND(OR(""3x3 FMC""=C57,""3x3 MBLD""=C57),COUNTIF($C$7:indirect(""C""&amp;row()),indirect(""C""&amp;row()))&gt;=13),""E - Error"",
AND(OR(""3x3 FMC""=C57,""3x3 MBLD""=C57),COUNTIF($C$7:indirect(""C""&amp;row()),indirect(""C""&amp;row()"&amp;"))=12),""Final - A3"",
AND(OR(""3x3 FMC""=C57,""3x3 MBLD""=C57),COUNTIF($C$7:indirect(""C""&amp;row()),indirect(""C""&amp;row()))=11),""Final - A2"",
AND(OR(""3x3 FMC""=C57,""3x3 MBLD""=C57),COUNTIF($C$7:indirect(""C""&amp;row()),indirect(""C""&amp;row()))=10),""Final - "&amp;"A1"",
AND(OR(""3x3 FMC""=C57,""3x3 MBLD""=C57),COUNTIF($C$7:indirect(""C""&amp;row()),indirect(""C""&amp;row()))=9,
COUNTIF($C$7:$C$102,indirect(""C""&amp;row()))&gt;9),""R3 - A3"",
AND(OR(""3x3 FMC""=C57,""3x3 MBLD""=C57),COUNTIF($C$7:indirect(""C""&amp;row()),indirect(""C"&amp;"""&amp;row()))=9,
COUNTIF($C$7:$C$102,indirect(""C""&amp;row()))&lt;=9),""Final - A3"",
AND(OR(""3x3 FMC""=C57,""3x3 MBLD""=C57),COUNTIF($C$7:indirect(""C""&amp;row()),indirect(""C""&amp;row()))=8,
COUNTIF($C$7:$C$102,indirect(""C""&amp;row()))&gt;9),""R3 - A2"",
AND(OR(""3x3 FMC"&amp;"""=C57,""3x3 MBLD""=C57),COUNTIF($C$7:indirect(""C""&amp;row()),indirect(""C""&amp;row()))=8,
COUNTIF($C$7:$C$102,indirect(""C""&amp;row()))&lt;=9),""Final - A2"",
AND(OR(""3x3 FMC""=C57,""3x3 MBLD""=C57),COUNTIF($C$7:indirect(""C""&amp;row()),indirect(""C""&amp;row()))=7,
COUN"&amp;"TIF($C$7:$C$102,indirect(""C""&amp;row()))&gt;9),""R3 - A1"",
AND(OR(""3x3 FMC""=C57,""3x3 MBLD""=C57),COUNTIF($C$7:indirect(""C""&amp;row()),indirect(""C""&amp;row()))=7,
COUNTIF($C$7:$C$102,indirect(""C""&amp;row()))&lt;=9),""Final - A1"",
AND(OR(""3x3 FMC""=C57,""3x3 MBLD"""&amp;"=C57),COUNTIF($C$7:indirect(""C""&amp;row()),indirect(""C""&amp;row()))=6,
COUNTIF($C$7:$C$102,indirect(""C""&amp;row()))&gt;6),""R2 - A3"",
AND(OR(""3x3 FMC""=C57,""3x3 MBLD""=C57),COUNTIF($C$7:indirect(""C""&amp;row()),indirect(""C""&amp;row()))=6,
COUNTIF($C$7:$C$102,indirec"&amp;"t(""C""&amp;row()))&lt;=6),""Final - A3"",
AND(OR(""3x3 FMC""=C57,""3x3 MBLD""=C57),COUNTIF($C$7:indirect(""C""&amp;row()),indirect(""C""&amp;row()))=5,
COUNTIF($C$7:$C$102,indirect(""C""&amp;row()))&gt;6),""R2 - A2"",
AND(OR(""3x3 FMC""=C57,""3x3 MBLD""=C57),COUNTIF($C$7:indi"&amp;"rect(""C""&amp;row()),indirect(""C""&amp;row()))=5,
COUNTIF($C$7:$C$102,indirect(""C""&amp;row()))&lt;=6),""Final - A2"",
AND(OR(""3x3 FMC""=C57,""3x3 MBLD""=C57),COUNTIF($C$7:indirect(""C""&amp;row()),indirect(""C""&amp;row()))=4,
COUNTIF($C$7:$C$102,indirect(""C""&amp;row()))&gt;6),"&amp;"""R2 - A1"",
AND(OR(""3x3 FMC""=C57,""3x3 MBLD""=C57),COUNTIF($C$7:indirect(""C""&amp;row()),indirect(""C""&amp;row()))=4,
COUNTIF($C$7:$C$102,indirect(""C""&amp;row()))&lt;=6),""Final - A1"",
AND(OR(""3x3 FMC""=C57,""3x3 MBLD""=C57),COUNTIF($C$7:indirect(""C""&amp;row()),i"&amp;"ndirect(""C""&amp;row()))=3),""R1 - A3"",
AND(OR(""3x3 FMC""=C57,""3x3 MBLD""=C57),COUNTIF($C$7:indirect(""C""&amp;row()),indirect(""C""&amp;row()))=2),""R1 - A2"",
AND(OR(""3x3 FMC""=C57,""3x3 MBLD""=C57),COUNTIF($C$7:indirect(""C""&amp;row()),indirect(""C""&amp;row()))=1),"&amp;"""R1 -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83, Info!$A$2:A83 = C57),ROUNDUP((FILTER(Info!$H$2:H83,Info!$A$2:A83=C57)/FILTER(Info!$H$2:H83,Info!$A$2:A83=$K$2))*$I$2)&gt;99),3,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83, Info!$A$2:A83 = C57),ROUNDUP((FILTER(Info!$H$2:H83,Info!$A$2:A83=C57)/FILTER(Info!$H$2:H83,Info!$A$2:A83=$K$2))*$I$2)&gt;15),2,
AND(COUNTIF($C$7:indirect(""C""&amp;row()),indirect(""C""&amp;row()))=2,COUNTIF($C$7:$C$102,indirect(""C""&amp;row()))=COUNTIF($"&amp;"C$7:indirect(""C""&amp;row()),indirect(""C""&amp;row()))),""Final"",
COUNTIF($C$7:indirect(""C""&amp;row()),indirect(""C""&amp;row()))=1,1,
COUNTIF($C$7:indirect(""C""&amp;row()),indirect(""C""&amp;row()))=0,"""")"),"")</f>
        <v/>
      </c>
      <c r="F57" s="64" t="str">
        <f>IFERROR(__xludf.DUMMYFUNCTION("IFS(C57="""","""",
AND(C57=""3x3 FMC"",MOD(COUNTIF($C$7:indirect(""C""&amp;row()),indirect(""C""&amp;row())),3)=0),""Mean of 3"",
AND(C57=""3x3 MBLD"",MOD(COUNTIF($C$7:indirect(""C""&amp;row()),indirect(""C""&amp;row())),3)=0),""Best of 3"",
AND(C57=""3x3 FMC"",MOD(COUNT"&amp;"IF($C$7:indirect(""C""&amp;row()),indirect(""C""&amp;row())),3)=2,
COUNTIF($C$7:$C$102,indirect(""C""&amp;row()))&lt;=COUNTIF($C$7:indirect(""C""&amp;row()),indirect(""C""&amp;row()))),""Best of 2"",
AND(C57=""3x3 FMC"",MOD(COUNTIF($C$7:indirect(""C""&amp;row()),indirect(""C""&amp;row("&amp;"))),3)=2,
COUNTIF($C$7:$C$102,indirect(""C""&amp;row()))&gt;COUNTIF($C$7:indirect(""C""&amp;row()),indirect(""C""&amp;row()))),""Mean of 3"",
AND(C57=""3x3 MBLD"",MOD(COUNTIF($C$7:indirect(""C""&amp;row()),indirect(""C""&amp;row())),3)=2,
COUNTIF($C$7:$C$102,indirect(""C""&amp;row("&amp;")))&lt;=COUNTIF($C$7:indirect(""C""&amp;row()),indirect(""C""&amp;row()))),""Best of 2"",
AND(C57=""3x3 MBLD"",MOD(COUNTIF($C$7:indirect(""C""&amp;row()),indirect(""C""&amp;row())),3)=2,
COUNTIF($C$7:$C$102,indirect(""C""&amp;row()))&gt;COUNTIF($C$7:indirect(""C""&amp;row()),indirect("&amp;"""C""&amp;row()))),""Best of 3"",
AND(C57=""3x3 FMC"",MOD(COUNTIF($C$7:indirect(""C""&amp;row()),indirect(""C""&amp;row())),3)=1,
COUNTIF($C$7:$C$102,indirect(""C""&amp;row()))&lt;=COUNTIF($C$7:indirect(""C""&amp;row()),indirect(""C""&amp;row()))),""Best of 1"",
AND(C57=""3x3 FMC"""&amp;",MOD(COUNTIF($C$7:indirect(""C""&amp;row()),indirect(""C""&amp;row())),3)=1,
COUNTIF($C$7:$C$102,indirect(""C""&amp;row()))=COUNTIF($C$7:indirect(""C""&amp;row()),indirect(""C""&amp;row()))+1),""Best of 2"",
AND(C57=""3x3 FMC"",MOD(COUNTIF($C$7:indirect(""C""&amp;row()),indirect"&amp;"(""C""&amp;row())),3)=1,
COUNTIF($C$7:$C$102,indirect(""C""&amp;row()))&gt;COUNTIF($C$7:indirect(""C""&amp;row()),indirect(""C""&amp;row()))),""Mean of 3"",
AND(C57=""3x3 MBLD"",MOD(COUNTIF($C$7:indirect(""C""&amp;row()),indirect(""C""&amp;row())),3)=1,
COUNTIF($C$7:$C$102,indirect"&amp;"(""C""&amp;row()))&lt;=COUNTIF($C$7:indirect(""C""&amp;row()),indirect(""C""&amp;row()))),""Best of 1"",
AND(C57=""3x3 MBLD"",MOD(COUNTIF($C$7:indirect(""C""&amp;row()),indirect(""C""&amp;row())),3)=1,
COUNTIF($C$7:$C$102,indirect(""C""&amp;row()))=COUNTIF($C$7:indirect(""C""&amp;row()"&amp;"),indirect(""C""&amp;row()))+1),""Best of 2"",
AND(C57=""3x3 MBLD"",MOD(COUNTIF($C$7:indirect(""C""&amp;row()),indirect(""C""&amp;row())),3)=1,
COUNTIF($C$7:$C$102,indirect(""C""&amp;row()))&gt;COUNTIF($C$7:indirect(""C""&amp;row()),indirect(""C""&amp;row()))),""Best of 3"",
TRUE,("&amp;"IFERROR(FILTER(Info!$D$2:D83, Info!$A$2:A83 = C57), """")))"),"")</f>
        <v/>
      </c>
      <c r="G57" s="64" t="str">
        <f>IFERROR(__xludf.DUMMYFUNCTION("IFS(OR(COUNTIF(Info!$A$22:A83,C57)&gt;0,C57=""""),"""",
OR(""3x3 MBLD""=C57,""3x3 FMC""=C57),60,
AND(E57=1,FILTER(Info!$F$2:F83, Info!$A$2:A83 = C57) = ""No""),FILTER(Info!$P$2:P83, Info!$A$2:A83 = C57),
AND(E57=2,FILTER(Info!$F$2:F83, Info!$A$2:A83 = C57) ="&amp;" ""No""),FILTER(Info!$Q$2:Q83, Info!$A$2:A83 = C57),
AND(E57=3,FILTER(Info!$F$2:F83, Info!$A$2:A83 = C57) = ""No""),FILTER(Info!$R$2:R83, Info!$A$2:A83 = C57),
AND(E57=""Final"",FILTER(Info!$F$2:F83, Info!$A$2:A83 = C57) = ""No""),FILTER(Info!$S$2:S83, In"&amp;"fo!$A$2:A83 = C57),
FILTER(Info!$F$2:F83, Info!$A$2:A83 = C57) = ""Yes"","""")"),"")</f>
        <v/>
      </c>
      <c r="H57" s="64" t="str">
        <f>IFERROR(__xludf.DUMMYFUNCTION("IFS(OR(COUNTIF(Info!$A$22:A83,C57)&gt;0,C57=""""),"""",
OR(""3x3 MBLD""=C57,""3x3 FMC""=C57)=TRUE,"""",
FILTER(Info!$F$2:F83, Info!$A$2:A83 = C57) = ""Yes"",FILTER(Info!$O$2:O83, Info!$A$2:A83 = C57),
FILTER(Info!$F$2:F83, Info!$A$2:A83 = C57) = ""No"",IF(G5"&amp;"7="""",FILTER(Info!$O$2:O83, Info!$A$2:A83 = C57),""""))"),"")</f>
        <v/>
      </c>
      <c r="I57" s="64" t="str">
        <f>IFERROR(__xludf.DUMMYFUNCTION("IFS(OR(COUNTIF(Info!$A$22:A83,C57)&gt;0,C57="""",H57&lt;&gt;""""),"""",
AND(E57&lt;&gt;1,E57&lt;&gt;""R1 - A1"",E57&lt;&gt;""R1 - A2"",E57&lt;&gt;""R1 - A3""),"""",
FILTER(Info!$E$2:E83, Info!$A$2:A83 = C57) = ""Yes"",IF(H57="""",FILTER(Info!$L$2:L83, Info!$A$2:A83 = C57),""""),
FILTER(I"&amp;"nfo!$E$2:E83, Info!$A$2:A83 = C57) = ""No"","""")"),"")</f>
        <v/>
      </c>
      <c r="J57" s="64" t="str">
        <f>IFERROR(__xludf.DUMMYFUNCTION("IFS(OR(COUNTIF(Info!$A$22:A83,C57)&gt;0,C57="""",""3x3 MBLD""=C57,""3x3 FMC""=C57),"""",
AND(E57=1,FILTER(Info!$H$2:H83,Info!$A$2:A83 = C57)&lt;=FILTER(Info!$H$2:H83,Info!$A$2:A83=$K$2)),
ROUNDUP((FILTER(Info!$H$2:H83,Info!$A$2:A83 = C57)/FILTER(Info!$H$2:H83,I"&amp;"nfo!$A$2:A83=$K$2))*$I$2),
AND(E57=1,FILTER(Info!$H$2:H83,Info!$A$2:A83 = C57)&gt;FILTER(Info!$H$2:H83,Info!$A$2:A83=$K$2)),""K2 - Error"",
AND(E57=2,FILTER($J$7:indirect(""J""&amp;row()-1),$C$7:indirect(""C""&amp;row()-1)=C57)&lt;=7),""J - Error"",
E57=2,FLOOR(FILTER("&amp;"$J$7:indirect(""J""&amp;row()-1),$C$7:indirect(""C""&amp;row()-1)=C57)*Info!$T$32),
AND(E57=3,FILTER($J$7:indirect(""J""&amp;row()-1),$C$7:indirect(""C""&amp;row()-1)=C57)&lt;=15),""J - Error"",
E57=3,FLOOR(Info!$T$32*FLOOR(FILTER($J$7:indirect(""J""&amp;row()-1),$C$7:indirect("&amp;"""C""&amp;row()-1)=C57)*Info!$T$32)),
AND(E57=""Final"",COUNTIF($C$7:$C$102,C57)=2,FILTER($J$7:indirect(""J""&amp;row()-1),$C$7:indirect(""C""&amp;row()-1)=C57)&lt;=7),""J - Error"",
AND(E57=""Final"",COUNTIF($C$7:$C$102,C57)=2),
MIN(P57,FLOOR(FILTER($J$7:indirect(""J"""&amp;"&amp;row()-1),$C$7:indirect(""C""&amp;row()-1)=C57)*Info!$T$32)),
AND(E57=""Final"",COUNTIF($C$7:$C$102,C57)=3,FILTER($J$7:indirect(""J""&amp;row()-1),$C$7:indirect(""C""&amp;row()-1)=C57)&lt;=15),""J - Error"",
AND(E57=""Final"",COUNTIF($C$7:$C$102,C57)=3),
MIN(P57,FLOOR(I"&amp;"nfo!$T$32*FLOOR(FILTER($J$7:indirect(""J""&amp;row()-1),$C$7:indirect(""C""&amp;row()-1)=C57)*Info!$T$32))),
AND(E57=""Final"",COUNTIF($C$7:$C$102,C57)&gt;=4,FILTER($J$7:indirect(""J""&amp;row()-1),$C$7:indirect(""C""&amp;row()-1)=C57)&lt;=99),""J - Error"",
AND(E57=""Final"","&amp;"COUNTIF($C$7:$C$102,C57)&gt;=4),
MIN(P57,FLOOR(Info!$T$32*FLOOR(Info!$T$32*FLOOR(FILTER($J$7:indirect(""J""&amp;row()-1),$C$7:indirect(""C""&amp;row()-1)=C57)*Info!$T$32)))))"),"")</f>
        <v/>
      </c>
      <c r="K57" s="41" t="str">
        <f>IFERROR(__xludf.DUMMYFUNCTION("IFS(AND(indirect(""D""&amp;row()+2)&lt;&gt;$E$2,indirect(""D""&amp;row()+1)=""""),CONCATENATE(""Tom rad! Kopiera hela rad ""&amp;row()&amp;"" dit""),
AND(indirect(""D""&amp;row()-1)&lt;&gt;""Rum"",indirect(""D""&amp;row()-1)=""""),CONCATENATE(""Tom rad! Kopiera hela rad ""&amp;row()&amp;"" dit""),
"&amp;"C57="""","""",
COUNTIF(Info!$A$22:A83,$K$2)&gt;0,""Det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OR(AND(D57&lt;&gt;$E$2,D57&lt;&gt;$E$4,D57&lt;&gt;$K$4,D57&lt;&gt;$Q$4),D57="&amp;"""""),CONCATENATE(""Rum: ""&amp;D57&amp;"" finns ej, byt i D""&amp;row()),
AND(indirect(""D""&amp;row()-1)=""Rum"",C57=""""),CONCATENATE(""För att börja: skriv i cell C""&amp;row()),
AND(C57=""Paus"",M57&lt;=0),CONCATENATE(""Skriv pausens längd i M""&amp;row()),
OR(COUNTIF(Info!$A$"&amp;"22:A83,C57)&gt;0,C57=""""),"""",
AND(D57&lt;&gt;$E$2,$O$2=""Yes"",A57=""=time(hh;mm;ss)""),CONCATENATE(""Skriv starttid för ""&amp;C57&amp;"" i A""&amp;row()),
E57=""E - Error"",CONCATENATE(""För många ""&amp;C57&amp;"" rundor!""),
AND(C57&lt;&gt;""3x3 FMC"",C57&lt;&gt;""3x3 MBLD"",E57&lt;&gt;1,E57&lt;&gt;"&amp;"""Final"",IFERROR(FILTER($E$7:indirect(""E""&amp;row()-1),
$E$7:indirect(""E""&amp;row()-1)=E57-1,$C$7:indirect(""C""&amp;row()-1)=C57))=FALSE),CONCATENATE(""Kan ej vara R""&amp;E57&amp;"", saknar R""&amp;(E57-1)),
AND(indirect(""E""&amp;row()-1)&lt;&gt;""Omgång"",IFERROR(FILTER($E$7:indi"&amp;"rect(""E""&amp;row()-1),
$E$7:indirect(""E""&amp;row()-1)=E57,$C$7:indirect(""C""&amp;row()-1)=C57)=E57)=TRUE),CONCATENATE(""Runda ""&amp;E57&amp;"" i ""&amp;C57&amp;"" finns redan""),
AND(C57&lt;&gt;""3x3 BLD"",C57&lt;&gt;""4x4 BLD"",C57&lt;&gt;""5x5 BLD"",C57&lt;&gt;""4x4 / 5x5 BLD"",OR(E57=2,E57=3,E57="&amp;"""Final""),H57&lt;&gt;""""),CONCATENATE(E57&amp;""-rundor brukar ej ha c.t.l.""),
AND(OR(E57=2,E57=3,E57=""Final""),I57&lt;&gt;""""),CONCATENATE(E57&amp;""-rundor brukar ej ha cutoff""),
AND(OR(C57=""3x3 FMC"",C57=""3x3 MBLD""),OR(E57=1,E57=2,E57=3,E57=""Final"")),CONCATENAT"&amp;"E(C57&amp;""s omgång är Rx - Ax""),
AND(C57&lt;&gt;""3x3 MBLD"",C57&lt;&gt;""3x3 FMC"",FILTER(Info!$D$2:D83, Info!$A$2:A83 = C57)&lt;&gt;F57),CONCATENATE(C57&amp;"" måste ha formatet ""&amp;FILTER(Info!$D$2:D83, Info!$A$2:A83 = C57)),
AND(C57=""3x3 MBLD"",OR(F57=""Avg of 5"",F57=""Mea"&amp;"n of 3"")),CONCATENATE(""Ogiltigt format för ""&amp;C57),
AND(C57=""3x3 FMC"",OR(F57=""Avg of 5"",F57=""Best of 3"")),CONCATENATE(""Ogiltigt format för ""&amp;C57),
AND(OR(F57=""Best of 1"",F57=""Best of 2"",F57=""Best of 3""),I57&lt;&gt;""""),CONCATENATE(F57&amp;""-rundor"&amp;" får ej ha cutoff""),
AND(OR(C57=""3x3 FMC"",C57=""3x3 MBLD""),G57&lt;&gt;60),CONCATENATE(C57&amp;"" måste ha time limit: 60""),
AND(OR(C57=""3x3 FMC"",C57=""3x3 MBLD""),H57&lt;&gt;""""),CONCATENATE(C57&amp;"" kan inte ha c.t.l.""),
AND(G57&lt;&gt;"""",H57&lt;&gt;""""),""Välj time limit"&amp;" ELLER c.t.l"",
AND(C57=""6x6 / 7x7"",G57="""",H57=""""),""Sätt time limit (x / y) eller c.t.l (z)"",
AND(G57="""",H57=""""),""Sätt en time limit eller c.t.l"",
AND(OR(C57=""6x6 / 7x7"",C57=""4x4 / 5x5 BLD""),G57&lt;&gt;"""",REGEXMATCH(TO_TEXT(G57),"" / "")=FAL"&amp;"SE),CONCATENATE(""Time limit måste vara x / y""),
AND(H57&lt;&gt;"""",I57&lt;&gt;""""),CONCATENATE(C57&amp;"" brukar ej ha cutoff OCH c.t.l""),
AND(E57=1,H57="""",I57="""",OR(FILTER(Info!$E$2:E83, Info!$A$2:A83 = C57) = ""Yes"",FILTER(Info!$F$2:F83, Info!$A$2:A83 = C57) "&amp;"= ""Yes""),OR(F57=""Avg of 5"",F57=""Mean of 3"")),CONCATENATE(C57&amp;"" bör ha cutoff eller c.t.l""),
AND(C57=""6x6 / 7x7"",I57&lt;&gt;"""",REGEXMATCH(TO_TEXT(I57),"" / "")=FALSE),CONCATENATE(""Cutoff måste vara x / y""),
AND(H57&lt;&gt;"""",ISNUMBER(H57)=FALSE),""C.t."&amp;"l. måste vara positivt tal (x)"",
AND(C57&lt;&gt;""6x6 / 7x7"",I57&lt;&gt;"""",ISNUMBER(I57)=FALSE),""Cutoff måste vara positivt tal (x)"",
AND(H57&lt;&gt;"""",FILTER(Info!$E$2:E83, Info!$A$2:A83 = C57) = ""No"",FILTER(Info!$F$2:F83, Info!$A$2:A83 = C57) = ""No""),CONCATEN"&amp;"ATE(C57&amp;"" brukar inte ha c.t.l.""),
AND(I57&lt;&gt;"""",FILTER(Info!$E$2:E83, Info!$A$2:A83 = C57) = ""No"",FILTER(Info!$F$2:F83, Info!$A$2:A83 = C57) = ""No""),CONCATENATE(C57&amp;"" brukar inte ha cutoff""),
AND(H57="""",FILTER(Info!$F$2:F83, Info!$A$2:A83 = C57"&amp;") = ""Yes""),CONCATENATE(C57&amp;"" brukar ha c.t.l.""),
AND(C57&lt;&gt;""6x6 / 7x7"",C57&lt;&gt;""4x4 / 5x5 BLD"",G57&lt;&gt;"""",ISNUMBER(G57)=FALSE),""Time limit måste vara positivt tal (x)"",
J57=""J - Error"",CONCATENATE(""För få deltagare i R1 för ""&amp;COUNTIF($C$7:$C$102,"&amp;"indirect(""C""&amp;row()))&amp;"" rundor""),
J57=""K2 - Error"",CONCATENATE(C57&amp;"" är mer populär - byt i K2!""),
AND(C57&lt;&gt;""6x6 / 7x7"",C57&lt;&gt;""4x4 / 5x5 BLD"",G57&lt;&gt;"""",I57&lt;&gt;"""",G57&lt;=I57),""Time limit måste vara &gt; cutoff"",
AND(C57&lt;&gt;""6x6 / 7x7"",C57&lt;&gt;""4x4 / 5"&amp;"x5 BLD"",H57&lt;&gt;"""",I57&lt;&gt;"""",H57&lt;=I57),""C.t.l. måste vara &gt; cutoff"",
AND(C57&lt;&gt;""3x3 FMC"",C57&lt;&gt;""3x3 MBLD"",J57=""""),CONCATENATE(""Fyll i antal deltagare i J""&amp;row()),
AND(C57="""",OR(E57&lt;&gt;"""",F57&lt;&gt;"""",G57&lt;&gt;"""",H57&lt;&gt;"""",I57&lt;&gt;"""",J57&lt;&gt;"""")),""Skri"&amp;"v ALLTID gren / aktivitet först"",
AND(I57="""",H57="""",J57&lt;&gt;""""),J57,
OR(""3x3 FMC""=C57,""3x3 MBLD""=C57),J57,
AND(I57&lt;&gt;"""",""6x6 / 7x7""=C57),
IFS(ArrayFormula(SUM(IFERROR(SPLIT(I57,"" / ""))))&lt;(Info!$J$6+Info!$J$7)*2/3,CONCATENATE(""Höj helst cutof"&amp;"fs i ""&amp;C57),
ArrayFormula(SUM(IFERROR(SPLIT(I57,"" / ""))))&lt;=(Info!$J$6+Info!$J$7),ROUNDUP(J57*Info!$J$22),
ArrayFormula(SUM(IFERROR(SPLIT(I57,"" / ""))))&lt;=Info!$J$6+Info!$J$7,ROUNDUP(J57*Info!$K$22),
ArrayFormula(SUM(IFERROR(SPLIT(I57,"" / ""))))&lt;=Info!"&amp;"$K$6+Info!$K$7,ROUNDUP(J57*Info!L$22),
ArrayFormula(SUM(IFERROR(SPLIT(I57,"" / ""))))&lt;=Info!$L$6+Info!$L$7,ROUNDUP(J57*Info!$M$22),
ArrayFormula(SUM(IFERROR(SPLIT(I57,"" / ""))))&lt;=Info!$M$6+Info!$M$7,ROUNDUP(J57*Info!$N$22),
ArrayFormula(SUM(IFERROR(SPLIT"&amp;"(I57,"" / ""))))&lt;=(Info!$N$6+Info!$N$7)*3/2,ROUNDUP(J57*Info!$J$26),
ArrayFormula(SUM(IFERROR(SPLIT(I57,"" / ""))))&gt;(Info!$N$6+Info!$N$7)*3/2,CONCATENATE(""Sänk helst cutoffs i ""&amp;C57)),
AND(I57&lt;&gt;"""",FILTER(Info!$E$2:E83, Info!$A$2:A83 = C57) = ""Yes""),"&amp;"
IFS(I57&lt;FILTER(Info!$J$2:J83, Info!$A$2:A83 = C57)*2/3,CONCATENATE(""Höj helst cutoff i ""&amp;C57),
I57&lt;=FILTER(Info!$J$2:J83, Info!$A$2:A83 = C57),ROUNDUP(J57*Info!$J$22),
I57&lt;=FILTER(Info!$K$2:K83, Info!$A$2:A83 = C57),ROUNDUP(J57*Info!$K$22),
I57&lt;=FILTER"&amp;"(Info!$L$2:L83, Info!$A$2:A83 = C57),ROUNDUP(J57*Info!L$22),
I57&lt;=FILTER(Info!$M$2:M83, Info!$A$2:A83 = C57),ROUNDUP(J57*Info!$M$22),
I57&lt;=FILTER(Info!$N$2:N83, Info!$A$2:A83 = C57),ROUNDUP(J57*Info!$N$22),
I57&lt;=FILTER(Info!$N$2:N83, Info!$A$2:A83 = C57)*"&amp;"3/2,ROUNDUP(J57*Info!$J$26),
I57&gt;FILTER(Info!$N$2:N83, Info!$A$2:A83 = C57)*3/2,CONCATENATE(""Sänk helst cutoff i ""&amp;C57)),
AND(H57&lt;&gt;"""",""6x6 / 7x7""=C57),
IFS(H57/3&lt;=(Info!$J$6+Info!$J$7)*2/3,""Höj helst cumulative time limit"",
H57/3&lt;=Info!$J$6+Info!$"&amp;"J$7,ROUNDUP(J57*Info!$J$24),
H57/3&lt;=Info!$K$6+Info!$K$7,ROUNDUP(J57*Info!$K$24),
H57/3&lt;=Info!$L$6+Info!$L$7,ROUNDUP(J57*Info!L$24),
H57/3&lt;=Info!$M$6+Info!$M$7,ROUNDUP(J57*Info!$M$24),
H57/3&lt;=Info!$N$6+Info!$N$7,ROUNDUP(J57*Info!$N$24),
H57/3&lt;=(Info!$N$6+I"&amp;"nfo!$N$7)*3/2,ROUNDUP(J57*Info!$L$26),
H57/3&gt;(Info!$J$6+Info!$J$7)*3/2,""Sänk helst cumulative time limit""),
AND(H57&lt;&gt;"""",FILTER(Info!$F$2:F83, Info!$A$2:A83 = C57) = ""Yes""),
IFS(H57&lt;=FILTER(Info!$J$2:J83, Info!$A$2:A83 = C57)*2/3,CONCATENATE(""Höj he"&amp;"lst c.t.l. i ""&amp;C57),
H57&lt;=FILTER(Info!$J$2:J83, Info!$A$2:A83 = C57),ROUNDUP(J57*Info!$J$24),
H57&lt;=FILTER(Info!$K$2:K83, Info!$A$2:A83 = C57),ROUNDUP(J57*Info!$K$24),
H57&lt;=FILTER(Info!$L$2:L83, Info!$A$2:A83 = C57),ROUNDUP(J57*Info!L$24),
H57&lt;=FILTER(Inf"&amp;"o!$M$2:M83, Info!$A$2:A83 = C57),ROUNDUP(J57*Info!$M$24),
H57&lt;=FILTER(Info!$N$2:N83, Info!$A$2:A83 = C57),ROUNDUP(J57*Info!$N$24),
H57&lt;=FILTER(Info!$N$2:N83, Info!$A$2:A83 = C57)*3/2,ROUNDUP(J57*Info!$L$26),
H57&gt;FILTER(Info!$N$2:N83, Info!$A$2:A83 = C57)*"&amp;"3/2,CONCATENATE(""Sänk helst c.t.l. i ""&amp;C57)),
AND(H57&lt;&gt;"""",FILTER(Info!$F$2:F83, Info!$A$2:A83 = C57) = ""No""),
IFS(H57/AA57&lt;=FILTER(Info!$J$2:J83, Info!$A$2:A83 = C57)*2/3,CONCATENATE(""Höj helst c.t.l. i ""&amp;C57),
H57/AA57&lt;=FILTER(Info!$J$2:J83, Info"&amp;"!$A$2:A83 = C57),ROUNDUP(J57*Info!$J$24),
H57/AA57&lt;=FILTER(Info!$K$2:K83, Info!$A$2:A83 = C57),ROUNDUP(J57*Info!$K$24),
H57/AA57&lt;=FILTER(Info!$L$2:L83, Info!$A$2:A83 = C57),ROUNDUP(J57*Info!L$24),
H57/AA57&lt;=FILTER(Info!$M$2:M83, Info!$A$2:A83 = C57),ROUND"&amp;"UP(J57*Info!$M$24),
H57/AA57&lt;=FILTER(Info!$N$2:N83, Info!$A$2:A83 = C57),ROUNDUP(J57*Info!$N$24),
H57/AA57&lt;=FILTER(Info!$N$2:N83, Info!$A$2:A83 = C57)*3/2,ROUNDUP(J57*Info!$L$26),
H57/AA57&gt;FILTER(Info!$N$2:N83, Info!$A$2:A83 = C57)*3/2,CONCATENATE(""Sänk "&amp;"helst c.t.l. i ""&amp;C57)),
AND(I57="""",H57&lt;&gt;"""",J57&lt;&gt;""""),ROUNDUP(J57*Info!$T$29),
AND(I57&lt;&gt;"""",H57="""",J57&lt;&gt;""""),ROUNDUP(J57*Info!$T$26))"),"")</f>
        <v/>
      </c>
      <c r="L57" s="42">
        <f>IFERROR(__xludf.DUMMYFUNCTION("IFS(C57="""",0,
C57=""3x3 FMC"",Info!$B$9*N57+M57, C57=""3x3 MBLD"",Info!$B$18*N57+M57,
COUNTIF(Info!$A$22:A83,C57)&gt;0,FILTER(Info!$B$22:B83,Info!$A$22:A83=C57)+M57,
AND(C57&lt;&gt;"""",E57=""""),CONCATENATE(""Fyll i E""&amp;row()),
AND(C57&lt;&gt;"""",E57&lt;&gt;"""",E57&lt;&gt;1,E5"&amp;"7&lt;&gt;2,E57&lt;&gt;3,E57&lt;&gt;""Final""),CONCATENATE(""Fel format på E""&amp;row()),
K57=CONCATENATE(""Runda ""&amp;E57&amp;"" i ""&amp;C57&amp;"" finns redan""),CONCATENATE(""Fel i E""&amp;row()),
AND(C57&lt;&gt;"""",F57=""""),CONCATENATE(""Fyll i F""&amp;row()),
K57=CONCATENATE(C57&amp;"" måste ha forma"&amp;"tet ""&amp;FILTER(Info!$D$2:D83, Info!$A$2:A83 = C57)),CONCATENATE(""Fel format på F""&amp;row()),
AND(C57&lt;&gt;"""",D57=1,H57="""",FILTER(Info!$F$2:F83, Info!$A$2:A83 = C57) = ""Yes""),CONCATENATE(""Fyll i H""&amp;row()),
AND(C57&lt;&gt;"""",D57=1,I57="""",FILTER(Info!$E$2:E8"&amp;"3, Info!$A$2:A83 = C57) = ""Yes""),CONCATENATE(""Fyll i I""&amp;row()),
AND(C57&lt;&gt;"""",J57=""""),CONCATENATE(""Fyll i J""&amp;row()),
AND(C57&lt;&gt;"""",K57="""",OR(H57&lt;&gt;"""",I57&lt;&gt;"""")),CONCATENATE(""Fyll i K""&amp;row()),
AND(C57&lt;&gt;"""",K57=""""),CONCATENATE(""Skriv samma"&amp;" i K""&amp;row()&amp;"" som i J""&amp;row()),
AND(OR(C57=""4x4 BLD"",C57=""5x5 BLD"",C57=""4x4 / 5x5 BLD"")=TRUE,V57&lt;=P57),
MROUND(H57*(Info!$T$20-((Info!$T$20-1)/2)*(1-V57/P57))*(1+((J57/K57)-1)*(1-Info!$J$24))*N57+(Info!$T$11/2)+(N57*Info!$T$11)+(N57*Info!$T$14*(O5"&amp;"7-1)),0.01)+M57,
AND(OR(C57=""4x4 BLD"",C57=""5x5 BLD"",C57=""4x4 / 5x5 BLD"")=TRUE,V57&gt;P57),
MROUND((((J57*Z57+K57*(AA57-Z57))*(H57*Info!$T$20/AA57))/X57)*(1+((J57/K57)-1)*(1-Info!$J$24))*(1+(X57-Info!$T$8)/100)+(Info!$T$11/2)+(N57*Info!$T$11)+(N57*Info!"&amp;"$T$14*(O57-1)),0.01)+M57,
AND(C57=""3x3 BLD"",V57&lt;=P57),
MROUND(H57*(Info!$T$23-((Info!$T$23-1)/2)*(1-V57/P57))*(1+((J57/K57)-1)*(1-Info!$J$24))*N57+(Info!$T$11/2)+(N57*Info!$T$11)+(N57*Info!$T$14*(O57-1)),0.01)+M57,
AND(C57=""3x3 BLD"",V57&gt;P57),
MROUND(("&amp;"((J57*Z57+K57*(AA57-Z57))*(H57*Info!$T$23/AA57))/X57)*(1+((J57/K57)-1)*(1-Info!$J$24))*(1+(X57-Info!$T$8)/100)+(Info!$T$11/2)+(N57*Info!$T$11)+(N57*Info!$T$14*(O57-1)),0.01)+M57,
E57=1,MROUND((((J57*Z57+K57*(AA57-Z57))*Y57)/X57)*(1+(X57-Info!$T$8)/100)+(N"&amp;"57*Info!$T$11)+(N57*Info!$T$14*(O57-1)),0.01)+M57,
AND(E57=""Final"",N57=1,FILTER(Info!$G$2:$G$20,Info!$A$2:$A$20=C57)=""Mycket svår""),
MROUND((((J57*Z57+K57*(AA57-Z57))*(Y57*Info!$T$38))/X57)*(1+(X57-Info!$T$8)/100)+(N57*Info!$T$11)+(N57*Info!$T$14*(O57"&amp;"-1)),0.01)+M57,
AND(E57=""Final"",N57=1,FILTER(Info!$G$2:$G$20,Info!$A$2:$A$20=C57)=""Svår""),
MROUND((((J57*Z57+K57*(AA57-Z57))*(Y57*Info!$T$35))/X57)*(1+(X57-Info!$T$8)/100)+(N57*Info!$T$11)+(N57*Info!$T$14*(O57-1)),0.01)+M57,
E57=""Final"",MROUND((((J5"&amp;"7*Z57+K57*(AA57-Z57))*(Y57*Info!$T$5))/X57)*(1+(X57-Info!$T$8)/100)+(N57*Info!$T$11)+(N57*Info!$T$14*(O57-1)),0.01)+M57,
OR(E57=2,E57=3),MROUND((((J57*Z57+K57*(AA57-Z57))*(Y57*Info!$T$2))/X57)*(1+(X57-Info!$T$8)/100)+(N57*Info!$T$11)+(N57*Info!$T$14*(O57-"&amp;"1)),0.01)+M57)"),0.0)</f>
        <v>0</v>
      </c>
      <c r="M57" s="43">
        <f t="shared" si="6"/>
        <v>0</v>
      </c>
      <c r="N57" s="43" t="str">
        <f>IFS(OR(COUNTIF(Info!$A$22:A83,C57)&gt;0,C57=""),"",
OR(C57="4x4 BLD",C57="5x5 BLD",C57="3x3 MBLD",C57="3x3 FMC",C57="4x4 / 5x5 BLD"),1,
AND(E57="Final",Q57="Yes",MAX(1,ROUNDUP(J57/P57))&gt;1),MAX(2,ROUNDUP(J57/P57)),
AND(E57="Final",Q57="No",MAX(1,ROUNDUP(J57/((P57*2)+2.625-Y57*1.5)))&gt;1),MAX(2,ROUNDUP(J57/((P57*2)+2.625-Y57*1.5))),
E57="Final",1,
Q57="Yes",MAX(2,ROUNDUP(J57/P57)),
TRUE,MAX(2,ROUNDUP(J57/((P57*2)+2.625-Y57*1.5))))</f>
        <v/>
      </c>
      <c r="O57" s="43" t="str">
        <f>IFS(OR(COUNTIF(Info!$A$22:A83,C57)&gt;0,C57=""),"",
OR("3x3 MBLD"=C57,"3x3 FMC"=C57)=TRUE,"",
D57=$E$4,$G$6,D57=$K$4,$M$6,D57=$Q$4,$S$6,D57=$W$4,$Y$6,
TRUE,$S$2)</f>
        <v/>
      </c>
      <c r="P57" s="43" t="str">
        <f>IFS(OR(COUNTIF(Info!$A$22:A83,C57)&gt;0,C57=""),"",
OR("3x3 MBLD"=C57,"3x3 FMC"=C57)=TRUE,"",
D57=$E$4,$E$6,D57=$K$4,$K$6,D57=$Q$4,$Q$6,D57=$W$4,$W$6,
TRUE,$Q$2)</f>
        <v/>
      </c>
      <c r="Q57" s="44" t="str">
        <f>IFS(OR(COUNTIF(Info!$A$22:A83,C57)&gt;0,C57=""),"",
OR("3x3 MBLD"=C57,"3x3 FMC"=C57)=TRUE,"",
D57=$E$4,$I$6,D57=$K$4,$O$6,D57=$Q$4,$U$6,D57=$W$4,$AA$6,
TRUE,$U$2)</f>
        <v/>
      </c>
      <c r="R57" s="65" t="str">
        <f>IFERROR(__xludf.DUMMYFUNCTION("IF(C57="""","""",IFERROR(FILTER(Info!$B$22:B83,Info!$A$22:A83=C57)+M57,""?""))"),"")</f>
        <v/>
      </c>
      <c r="S57" s="66" t="str">
        <f>IFS(OR(COUNTIF(Info!$A$22:A83,C57)&gt;0,C57=""),"",
AND(H57="",I57=""),J57,
TRUE,"?")</f>
        <v/>
      </c>
      <c r="T57" s="65" t="str">
        <f>IFS(OR(COUNTIF(Info!$A$22:A83,C57)&gt;0,C57=""),"",
AND(L57&lt;&gt;0,OR(R57="?",R57="")),"Fyll i R-kolumnen",
OR(C57="3x3 FMC",C57="3x3 MBLD"),R57,
AND(L57&lt;&gt;0,OR(S57="?",S57="")),"Fyll i S-kolumnen",
OR(COUNTIF(Info!$A$22:A83,C57)&gt;0,C57=""),"",
TRUE,Y57*R57/L57)</f>
        <v/>
      </c>
      <c r="U57" s="65"/>
      <c r="V57" s="67" t="str">
        <f>IFS(OR(COUNTIF(Info!$A$22:A83,C57)&gt;0,C57=""),"",
OR("3x3 MBLD"=C57,"3x3 FMC"=C57)=TRUE,"",
TRUE,MROUND((J57/N57),0.01))</f>
        <v/>
      </c>
      <c r="W57" s="68" t="str">
        <f>IFS(OR(COUNTIF(Info!$A$22:A83,C57)&gt;0,C57=""),"",
TRUE,L57/N57)</f>
        <v/>
      </c>
      <c r="X57" s="67" t="str">
        <f>IFS(OR(COUNTIF(Info!$A$22:A83,C57)&gt;0,C57=""),"",
OR("3x3 MBLD"=C57,"3x3 FMC"=C57)=TRUE,"",
OR(C57="4x4 BLD",C57="5x5 BLD",C57="4x4 / 5x5 BLD",AND(C57="3x3 BLD",H57&lt;&gt;""))=TRUE,MIN(V57,P57),
TRUE,MIN(P57,V57,MROUND(((V57*2/3)+((Y57-1.625)/2)),0.01)))</f>
        <v/>
      </c>
      <c r="Y57" s="68" t="str">
        <f>IFERROR(__xludf.DUMMYFUNCTION("IFS(OR(COUNTIF(Info!$A$22:A83,C57)&gt;0,C57=""""),"""",
FILTER(Info!$F$2:F83, Info!$A$2:A83 = C57) = ""Yes"",H57/AA57,
""3x3 FMC""=C57,Info!$B$9,""3x3 MBLD""=C57,Info!$B$18,
AND(E57=1,I57="""",H57="""",Q57=""No"",G57&gt;SUMIF(Info!$A$2:A83,C57,Info!$B$2:B83)*1."&amp;"5),
MIN(SUMIF(Info!$A$2:A83,C57,Info!$B$2:B83)*1.1,SUMIF(Info!$A$2:A83,C57,Info!$B$2:B83)*(1.15-(0.15*(SUMIF(Info!$A$2:A83,C57,Info!$B$2:B83)*1.5)/G57))),
AND(E57=1,I57="""",H57="""",Q57=""Yes"",G57&gt;SUMIF(Info!$A$2:A83,C57,Info!$C$2:C83)*1.5),
MIN(SUMIF(I"&amp;"nfo!$A$2:A83,C57,Info!$C$2:C83)*1.1,SUMIF(Info!$A$2:A83,C57,Info!$C$2:C83)*(1.15-(0.15*(SUMIF(Info!$A$2:A83,C57,Info!$C$2:C83)*1.5)/G57))),
Q57=""No"",SUMIF(Info!$A$2:A83,C57,Info!$B$2:B83),
Q57=""Yes"",SUMIF(Info!$A$2:A83,C57,Info!$C$2:C83))"),"")</f>
        <v/>
      </c>
      <c r="Z57" s="67" t="str">
        <f>IFS(OR(COUNTIF(Info!$A$22:A83,C57)&gt;0,C57=""),"",
AND(OR("3x3 FMC"=C57,"3x3 MBLD"=C57),I57&lt;&gt;""),1,
AND(OR(H57&lt;&gt;"",I57&lt;&gt;""),F57="Avg of 5"),2,
F57="Avg of 5",AA57,
AND(OR(H57&lt;&gt;"",I57&lt;&gt;""),F57="Mean of 3",C57="6x6 / 7x7"),2,
AND(OR(H57&lt;&gt;"",I57&lt;&gt;""),F57="Mean of 3"),1,
F57="Mean of 3",AA57,
AND(OR(H57&lt;&gt;"",I57&lt;&gt;""),F57="Best of 3",C57="4x4 / 5x5 BLD"),2,
AND(OR(H57&lt;&gt;"",I57&lt;&gt;""),F57="Best of 3"),1,
F57="Best of 2",AA57,
F57="Best of 1",AA57)</f>
        <v/>
      </c>
      <c r="AA57" s="67" t="str">
        <f>IFS(OR(COUNTIF(Info!$A$22:A83,C57)&gt;0,C57=""),"",
AND(OR("3x3 MBLD"=C57,"3x3 FMC"=C57),F57="Best of 1"=TRUE),1,
AND(OR("3x3 MBLD"=C57,"3x3 FMC"=C57),F57="Best of 2"=TRUE),2,
AND(OR("3x3 MBLD"=C57,"3x3 FMC"=C57),OR(F57="Best of 3",F57="Mean of 3")=TRUE),3,
AND(F57="Mean of 3",C57="6x6 / 7x7"),6,
AND(F57="Best of 3",C57="4x4 / 5x5 BLD"),6,
F57="Avg of 5",5,F57="Mean of 3",3,F57="Best of 3",3,F57="Best of 2",2,F57="Best of 1",1)</f>
        <v/>
      </c>
      <c r="AB57" s="69"/>
    </row>
    <row r="58" ht="15.75" customHeight="1">
      <c r="A58" s="62">
        <f>IFERROR(__xludf.DUMMYFUNCTION("IFS(indirect(""A""&amp;row()-1)=""Start"",TIME(indirect(""A""&amp;row()-2),indirect(""B""&amp;row()-2),0),
$O$2=""No"",TIME(0,($A$6*60+$B$6)+CEILING(SUM($L$7:indirect(""L""&amp;row()-1)),5),0),
D58=$E$2,TIME(0,($A$6*60+$B$6)+CEILING(SUM(IFERROR(FILTER($L$7:indirect(""L"""&amp;"&amp;row()-1),REGEXMATCH($D$7:indirect(""D""&amp;row()-1),$E$2)),0)),5),0),
TRUE,""=time(hh;mm;ss)"")"),0.3645833333333335)</f>
        <v>0.3645833333</v>
      </c>
      <c r="B58" s="63">
        <f>IFERROR(__xludf.DUMMYFUNCTION("IFS($O$2=""No"",TIME(0,($A$6*60+$B$6)+CEILING(SUM($L$7:indirect(""L""&amp;row())),5),0),
D58=$E$2,TIME(0,($A$6*60+$B$6)+CEILING(SUM(FILTER($L$7:indirect(""L""&amp;row()),REGEXMATCH($D$7:indirect(""D""&amp;row()),$E$2))),5),0),
A58=""=time(hh;mm;ss)"",CONCATENATE(""Sk"&amp;"riv tid i A""&amp;row()),
AND(A58&lt;&gt;"""",A58&lt;&gt;""=time(hh;mm;ss)""),A58+TIME(0,CEILING(indirect(""L""&amp;row()),5),0))"),0.3645833333333335)</f>
        <v>0.3645833333</v>
      </c>
      <c r="C58" s="37"/>
      <c r="D58" s="64" t="str">
        <f t="shared" si="7"/>
        <v>Stora salen</v>
      </c>
      <c r="E58" s="64" t="str">
        <f>IFERROR(__xludf.DUMMYFUNCTION("IFS(COUNTIF(Info!$A$22:A84,C58)&gt;0,"""",
AND(OR(""3x3 FMC""=C58,""3x3 MBLD""=C58),COUNTIF($C$7:indirect(""C""&amp;row()),indirect(""C""&amp;row()))&gt;=13),""E - Error"",
AND(OR(""3x3 FMC""=C58,""3x3 MBLD""=C58),COUNTIF($C$7:indirect(""C""&amp;row()),indirect(""C""&amp;row()"&amp;"))=12),""Final - A3"",
AND(OR(""3x3 FMC""=C58,""3x3 MBLD""=C58),COUNTIF($C$7:indirect(""C""&amp;row()),indirect(""C""&amp;row()))=11),""Final - A2"",
AND(OR(""3x3 FMC""=C58,""3x3 MBLD""=C58),COUNTIF($C$7:indirect(""C""&amp;row()),indirect(""C""&amp;row()))=10),""Final - "&amp;"A1"",
AND(OR(""3x3 FMC""=C58,""3x3 MBLD""=C58),COUNTIF($C$7:indirect(""C""&amp;row()),indirect(""C""&amp;row()))=9,
COUNTIF($C$7:$C$102,indirect(""C""&amp;row()))&gt;9),""R3 - A3"",
AND(OR(""3x3 FMC""=C58,""3x3 MBLD""=C58),COUNTIF($C$7:indirect(""C""&amp;row()),indirect(""C"&amp;"""&amp;row()))=9,
COUNTIF($C$7:$C$102,indirect(""C""&amp;row()))&lt;=9),""Final - A3"",
AND(OR(""3x3 FMC""=C58,""3x3 MBLD""=C58),COUNTIF($C$7:indirect(""C""&amp;row()),indirect(""C""&amp;row()))=8,
COUNTIF($C$7:$C$102,indirect(""C""&amp;row()))&gt;9),""R3 - A2"",
AND(OR(""3x3 FMC"&amp;"""=C58,""3x3 MBLD""=C58),COUNTIF($C$7:indirect(""C""&amp;row()),indirect(""C""&amp;row()))=8,
COUNTIF($C$7:$C$102,indirect(""C""&amp;row()))&lt;=9),""Final - A2"",
AND(OR(""3x3 FMC""=C58,""3x3 MBLD""=C58),COUNTIF($C$7:indirect(""C""&amp;row()),indirect(""C""&amp;row()))=7,
COUN"&amp;"TIF($C$7:$C$102,indirect(""C""&amp;row()))&gt;9),""R3 - A1"",
AND(OR(""3x3 FMC""=C58,""3x3 MBLD""=C58),COUNTIF($C$7:indirect(""C""&amp;row()),indirect(""C""&amp;row()))=7,
COUNTIF($C$7:$C$102,indirect(""C""&amp;row()))&lt;=9),""Final - A1"",
AND(OR(""3x3 FMC""=C58,""3x3 MBLD"""&amp;"=C58),COUNTIF($C$7:indirect(""C""&amp;row()),indirect(""C""&amp;row()))=6,
COUNTIF($C$7:$C$102,indirect(""C""&amp;row()))&gt;6),""R2 - A3"",
AND(OR(""3x3 FMC""=C58,""3x3 MBLD""=C58),COUNTIF($C$7:indirect(""C""&amp;row()),indirect(""C""&amp;row()))=6,
COUNTIF($C$7:$C$102,indirec"&amp;"t(""C""&amp;row()))&lt;=6),""Final - A3"",
AND(OR(""3x3 FMC""=C58,""3x3 MBLD""=C58),COUNTIF($C$7:indirect(""C""&amp;row()),indirect(""C""&amp;row()))=5,
COUNTIF($C$7:$C$102,indirect(""C""&amp;row()))&gt;6),""R2 - A2"",
AND(OR(""3x3 FMC""=C58,""3x3 MBLD""=C58),COUNTIF($C$7:indi"&amp;"rect(""C""&amp;row()),indirect(""C""&amp;row()))=5,
COUNTIF($C$7:$C$102,indirect(""C""&amp;row()))&lt;=6),""Final - A2"",
AND(OR(""3x3 FMC""=C58,""3x3 MBLD""=C58),COUNTIF($C$7:indirect(""C""&amp;row()),indirect(""C""&amp;row()))=4,
COUNTIF($C$7:$C$102,indirect(""C""&amp;row()))&gt;6),"&amp;"""R2 - A1"",
AND(OR(""3x3 FMC""=C58,""3x3 MBLD""=C58),COUNTIF($C$7:indirect(""C""&amp;row()),indirect(""C""&amp;row()))=4,
COUNTIF($C$7:$C$102,indirect(""C""&amp;row()))&lt;=6),""Final - A1"",
AND(OR(""3x3 FMC""=C58,""3x3 MBLD""=C58),COUNTIF($C$7:indirect(""C""&amp;row()),i"&amp;"ndirect(""C""&amp;row()))=3),""R1 - A3"",
AND(OR(""3x3 FMC""=C58,""3x3 MBLD""=C58),COUNTIF($C$7:indirect(""C""&amp;row()),indirect(""C""&amp;row()))=2),""R1 - A2"",
AND(OR(""3x3 FMC""=C58,""3x3 MBLD""=C58),COUNTIF($C$7:indirect(""C""&amp;row()),indirect(""C""&amp;row()))=1),"&amp;"""R1 -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84, Info!$A$2:A84 = C58),ROUNDUP((FILTER(Info!$H$2:H84,Info!$A$2:A84=C58)/FILTER(Info!$H$2:H84,Info!$A$2:A84=$K$2))*$I$2)&gt;99),3,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84, Info!$A$2:A84 = C58),ROUNDUP((FILTER(Info!$H$2:H84,Info!$A$2:A84=C58)/FILTER(Info!$H$2:H84,Info!$A$2:A84=$K$2))*$I$2)&gt;15),2,
AND(COUNTIF($C$7:indirect(""C""&amp;row()),indirect(""C""&amp;row()))=2,COUNTIF($C$7:$C$102,indirect(""C""&amp;row()))=COUNTIF($"&amp;"C$7:indirect(""C""&amp;row()),indirect(""C""&amp;row()))),""Final"",
COUNTIF($C$7:indirect(""C""&amp;row()),indirect(""C""&amp;row()))=1,1,
COUNTIF($C$7:indirect(""C""&amp;row()),indirect(""C""&amp;row()))=0,"""")"),"")</f>
        <v/>
      </c>
      <c r="F58" s="64" t="str">
        <f>IFERROR(__xludf.DUMMYFUNCTION("IFS(C58="""","""",
AND(C58=""3x3 FMC"",MOD(COUNTIF($C$7:indirect(""C""&amp;row()),indirect(""C""&amp;row())),3)=0),""Mean of 3"",
AND(C58=""3x3 MBLD"",MOD(COUNTIF($C$7:indirect(""C""&amp;row()),indirect(""C""&amp;row())),3)=0),""Best of 3"",
AND(C58=""3x3 FMC"",MOD(COUNT"&amp;"IF($C$7:indirect(""C""&amp;row()),indirect(""C""&amp;row())),3)=2,
COUNTIF($C$7:$C$102,indirect(""C""&amp;row()))&lt;=COUNTIF($C$7:indirect(""C""&amp;row()),indirect(""C""&amp;row()))),""Best of 2"",
AND(C58=""3x3 FMC"",MOD(COUNTIF($C$7:indirect(""C""&amp;row()),indirect(""C""&amp;row("&amp;"))),3)=2,
COUNTIF($C$7:$C$102,indirect(""C""&amp;row()))&gt;COUNTIF($C$7:indirect(""C""&amp;row()),indirect(""C""&amp;row()))),""Mean of 3"",
AND(C58=""3x3 MBLD"",MOD(COUNTIF($C$7:indirect(""C""&amp;row()),indirect(""C""&amp;row())),3)=2,
COUNTIF($C$7:$C$102,indirect(""C""&amp;row("&amp;")))&lt;=COUNTIF($C$7:indirect(""C""&amp;row()),indirect(""C""&amp;row()))),""Best of 2"",
AND(C58=""3x3 MBLD"",MOD(COUNTIF($C$7:indirect(""C""&amp;row()),indirect(""C""&amp;row())),3)=2,
COUNTIF($C$7:$C$102,indirect(""C""&amp;row()))&gt;COUNTIF($C$7:indirect(""C""&amp;row()),indirect("&amp;"""C""&amp;row()))),""Best of 3"",
AND(C58=""3x3 FMC"",MOD(COUNTIF($C$7:indirect(""C""&amp;row()),indirect(""C""&amp;row())),3)=1,
COUNTIF($C$7:$C$102,indirect(""C""&amp;row()))&lt;=COUNTIF($C$7:indirect(""C""&amp;row()),indirect(""C""&amp;row()))),""Best of 1"",
AND(C58=""3x3 FMC"""&amp;",MOD(COUNTIF($C$7:indirect(""C""&amp;row()),indirect(""C""&amp;row())),3)=1,
COUNTIF($C$7:$C$102,indirect(""C""&amp;row()))=COUNTIF($C$7:indirect(""C""&amp;row()),indirect(""C""&amp;row()))+1),""Best of 2"",
AND(C58=""3x3 FMC"",MOD(COUNTIF($C$7:indirect(""C""&amp;row()),indirect"&amp;"(""C""&amp;row())),3)=1,
COUNTIF($C$7:$C$102,indirect(""C""&amp;row()))&gt;COUNTIF($C$7:indirect(""C""&amp;row()),indirect(""C""&amp;row()))),""Mean of 3"",
AND(C58=""3x3 MBLD"",MOD(COUNTIF($C$7:indirect(""C""&amp;row()),indirect(""C""&amp;row())),3)=1,
COUNTIF($C$7:$C$102,indirect"&amp;"(""C""&amp;row()))&lt;=COUNTIF($C$7:indirect(""C""&amp;row()),indirect(""C""&amp;row()))),""Best of 1"",
AND(C58=""3x3 MBLD"",MOD(COUNTIF($C$7:indirect(""C""&amp;row()),indirect(""C""&amp;row())),3)=1,
COUNTIF($C$7:$C$102,indirect(""C""&amp;row()))=COUNTIF($C$7:indirect(""C""&amp;row()"&amp;"),indirect(""C""&amp;row()))+1),""Best of 2"",
AND(C58=""3x3 MBLD"",MOD(COUNTIF($C$7:indirect(""C""&amp;row()),indirect(""C""&amp;row())),3)=1,
COUNTIF($C$7:$C$102,indirect(""C""&amp;row()))&gt;COUNTIF($C$7:indirect(""C""&amp;row()),indirect(""C""&amp;row()))),""Best of 3"",
TRUE,("&amp;"IFERROR(FILTER(Info!$D$2:D84, Info!$A$2:A84 = C58), """")))"),"")</f>
        <v/>
      </c>
      <c r="G58" s="64" t="str">
        <f>IFERROR(__xludf.DUMMYFUNCTION("IFS(OR(COUNTIF(Info!$A$22:A84,C58)&gt;0,C58=""""),"""",
OR(""3x3 MBLD""=C58,""3x3 FMC""=C58),60,
AND(E58=1,FILTER(Info!$F$2:F84, Info!$A$2:A84 = C58) = ""No""),FILTER(Info!$P$2:P84, Info!$A$2:A84 = C58),
AND(E58=2,FILTER(Info!$F$2:F84, Info!$A$2:A84 = C58) ="&amp;" ""No""),FILTER(Info!$Q$2:Q84, Info!$A$2:A84 = C58),
AND(E58=3,FILTER(Info!$F$2:F84, Info!$A$2:A84 = C58) = ""No""),FILTER(Info!$R$2:R84, Info!$A$2:A84 = C58),
AND(E58=""Final"",FILTER(Info!$F$2:F84, Info!$A$2:A84 = C58) = ""No""),FILTER(Info!$S$2:S84, In"&amp;"fo!$A$2:A84 = C58),
FILTER(Info!$F$2:F84, Info!$A$2:A84 = C58) = ""Yes"","""")"),"")</f>
        <v/>
      </c>
      <c r="H58" s="64" t="str">
        <f>IFERROR(__xludf.DUMMYFUNCTION("IFS(OR(COUNTIF(Info!$A$22:A84,C58)&gt;0,C58=""""),"""",
OR(""3x3 MBLD""=C58,""3x3 FMC""=C58)=TRUE,"""",
FILTER(Info!$F$2:F84, Info!$A$2:A84 = C58) = ""Yes"",FILTER(Info!$O$2:O84, Info!$A$2:A84 = C58),
FILTER(Info!$F$2:F84, Info!$A$2:A84 = C58) = ""No"",IF(G5"&amp;"8="""",FILTER(Info!$O$2:O84, Info!$A$2:A84 = C58),""""))"),"")</f>
        <v/>
      </c>
      <c r="I58" s="64" t="str">
        <f>IFERROR(__xludf.DUMMYFUNCTION("IFS(OR(COUNTIF(Info!$A$22:A84,C58)&gt;0,C58="""",H58&lt;&gt;""""),"""",
AND(E58&lt;&gt;1,E58&lt;&gt;""R1 - A1"",E58&lt;&gt;""R1 - A2"",E58&lt;&gt;""R1 - A3""),"""",
FILTER(Info!$E$2:E84, Info!$A$2:A84 = C58) = ""Yes"",IF(H58="""",FILTER(Info!$L$2:L84, Info!$A$2:A84 = C58),""""),
FILTER(I"&amp;"nfo!$E$2:E84, Info!$A$2:A84 = C58) = ""No"","""")"),"")</f>
        <v/>
      </c>
      <c r="J58" s="64" t="str">
        <f>IFERROR(__xludf.DUMMYFUNCTION("IFS(OR(COUNTIF(Info!$A$22:A84,C58)&gt;0,C58="""",""3x3 MBLD""=C58,""3x3 FMC""=C58),"""",
AND(E58=1,FILTER(Info!$H$2:H84,Info!$A$2:A84 = C58)&lt;=FILTER(Info!$H$2:H84,Info!$A$2:A84=$K$2)),
ROUNDUP((FILTER(Info!$H$2:H84,Info!$A$2:A84 = C58)/FILTER(Info!$H$2:H84,I"&amp;"nfo!$A$2:A84=$K$2))*$I$2),
AND(E58=1,FILTER(Info!$H$2:H84,Info!$A$2:A84 = C58)&gt;FILTER(Info!$H$2:H84,Info!$A$2:A84=$K$2)),""K2 - Error"",
AND(E58=2,FILTER($J$7:indirect(""J""&amp;row()-1),$C$7:indirect(""C""&amp;row()-1)=C58)&lt;=7),""J - Error"",
E58=2,FLOOR(FILTER("&amp;"$J$7:indirect(""J""&amp;row()-1),$C$7:indirect(""C""&amp;row()-1)=C58)*Info!$T$32),
AND(E58=3,FILTER($J$7:indirect(""J""&amp;row()-1),$C$7:indirect(""C""&amp;row()-1)=C58)&lt;=15),""J - Error"",
E58=3,FLOOR(Info!$T$32*FLOOR(FILTER($J$7:indirect(""J""&amp;row()-1),$C$7:indirect("&amp;"""C""&amp;row()-1)=C58)*Info!$T$32)),
AND(E58=""Final"",COUNTIF($C$7:$C$102,C58)=2,FILTER($J$7:indirect(""J""&amp;row()-1),$C$7:indirect(""C""&amp;row()-1)=C58)&lt;=7),""J - Error"",
AND(E58=""Final"",COUNTIF($C$7:$C$102,C58)=2),
MIN(P58,FLOOR(FILTER($J$7:indirect(""J"""&amp;"&amp;row()-1),$C$7:indirect(""C""&amp;row()-1)=C58)*Info!$T$32)),
AND(E58=""Final"",COUNTIF($C$7:$C$102,C58)=3,FILTER($J$7:indirect(""J""&amp;row()-1),$C$7:indirect(""C""&amp;row()-1)=C58)&lt;=15),""J - Error"",
AND(E58=""Final"",COUNTIF($C$7:$C$102,C58)=3),
MIN(P58,FLOOR(I"&amp;"nfo!$T$32*FLOOR(FILTER($J$7:indirect(""J""&amp;row()-1),$C$7:indirect(""C""&amp;row()-1)=C58)*Info!$T$32))),
AND(E58=""Final"",COUNTIF($C$7:$C$102,C58)&gt;=4,FILTER($J$7:indirect(""J""&amp;row()-1),$C$7:indirect(""C""&amp;row()-1)=C58)&lt;=99),""J - Error"",
AND(E58=""Final"","&amp;"COUNTIF($C$7:$C$102,C58)&gt;=4),
MIN(P58,FLOOR(Info!$T$32*FLOOR(Info!$T$32*FLOOR(FILTER($J$7:indirect(""J""&amp;row()-1),$C$7:indirect(""C""&amp;row()-1)=C58)*Info!$T$32)))))"),"")</f>
        <v/>
      </c>
      <c r="K58" s="41" t="str">
        <f>IFERROR(__xludf.DUMMYFUNCTION("IFS(AND(indirect(""D""&amp;row()+2)&lt;&gt;$E$2,indirect(""D""&amp;row()+1)=""""),CONCATENATE(""Tom rad! Kopiera hela rad ""&amp;row()&amp;"" dit""),
AND(indirect(""D""&amp;row()-1)&lt;&gt;""Rum"",indirect(""D""&amp;row()-1)=""""),CONCATENATE(""Tom rad! Kopiera hela rad ""&amp;row()&amp;"" dit""),
"&amp;"C58="""","""",
COUNTIF(Info!$A$22:A84,$K$2)&gt;0,""Det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OR(AND(D58&lt;&gt;$E$2,D58&lt;&gt;$E$4,D58&lt;&gt;$K$4,D58&lt;&gt;$Q$4),D58="&amp;"""""),CONCATENATE(""Rum: ""&amp;D58&amp;"" finns ej, byt i D""&amp;row()),
AND(indirect(""D""&amp;row()-1)=""Rum"",C58=""""),CONCATENATE(""För att börja: skriv i cell C""&amp;row()),
AND(C58=""Paus"",M58&lt;=0),CONCATENATE(""Skriv pausens längd i M""&amp;row()),
OR(COUNTIF(Info!$A$"&amp;"22:A84,C58)&gt;0,C58=""""),"""",
AND(D58&lt;&gt;$E$2,$O$2=""Yes"",A58=""=time(hh;mm;ss)""),CONCATENATE(""Skriv starttid för ""&amp;C58&amp;"" i A""&amp;row()),
E58=""E - Error"",CONCATENATE(""För många ""&amp;C58&amp;"" rundor!""),
AND(C58&lt;&gt;""3x3 FMC"",C58&lt;&gt;""3x3 MBLD"",E58&lt;&gt;1,E58&lt;&gt;"&amp;"""Final"",IFERROR(FILTER($E$7:indirect(""E""&amp;row()-1),
$E$7:indirect(""E""&amp;row()-1)=E58-1,$C$7:indirect(""C""&amp;row()-1)=C58))=FALSE),CONCATENATE(""Kan ej vara R""&amp;E58&amp;"", saknar R""&amp;(E58-1)),
AND(indirect(""E""&amp;row()-1)&lt;&gt;""Omgång"",IFERROR(FILTER($E$7:indi"&amp;"rect(""E""&amp;row()-1),
$E$7:indirect(""E""&amp;row()-1)=E58,$C$7:indirect(""C""&amp;row()-1)=C58)=E58)=TRUE),CONCATENATE(""Runda ""&amp;E58&amp;"" i ""&amp;C58&amp;"" finns redan""),
AND(C58&lt;&gt;""3x3 BLD"",C58&lt;&gt;""4x4 BLD"",C58&lt;&gt;""5x5 BLD"",C58&lt;&gt;""4x4 / 5x5 BLD"",OR(E58=2,E58=3,E58="&amp;"""Final""),H58&lt;&gt;""""),CONCATENATE(E58&amp;""-rundor brukar ej ha c.t.l.""),
AND(OR(E58=2,E58=3,E58=""Final""),I58&lt;&gt;""""),CONCATENATE(E58&amp;""-rundor brukar ej ha cutoff""),
AND(OR(C58=""3x3 FMC"",C58=""3x3 MBLD""),OR(E58=1,E58=2,E58=3,E58=""Final"")),CONCATENAT"&amp;"E(C58&amp;""s omgång är Rx - Ax""),
AND(C58&lt;&gt;""3x3 MBLD"",C58&lt;&gt;""3x3 FMC"",FILTER(Info!$D$2:D84, Info!$A$2:A84 = C58)&lt;&gt;F58),CONCATENATE(C58&amp;"" måste ha formatet ""&amp;FILTER(Info!$D$2:D84, Info!$A$2:A84 = C58)),
AND(C58=""3x3 MBLD"",OR(F58=""Avg of 5"",F58=""Mea"&amp;"n of 3"")),CONCATENATE(""Ogiltigt format för ""&amp;C58),
AND(C58=""3x3 FMC"",OR(F58=""Avg of 5"",F58=""Best of 3"")),CONCATENATE(""Ogiltigt format för ""&amp;C58),
AND(OR(F58=""Best of 1"",F58=""Best of 2"",F58=""Best of 3""),I58&lt;&gt;""""),CONCATENATE(F58&amp;""-rundor"&amp;" får ej ha cutoff""),
AND(OR(C58=""3x3 FMC"",C58=""3x3 MBLD""),G58&lt;&gt;60),CONCATENATE(C58&amp;"" måste ha time limit: 60""),
AND(OR(C58=""3x3 FMC"",C58=""3x3 MBLD""),H58&lt;&gt;""""),CONCATENATE(C58&amp;"" kan inte ha c.t.l.""),
AND(G58&lt;&gt;"""",H58&lt;&gt;""""),""Välj time limit"&amp;" ELLER c.t.l"",
AND(C58=""6x6 / 7x7"",G58="""",H58=""""),""Sätt time limit (x / y) eller c.t.l (z)"",
AND(G58="""",H58=""""),""Sätt en time limit eller c.t.l"",
AND(OR(C58=""6x6 / 7x7"",C58=""4x4 / 5x5 BLD""),G58&lt;&gt;"""",REGEXMATCH(TO_TEXT(G58),"" / "")=FAL"&amp;"SE),CONCATENATE(""Time limit måste vara x / y""),
AND(H58&lt;&gt;"""",I58&lt;&gt;""""),CONCATENATE(C58&amp;"" brukar ej ha cutoff OCH c.t.l""),
AND(E58=1,H58="""",I58="""",OR(FILTER(Info!$E$2:E84, Info!$A$2:A84 = C58) = ""Yes"",FILTER(Info!$F$2:F84, Info!$A$2:A84 = C58) "&amp;"= ""Yes""),OR(F58=""Avg of 5"",F58=""Mean of 3"")),CONCATENATE(C58&amp;"" bör ha cutoff eller c.t.l""),
AND(C58=""6x6 / 7x7"",I58&lt;&gt;"""",REGEXMATCH(TO_TEXT(I58),"" / "")=FALSE),CONCATENATE(""Cutoff måste vara x / y""),
AND(H58&lt;&gt;"""",ISNUMBER(H58)=FALSE),""C.t."&amp;"l. måste vara positivt tal (x)"",
AND(C58&lt;&gt;""6x6 / 7x7"",I58&lt;&gt;"""",ISNUMBER(I58)=FALSE),""Cutoff måste vara positivt tal (x)"",
AND(H58&lt;&gt;"""",FILTER(Info!$E$2:E84, Info!$A$2:A84 = C58) = ""No"",FILTER(Info!$F$2:F84, Info!$A$2:A84 = C58) = ""No""),CONCATEN"&amp;"ATE(C58&amp;"" brukar inte ha c.t.l.""),
AND(I58&lt;&gt;"""",FILTER(Info!$E$2:E84, Info!$A$2:A84 = C58) = ""No"",FILTER(Info!$F$2:F84, Info!$A$2:A84 = C58) = ""No""),CONCATENATE(C58&amp;"" brukar inte ha cutoff""),
AND(H58="""",FILTER(Info!$F$2:F84, Info!$A$2:A84 = C58"&amp;") = ""Yes""),CONCATENATE(C58&amp;"" brukar ha c.t.l.""),
AND(C58&lt;&gt;""6x6 / 7x7"",C58&lt;&gt;""4x4 / 5x5 BLD"",G58&lt;&gt;"""",ISNUMBER(G58)=FALSE),""Time limit måste vara positivt tal (x)"",
J58=""J - Error"",CONCATENATE(""För få deltagare i R1 för ""&amp;COUNTIF($C$7:$C$102,"&amp;"indirect(""C""&amp;row()))&amp;"" rundor""),
J58=""K2 - Error"",CONCATENATE(C58&amp;"" är mer populär - byt i K2!""),
AND(C58&lt;&gt;""6x6 / 7x7"",C58&lt;&gt;""4x4 / 5x5 BLD"",G58&lt;&gt;"""",I58&lt;&gt;"""",G58&lt;=I58),""Time limit måste vara &gt; cutoff"",
AND(C58&lt;&gt;""6x6 / 7x7"",C58&lt;&gt;""4x4 / 5"&amp;"x5 BLD"",H58&lt;&gt;"""",I58&lt;&gt;"""",H58&lt;=I58),""C.t.l. måste vara &gt; cutoff"",
AND(C58&lt;&gt;""3x3 FMC"",C58&lt;&gt;""3x3 MBLD"",J58=""""),CONCATENATE(""Fyll i antal deltagare i J""&amp;row()),
AND(C58="""",OR(E58&lt;&gt;"""",F58&lt;&gt;"""",G58&lt;&gt;"""",H58&lt;&gt;"""",I58&lt;&gt;"""",J58&lt;&gt;"""")),""Skri"&amp;"v ALLTID gren / aktivitet först"",
AND(I58="""",H58="""",J58&lt;&gt;""""),J58,
OR(""3x3 FMC""=C58,""3x3 MBLD""=C58),J58,
AND(I58&lt;&gt;"""",""6x6 / 7x7""=C58),
IFS(ArrayFormula(SUM(IFERROR(SPLIT(I58,"" / ""))))&lt;(Info!$J$6+Info!$J$7)*2/3,CONCATENATE(""Höj helst cutof"&amp;"fs i ""&amp;C58),
ArrayFormula(SUM(IFERROR(SPLIT(I58,"" / ""))))&lt;=(Info!$J$6+Info!$J$7),ROUNDUP(J58*Info!$J$22),
ArrayFormula(SUM(IFERROR(SPLIT(I58,"" / ""))))&lt;=Info!$J$6+Info!$J$7,ROUNDUP(J58*Info!$K$22),
ArrayFormula(SUM(IFERROR(SPLIT(I58,"" / ""))))&lt;=Info!"&amp;"$K$6+Info!$K$7,ROUNDUP(J58*Info!L$22),
ArrayFormula(SUM(IFERROR(SPLIT(I58,"" / ""))))&lt;=Info!$L$6+Info!$L$7,ROUNDUP(J58*Info!$M$22),
ArrayFormula(SUM(IFERROR(SPLIT(I58,"" / ""))))&lt;=Info!$M$6+Info!$M$7,ROUNDUP(J58*Info!$N$22),
ArrayFormula(SUM(IFERROR(SPLIT"&amp;"(I58,"" / ""))))&lt;=(Info!$N$6+Info!$N$7)*3/2,ROUNDUP(J58*Info!$J$26),
ArrayFormula(SUM(IFERROR(SPLIT(I58,"" / ""))))&gt;(Info!$N$6+Info!$N$7)*3/2,CONCATENATE(""Sänk helst cutoffs i ""&amp;C58)),
AND(I58&lt;&gt;"""",FILTER(Info!$E$2:E84, Info!$A$2:A84 = C58) = ""Yes""),"&amp;"
IFS(I58&lt;FILTER(Info!$J$2:J84, Info!$A$2:A84 = C58)*2/3,CONCATENATE(""Höj helst cutoff i ""&amp;C58),
I58&lt;=FILTER(Info!$J$2:J84, Info!$A$2:A84 = C58),ROUNDUP(J58*Info!$J$22),
I58&lt;=FILTER(Info!$K$2:K84, Info!$A$2:A84 = C58),ROUNDUP(J58*Info!$K$22),
I58&lt;=FILTER"&amp;"(Info!$L$2:L84, Info!$A$2:A84 = C58),ROUNDUP(J58*Info!L$22),
I58&lt;=FILTER(Info!$M$2:M84, Info!$A$2:A84 = C58),ROUNDUP(J58*Info!$M$22),
I58&lt;=FILTER(Info!$N$2:N84, Info!$A$2:A84 = C58),ROUNDUP(J58*Info!$N$22),
I58&lt;=FILTER(Info!$N$2:N84, Info!$A$2:A84 = C58)*"&amp;"3/2,ROUNDUP(J58*Info!$J$26),
I58&gt;FILTER(Info!$N$2:N84, Info!$A$2:A84 = C58)*3/2,CONCATENATE(""Sänk helst cutoff i ""&amp;C58)),
AND(H58&lt;&gt;"""",""6x6 / 7x7""=C58),
IFS(H58/3&lt;=(Info!$J$6+Info!$J$7)*2/3,""Höj helst cumulative time limit"",
H58/3&lt;=Info!$J$6+Info!$"&amp;"J$7,ROUNDUP(J58*Info!$J$24),
H58/3&lt;=Info!$K$6+Info!$K$7,ROUNDUP(J58*Info!$K$24),
H58/3&lt;=Info!$L$6+Info!$L$7,ROUNDUP(J58*Info!L$24),
H58/3&lt;=Info!$M$6+Info!$M$7,ROUNDUP(J58*Info!$M$24),
H58/3&lt;=Info!$N$6+Info!$N$7,ROUNDUP(J58*Info!$N$24),
H58/3&lt;=(Info!$N$6+I"&amp;"nfo!$N$7)*3/2,ROUNDUP(J58*Info!$L$26),
H58/3&gt;(Info!$J$6+Info!$J$7)*3/2,""Sänk helst cumulative time limit""),
AND(H58&lt;&gt;"""",FILTER(Info!$F$2:F84, Info!$A$2:A84 = C58) = ""Yes""),
IFS(H58&lt;=FILTER(Info!$J$2:J84, Info!$A$2:A84 = C58)*2/3,CONCATENATE(""Höj he"&amp;"lst c.t.l. i ""&amp;C58),
H58&lt;=FILTER(Info!$J$2:J84, Info!$A$2:A84 = C58),ROUNDUP(J58*Info!$J$24),
H58&lt;=FILTER(Info!$K$2:K84, Info!$A$2:A84 = C58),ROUNDUP(J58*Info!$K$24),
H58&lt;=FILTER(Info!$L$2:L84, Info!$A$2:A84 = C58),ROUNDUP(J58*Info!L$24),
H58&lt;=FILTER(Inf"&amp;"o!$M$2:M84, Info!$A$2:A84 = C58),ROUNDUP(J58*Info!$M$24),
H58&lt;=FILTER(Info!$N$2:N84, Info!$A$2:A84 = C58),ROUNDUP(J58*Info!$N$24),
H58&lt;=FILTER(Info!$N$2:N84, Info!$A$2:A84 = C58)*3/2,ROUNDUP(J58*Info!$L$26),
H58&gt;FILTER(Info!$N$2:N84, Info!$A$2:A84 = C58)*"&amp;"3/2,CONCATENATE(""Sänk helst c.t.l. i ""&amp;C58)),
AND(H58&lt;&gt;"""",FILTER(Info!$F$2:F84, Info!$A$2:A84 = C58) = ""No""),
IFS(H58/AA58&lt;=FILTER(Info!$J$2:J84, Info!$A$2:A84 = C58)*2/3,CONCATENATE(""Höj helst c.t.l. i ""&amp;C58),
H58/AA58&lt;=FILTER(Info!$J$2:J84, Info"&amp;"!$A$2:A84 = C58),ROUNDUP(J58*Info!$J$24),
H58/AA58&lt;=FILTER(Info!$K$2:K84, Info!$A$2:A84 = C58),ROUNDUP(J58*Info!$K$24),
H58/AA58&lt;=FILTER(Info!$L$2:L84, Info!$A$2:A84 = C58),ROUNDUP(J58*Info!L$24),
H58/AA58&lt;=FILTER(Info!$M$2:M84, Info!$A$2:A84 = C58),ROUND"&amp;"UP(J58*Info!$M$24),
H58/AA58&lt;=FILTER(Info!$N$2:N84, Info!$A$2:A84 = C58),ROUNDUP(J58*Info!$N$24),
H58/AA58&lt;=FILTER(Info!$N$2:N84, Info!$A$2:A84 = C58)*3/2,ROUNDUP(J58*Info!$L$26),
H58/AA58&gt;FILTER(Info!$N$2:N84, Info!$A$2:A84 = C58)*3/2,CONCATENATE(""Sänk "&amp;"helst c.t.l. i ""&amp;C58)),
AND(I58="""",H58&lt;&gt;"""",J58&lt;&gt;""""),ROUNDUP(J58*Info!$T$29),
AND(I58&lt;&gt;"""",H58="""",J58&lt;&gt;""""),ROUNDUP(J58*Info!$T$26))"),"")</f>
        <v/>
      </c>
      <c r="L58" s="42">
        <f>IFERROR(__xludf.DUMMYFUNCTION("IFS(C58="""",0,
C58=""3x3 FMC"",Info!$B$9*N58+M58, C58=""3x3 MBLD"",Info!$B$18*N58+M58,
COUNTIF(Info!$A$22:A84,C58)&gt;0,FILTER(Info!$B$22:B84,Info!$A$22:A84=C58)+M58,
AND(C58&lt;&gt;"""",E58=""""),CONCATENATE(""Fyll i E""&amp;row()),
AND(C58&lt;&gt;"""",E58&lt;&gt;"""",E58&lt;&gt;1,E5"&amp;"8&lt;&gt;2,E58&lt;&gt;3,E58&lt;&gt;""Final""),CONCATENATE(""Fel format på E""&amp;row()),
K58=CONCATENATE(""Runda ""&amp;E58&amp;"" i ""&amp;C58&amp;"" finns redan""),CONCATENATE(""Fel i E""&amp;row()),
AND(C58&lt;&gt;"""",F58=""""),CONCATENATE(""Fyll i F""&amp;row()),
K58=CONCATENATE(C58&amp;"" måste ha forma"&amp;"tet ""&amp;FILTER(Info!$D$2:D84, Info!$A$2:A84 = C58)),CONCATENATE(""Fel format på F""&amp;row()),
AND(C58&lt;&gt;"""",D58=1,H58="""",FILTER(Info!$F$2:F84, Info!$A$2:A84 = C58) = ""Yes""),CONCATENATE(""Fyll i H""&amp;row()),
AND(C58&lt;&gt;"""",D58=1,I58="""",FILTER(Info!$E$2:E8"&amp;"4, Info!$A$2:A84 = C58) = ""Yes""),CONCATENATE(""Fyll i I""&amp;row()),
AND(C58&lt;&gt;"""",J58=""""),CONCATENATE(""Fyll i J""&amp;row()),
AND(C58&lt;&gt;"""",K58="""",OR(H58&lt;&gt;"""",I58&lt;&gt;"""")),CONCATENATE(""Fyll i K""&amp;row()),
AND(C58&lt;&gt;"""",K58=""""),CONCATENATE(""Skriv samma"&amp;" i K""&amp;row()&amp;"" som i J""&amp;row()),
AND(OR(C58=""4x4 BLD"",C58=""5x5 BLD"",C58=""4x4 / 5x5 BLD"")=TRUE,V58&lt;=P58),
MROUND(H58*(Info!$T$20-((Info!$T$20-1)/2)*(1-V58/P58))*(1+((J58/K58)-1)*(1-Info!$J$24))*N58+(Info!$T$11/2)+(N58*Info!$T$11)+(N58*Info!$T$14*(O5"&amp;"8-1)),0.01)+M58,
AND(OR(C58=""4x4 BLD"",C58=""5x5 BLD"",C58=""4x4 / 5x5 BLD"")=TRUE,V58&gt;P58),
MROUND((((J58*Z58+K58*(AA58-Z58))*(H58*Info!$T$20/AA58))/X58)*(1+((J58/K58)-1)*(1-Info!$J$24))*(1+(X58-Info!$T$8)/100)+(Info!$T$11/2)+(N58*Info!$T$11)+(N58*Info!"&amp;"$T$14*(O58-1)),0.01)+M58,
AND(C58=""3x3 BLD"",V58&lt;=P58),
MROUND(H58*(Info!$T$23-((Info!$T$23-1)/2)*(1-V58/P58))*(1+((J58/K58)-1)*(1-Info!$J$24))*N58+(Info!$T$11/2)+(N58*Info!$T$11)+(N58*Info!$T$14*(O58-1)),0.01)+M58,
AND(C58=""3x3 BLD"",V58&gt;P58),
MROUND(("&amp;"((J58*Z58+K58*(AA58-Z58))*(H58*Info!$T$23/AA58))/X58)*(1+((J58/K58)-1)*(1-Info!$J$24))*(1+(X58-Info!$T$8)/100)+(Info!$T$11/2)+(N58*Info!$T$11)+(N58*Info!$T$14*(O58-1)),0.01)+M58,
E58=1,MROUND((((J58*Z58+K58*(AA58-Z58))*Y58)/X58)*(1+(X58-Info!$T$8)/100)+(N"&amp;"58*Info!$T$11)+(N58*Info!$T$14*(O58-1)),0.01)+M58,
AND(E58=""Final"",N58=1,FILTER(Info!$G$2:$G$20,Info!$A$2:$A$20=C58)=""Mycket svår""),
MROUND((((J58*Z58+K58*(AA58-Z58))*(Y58*Info!$T$38))/X58)*(1+(X58-Info!$T$8)/100)+(N58*Info!$T$11)+(N58*Info!$T$14*(O58"&amp;"-1)),0.01)+M58,
AND(E58=""Final"",N58=1,FILTER(Info!$G$2:$G$20,Info!$A$2:$A$20=C58)=""Svår""),
MROUND((((J58*Z58+K58*(AA58-Z58))*(Y58*Info!$T$35))/X58)*(1+(X58-Info!$T$8)/100)+(N58*Info!$T$11)+(N58*Info!$T$14*(O58-1)),0.01)+M58,
E58=""Final"",MROUND((((J5"&amp;"8*Z58+K58*(AA58-Z58))*(Y58*Info!$T$5))/X58)*(1+(X58-Info!$T$8)/100)+(N58*Info!$T$11)+(N58*Info!$T$14*(O58-1)),0.01)+M58,
OR(E58=2,E58=3),MROUND((((J58*Z58+K58*(AA58-Z58))*(Y58*Info!$T$2))/X58)*(1+(X58-Info!$T$8)/100)+(N58*Info!$T$11)+(N58*Info!$T$14*(O58-"&amp;"1)),0.01)+M58)"),0.0)</f>
        <v>0</v>
      </c>
      <c r="M58" s="43">
        <f t="shared" si="6"/>
        <v>0</v>
      </c>
      <c r="N58" s="43" t="str">
        <f>IFS(OR(COUNTIF(Info!$A$22:A84,C58)&gt;0,C58=""),"",
OR(C58="4x4 BLD",C58="5x5 BLD",C58="3x3 MBLD",C58="3x3 FMC",C58="4x4 / 5x5 BLD"),1,
AND(E58="Final",Q58="Yes",MAX(1,ROUNDUP(J58/P58))&gt;1),MAX(2,ROUNDUP(J58/P58)),
AND(E58="Final",Q58="No",MAX(1,ROUNDUP(J58/((P58*2)+2.625-Y58*1.5)))&gt;1),MAX(2,ROUNDUP(J58/((P58*2)+2.625-Y58*1.5))),
E58="Final",1,
Q58="Yes",MAX(2,ROUNDUP(J58/P58)),
TRUE,MAX(2,ROUNDUP(J58/((P58*2)+2.625-Y58*1.5))))</f>
        <v/>
      </c>
      <c r="O58" s="43" t="str">
        <f>IFS(OR(COUNTIF(Info!$A$22:A84,C58)&gt;0,C58=""),"",
OR("3x3 MBLD"=C58,"3x3 FMC"=C58)=TRUE,"",
D58=$E$4,$G$6,D58=$K$4,$M$6,D58=$Q$4,$S$6,D58=$W$4,$Y$6,
TRUE,$S$2)</f>
        <v/>
      </c>
      <c r="P58" s="43" t="str">
        <f>IFS(OR(COUNTIF(Info!$A$22:A84,C58)&gt;0,C58=""),"",
OR("3x3 MBLD"=C58,"3x3 FMC"=C58)=TRUE,"",
D58=$E$4,$E$6,D58=$K$4,$K$6,D58=$Q$4,$Q$6,D58=$W$4,$W$6,
TRUE,$Q$2)</f>
        <v/>
      </c>
      <c r="Q58" s="44" t="str">
        <f>IFS(OR(COUNTIF(Info!$A$22:A84,C58)&gt;0,C58=""),"",
OR("3x3 MBLD"=C58,"3x3 FMC"=C58)=TRUE,"",
D58=$E$4,$I$6,D58=$K$4,$O$6,D58=$Q$4,$U$6,D58=$W$4,$AA$6,
TRUE,$U$2)</f>
        <v/>
      </c>
      <c r="R58" s="65" t="str">
        <f>IFERROR(__xludf.DUMMYFUNCTION("IF(C58="""","""",IFERROR(FILTER(Info!$B$22:B84,Info!$A$22:A84=C58)+M58,""?""))"),"")</f>
        <v/>
      </c>
      <c r="S58" s="66" t="str">
        <f>IFS(OR(COUNTIF(Info!$A$22:A84,C58)&gt;0,C58=""),"",
AND(H58="",I58=""),J58,
TRUE,"?")</f>
        <v/>
      </c>
      <c r="T58" s="65" t="str">
        <f>IFS(OR(COUNTIF(Info!$A$22:A84,C58)&gt;0,C58=""),"",
AND(L58&lt;&gt;0,OR(R58="?",R58="")),"Fyll i R-kolumnen",
OR(C58="3x3 FMC",C58="3x3 MBLD"),R58,
AND(L58&lt;&gt;0,OR(S58="?",S58="")),"Fyll i S-kolumnen",
OR(COUNTIF(Info!$A$22:A84,C58)&gt;0,C58=""),"",
TRUE,Y58*R58/L58)</f>
        <v/>
      </c>
      <c r="U58" s="65"/>
      <c r="V58" s="67" t="str">
        <f>IFS(OR(COUNTIF(Info!$A$22:A84,C58)&gt;0,C58=""),"",
OR("3x3 MBLD"=C58,"3x3 FMC"=C58)=TRUE,"",
TRUE,MROUND((J58/N58),0.01))</f>
        <v/>
      </c>
      <c r="W58" s="68" t="str">
        <f>IFS(OR(COUNTIF(Info!$A$22:A84,C58)&gt;0,C58=""),"",
TRUE,L58/N58)</f>
        <v/>
      </c>
      <c r="X58" s="67" t="str">
        <f>IFS(OR(COUNTIF(Info!$A$22:A84,C58)&gt;0,C58=""),"",
OR("3x3 MBLD"=C58,"3x3 FMC"=C58)=TRUE,"",
OR(C58="4x4 BLD",C58="5x5 BLD",C58="4x4 / 5x5 BLD",AND(C58="3x3 BLD",H58&lt;&gt;""))=TRUE,MIN(V58,P58),
TRUE,MIN(P58,V58,MROUND(((V58*2/3)+((Y58-1.625)/2)),0.01)))</f>
        <v/>
      </c>
      <c r="Y58" s="68" t="str">
        <f>IFERROR(__xludf.DUMMYFUNCTION("IFS(OR(COUNTIF(Info!$A$22:A84,C58)&gt;0,C58=""""),"""",
FILTER(Info!$F$2:F84, Info!$A$2:A84 = C58) = ""Yes"",H58/AA58,
""3x3 FMC""=C58,Info!$B$9,""3x3 MBLD""=C58,Info!$B$18,
AND(E58=1,I58="""",H58="""",Q58=""No"",G58&gt;SUMIF(Info!$A$2:A84,C58,Info!$B$2:B84)*1."&amp;"5),
MIN(SUMIF(Info!$A$2:A84,C58,Info!$B$2:B84)*1.1,SUMIF(Info!$A$2:A84,C58,Info!$B$2:B84)*(1.15-(0.15*(SUMIF(Info!$A$2:A84,C58,Info!$B$2:B84)*1.5)/G58))),
AND(E58=1,I58="""",H58="""",Q58=""Yes"",G58&gt;SUMIF(Info!$A$2:A84,C58,Info!$C$2:C84)*1.5),
MIN(SUMIF(I"&amp;"nfo!$A$2:A84,C58,Info!$C$2:C84)*1.1,SUMIF(Info!$A$2:A84,C58,Info!$C$2:C84)*(1.15-(0.15*(SUMIF(Info!$A$2:A84,C58,Info!$C$2:C84)*1.5)/G58))),
Q58=""No"",SUMIF(Info!$A$2:A84,C58,Info!$B$2:B84),
Q58=""Yes"",SUMIF(Info!$A$2:A84,C58,Info!$C$2:C84))"),"")</f>
        <v/>
      </c>
      <c r="Z58" s="67" t="str">
        <f>IFS(OR(COUNTIF(Info!$A$22:A84,C58)&gt;0,C58=""),"",
AND(OR("3x3 FMC"=C58,"3x3 MBLD"=C58),I58&lt;&gt;""),1,
AND(OR(H58&lt;&gt;"",I58&lt;&gt;""),F58="Avg of 5"),2,
F58="Avg of 5",AA58,
AND(OR(H58&lt;&gt;"",I58&lt;&gt;""),F58="Mean of 3",C58="6x6 / 7x7"),2,
AND(OR(H58&lt;&gt;"",I58&lt;&gt;""),F58="Mean of 3"),1,
F58="Mean of 3",AA58,
AND(OR(H58&lt;&gt;"",I58&lt;&gt;""),F58="Best of 3",C58="4x4 / 5x5 BLD"),2,
AND(OR(H58&lt;&gt;"",I58&lt;&gt;""),F58="Best of 3"),1,
F58="Best of 2",AA58,
F58="Best of 1",AA58)</f>
        <v/>
      </c>
      <c r="AA58" s="67" t="str">
        <f>IFS(OR(COUNTIF(Info!$A$22:A84,C58)&gt;0,C58=""),"",
AND(OR("3x3 MBLD"=C58,"3x3 FMC"=C58),F58="Best of 1"=TRUE),1,
AND(OR("3x3 MBLD"=C58,"3x3 FMC"=C58),F58="Best of 2"=TRUE),2,
AND(OR("3x3 MBLD"=C58,"3x3 FMC"=C58),OR(F58="Best of 3",F58="Mean of 3")=TRUE),3,
AND(F58="Mean of 3",C58="6x6 / 7x7"),6,
AND(F58="Best of 3",C58="4x4 / 5x5 BLD"),6,
F58="Avg of 5",5,F58="Mean of 3",3,F58="Best of 3",3,F58="Best of 2",2,F58="Best of 1",1)</f>
        <v/>
      </c>
      <c r="AB58" s="69"/>
    </row>
    <row r="59" ht="15.75" customHeight="1">
      <c r="A59" s="62">
        <f>IFERROR(__xludf.DUMMYFUNCTION("IFS(indirect(""A""&amp;row()-1)=""Start"",TIME(indirect(""A""&amp;row()-2),indirect(""B""&amp;row()-2),0),
$O$2=""No"",TIME(0,($A$6*60+$B$6)+CEILING(SUM($L$7:indirect(""L""&amp;row()-1)),5),0),
D59=$E$2,TIME(0,($A$6*60+$B$6)+CEILING(SUM(IFERROR(FILTER($L$7:indirect(""L"""&amp;"&amp;row()-1),REGEXMATCH($D$7:indirect(""D""&amp;row()-1),$E$2)),0)),5),0),
TRUE,""=time(hh;mm;ss)"")"),0.3645833333333335)</f>
        <v>0.3645833333</v>
      </c>
      <c r="B59" s="63">
        <f>IFERROR(__xludf.DUMMYFUNCTION("IFS($O$2=""No"",TIME(0,($A$6*60+$B$6)+CEILING(SUM($L$7:indirect(""L""&amp;row())),5),0),
D59=$E$2,TIME(0,($A$6*60+$B$6)+CEILING(SUM(FILTER($L$7:indirect(""L""&amp;row()),REGEXMATCH($D$7:indirect(""D""&amp;row()),$E$2))),5),0),
A59=""=time(hh;mm;ss)"",CONCATENATE(""Sk"&amp;"riv tid i A""&amp;row()),
AND(A59&lt;&gt;"""",A59&lt;&gt;""=time(hh;mm;ss)""),A59+TIME(0,CEILING(indirect(""L""&amp;row()),5),0))"),0.3645833333333335)</f>
        <v>0.3645833333</v>
      </c>
      <c r="C59" s="37"/>
      <c r="D59" s="64" t="str">
        <f t="shared" si="7"/>
        <v>Stora salen</v>
      </c>
      <c r="E59" s="64" t="str">
        <f>IFERROR(__xludf.DUMMYFUNCTION("IFS(COUNTIF(Info!$A$22:A85,C59)&gt;0,"""",
AND(OR(""3x3 FMC""=C59,""3x3 MBLD""=C59),COUNTIF($C$7:indirect(""C""&amp;row()),indirect(""C""&amp;row()))&gt;=13),""E - Error"",
AND(OR(""3x3 FMC""=C59,""3x3 MBLD""=C59),COUNTIF($C$7:indirect(""C""&amp;row()),indirect(""C""&amp;row()"&amp;"))=12),""Final - A3"",
AND(OR(""3x3 FMC""=C59,""3x3 MBLD""=C59),COUNTIF($C$7:indirect(""C""&amp;row()),indirect(""C""&amp;row()))=11),""Final - A2"",
AND(OR(""3x3 FMC""=C59,""3x3 MBLD""=C59),COUNTIF($C$7:indirect(""C""&amp;row()),indirect(""C""&amp;row()))=10),""Final - "&amp;"A1"",
AND(OR(""3x3 FMC""=C59,""3x3 MBLD""=C59),COUNTIF($C$7:indirect(""C""&amp;row()),indirect(""C""&amp;row()))=9,
COUNTIF($C$7:$C$102,indirect(""C""&amp;row()))&gt;9),""R3 - A3"",
AND(OR(""3x3 FMC""=C59,""3x3 MBLD""=C59),COUNTIF($C$7:indirect(""C""&amp;row()),indirect(""C"&amp;"""&amp;row()))=9,
COUNTIF($C$7:$C$102,indirect(""C""&amp;row()))&lt;=9),""Final - A3"",
AND(OR(""3x3 FMC""=C59,""3x3 MBLD""=C59),COUNTIF($C$7:indirect(""C""&amp;row()),indirect(""C""&amp;row()))=8,
COUNTIF($C$7:$C$102,indirect(""C""&amp;row()))&gt;9),""R3 - A2"",
AND(OR(""3x3 FMC"&amp;"""=C59,""3x3 MBLD""=C59),COUNTIF($C$7:indirect(""C""&amp;row()),indirect(""C""&amp;row()))=8,
COUNTIF($C$7:$C$102,indirect(""C""&amp;row()))&lt;=9),""Final - A2"",
AND(OR(""3x3 FMC""=C59,""3x3 MBLD""=C59),COUNTIF($C$7:indirect(""C""&amp;row()),indirect(""C""&amp;row()))=7,
COUN"&amp;"TIF($C$7:$C$102,indirect(""C""&amp;row()))&gt;9),""R3 - A1"",
AND(OR(""3x3 FMC""=C59,""3x3 MBLD""=C59),COUNTIF($C$7:indirect(""C""&amp;row()),indirect(""C""&amp;row()))=7,
COUNTIF($C$7:$C$102,indirect(""C""&amp;row()))&lt;=9),""Final - A1"",
AND(OR(""3x3 FMC""=C59,""3x3 MBLD"""&amp;"=C59),COUNTIF($C$7:indirect(""C""&amp;row()),indirect(""C""&amp;row()))=6,
COUNTIF($C$7:$C$102,indirect(""C""&amp;row()))&gt;6),""R2 - A3"",
AND(OR(""3x3 FMC""=C59,""3x3 MBLD""=C59),COUNTIF($C$7:indirect(""C""&amp;row()),indirect(""C""&amp;row()))=6,
COUNTIF($C$7:$C$102,indirec"&amp;"t(""C""&amp;row()))&lt;=6),""Final - A3"",
AND(OR(""3x3 FMC""=C59,""3x3 MBLD""=C59),COUNTIF($C$7:indirect(""C""&amp;row()),indirect(""C""&amp;row()))=5,
COUNTIF($C$7:$C$102,indirect(""C""&amp;row()))&gt;6),""R2 - A2"",
AND(OR(""3x3 FMC""=C59,""3x3 MBLD""=C59),COUNTIF($C$7:indi"&amp;"rect(""C""&amp;row()),indirect(""C""&amp;row()))=5,
COUNTIF($C$7:$C$102,indirect(""C""&amp;row()))&lt;=6),""Final - A2"",
AND(OR(""3x3 FMC""=C59,""3x3 MBLD""=C59),COUNTIF($C$7:indirect(""C""&amp;row()),indirect(""C""&amp;row()))=4,
COUNTIF($C$7:$C$102,indirect(""C""&amp;row()))&gt;6),"&amp;"""R2 - A1"",
AND(OR(""3x3 FMC""=C59,""3x3 MBLD""=C59),COUNTIF($C$7:indirect(""C""&amp;row()),indirect(""C""&amp;row()))=4,
COUNTIF($C$7:$C$102,indirect(""C""&amp;row()))&lt;=6),""Final - A1"",
AND(OR(""3x3 FMC""=C59,""3x3 MBLD""=C59),COUNTIF($C$7:indirect(""C""&amp;row()),i"&amp;"ndirect(""C""&amp;row()))=3),""R1 - A3"",
AND(OR(""3x3 FMC""=C59,""3x3 MBLD""=C59),COUNTIF($C$7:indirect(""C""&amp;row()),indirect(""C""&amp;row()))=2),""R1 - A2"",
AND(OR(""3x3 FMC""=C59,""3x3 MBLD""=C59),COUNTIF($C$7:indirect(""C""&amp;row()),indirect(""C""&amp;row()))=1),"&amp;"""R1 -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85, Info!$A$2:A85 = C59),ROUNDUP((FILTER(Info!$H$2:H85,Info!$A$2:A85=C59)/FILTER(Info!$H$2:H85,Info!$A$2:A85=$K$2))*$I$2)&gt;99),3,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85, Info!$A$2:A85 = C59),ROUNDUP((FILTER(Info!$H$2:H85,Info!$A$2:A85=C59)/FILTER(Info!$H$2:H85,Info!$A$2:A85=$K$2))*$I$2)&gt;15),2,
AND(COUNTIF($C$7:indirect(""C""&amp;row()),indirect(""C""&amp;row()))=2,COUNTIF($C$7:$C$102,indirect(""C""&amp;row()))=COUNTIF($"&amp;"C$7:indirect(""C""&amp;row()),indirect(""C""&amp;row()))),""Final"",
COUNTIF($C$7:indirect(""C""&amp;row()),indirect(""C""&amp;row()))=1,1,
COUNTIF($C$7:indirect(""C""&amp;row()),indirect(""C""&amp;row()))=0,"""")"),"")</f>
        <v/>
      </c>
      <c r="F59" s="64" t="str">
        <f>IFERROR(__xludf.DUMMYFUNCTION("IFS(C59="""","""",
AND(C59=""3x3 FMC"",MOD(COUNTIF($C$7:indirect(""C""&amp;row()),indirect(""C""&amp;row())),3)=0),""Mean of 3"",
AND(C59=""3x3 MBLD"",MOD(COUNTIF($C$7:indirect(""C""&amp;row()),indirect(""C""&amp;row())),3)=0),""Best of 3"",
AND(C59=""3x3 FMC"",MOD(COUNT"&amp;"IF($C$7:indirect(""C""&amp;row()),indirect(""C""&amp;row())),3)=2,
COUNTIF($C$7:$C$102,indirect(""C""&amp;row()))&lt;=COUNTIF($C$7:indirect(""C""&amp;row()),indirect(""C""&amp;row()))),""Best of 2"",
AND(C59=""3x3 FMC"",MOD(COUNTIF($C$7:indirect(""C""&amp;row()),indirect(""C""&amp;row("&amp;"))),3)=2,
COUNTIF($C$7:$C$102,indirect(""C""&amp;row()))&gt;COUNTIF($C$7:indirect(""C""&amp;row()),indirect(""C""&amp;row()))),""Mean of 3"",
AND(C59=""3x3 MBLD"",MOD(COUNTIF($C$7:indirect(""C""&amp;row()),indirect(""C""&amp;row())),3)=2,
COUNTIF($C$7:$C$102,indirect(""C""&amp;row("&amp;")))&lt;=COUNTIF($C$7:indirect(""C""&amp;row()),indirect(""C""&amp;row()))),""Best of 2"",
AND(C59=""3x3 MBLD"",MOD(COUNTIF($C$7:indirect(""C""&amp;row()),indirect(""C""&amp;row())),3)=2,
COUNTIF($C$7:$C$102,indirect(""C""&amp;row()))&gt;COUNTIF($C$7:indirect(""C""&amp;row()),indirect("&amp;"""C""&amp;row()))),""Best of 3"",
AND(C59=""3x3 FMC"",MOD(COUNTIF($C$7:indirect(""C""&amp;row()),indirect(""C""&amp;row())),3)=1,
COUNTIF($C$7:$C$102,indirect(""C""&amp;row()))&lt;=COUNTIF($C$7:indirect(""C""&amp;row()),indirect(""C""&amp;row()))),""Best of 1"",
AND(C59=""3x3 FMC"""&amp;",MOD(COUNTIF($C$7:indirect(""C""&amp;row()),indirect(""C""&amp;row())),3)=1,
COUNTIF($C$7:$C$102,indirect(""C""&amp;row()))=COUNTIF($C$7:indirect(""C""&amp;row()),indirect(""C""&amp;row()))+1),""Best of 2"",
AND(C59=""3x3 FMC"",MOD(COUNTIF($C$7:indirect(""C""&amp;row()),indirect"&amp;"(""C""&amp;row())),3)=1,
COUNTIF($C$7:$C$102,indirect(""C""&amp;row()))&gt;COUNTIF($C$7:indirect(""C""&amp;row()),indirect(""C""&amp;row()))),""Mean of 3"",
AND(C59=""3x3 MBLD"",MOD(COUNTIF($C$7:indirect(""C""&amp;row()),indirect(""C""&amp;row())),3)=1,
COUNTIF($C$7:$C$102,indirect"&amp;"(""C""&amp;row()))&lt;=COUNTIF($C$7:indirect(""C""&amp;row()),indirect(""C""&amp;row()))),""Best of 1"",
AND(C59=""3x3 MBLD"",MOD(COUNTIF($C$7:indirect(""C""&amp;row()),indirect(""C""&amp;row())),3)=1,
COUNTIF($C$7:$C$102,indirect(""C""&amp;row()))=COUNTIF($C$7:indirect(""C""&amp;row()"&amp;"),indirect(""C""&amp;row()))+1),""Best of 2"",
AND(C59=""3x3 MBLD"",MOD(COUNTIF($C$7:indirect(""C""&amp;row()),indirect(""C""&amp;row())),3)=1,
COUNTIF($C$7:$C$102,indirect(""C""&amp;row()))&gt;COUNTIF($C$7:indirect(""C""&amp;row()),indirect(""C""&amp;row()))),""Best of 3"",
TRUE,("&amp;"IFERROR(FILTER(Info!$D$2:D85, Info!$A$2:A85 = C59), """")))"),"")</f>
        <v/>
      </c>
      <c r="G59" s="64" t="str">
        <f>IFERROR(__xludf.DUMMYFUNCTION("IFS(OR(COUNTIF(Info!$A$22:A85,C59)&gt;0,C59=""""),"""",
OR(""3x3 MBLD""=C59,""3x3 FMC""=C59),60,
AND(E59=1,FILTER(Info!$F$2:F85, Info!$A$2:A85 = C59) = ""No""),FILTER(Info!$P$2:P85, Info!$A$2:A85 = C59),
AND(E59=2,FILTER(Info!$F$2:F85, Info!$A$2:A85 = C59) ="&amp;" ""No""),FILTER(Info!$Q$2:Q85, Info!$A$2:A85 = C59),
AND(E59=3,FILTER(Info!$F$2:F85, Info!$A$2:A85 = C59) = ""No""),FILTER(Info!$R$2:R85, Info!$A$2:A85 = C59),
AND(E59=""Final"",FILTER(Info!$F$2:F85, Info!$A$2:A85 = C59) = ""No""),FILTER(Info!$S$2:S85, In"&amp;"fo!$A$2:A85 = C59),
FILTER(Info!$F$2:F85, Info!$A$2:A85 = C59) = ""Yes"","""")"),"")</f>
        <v/>
      </c>
      <c r="H59" s="64" t="str">
        <f>IFERROR(__xludf.DUMMYFUNCTION("IFS(OR(COUNTIF(Info!$A$22:A85,C59)&gt;0,C59=""""),"""",
OR(""3x3 MBLD""=C59,""3x3 FMC""=C59)=TRUE,"""",
FILTER(Info!$F$2:F85, Info!$A$2:A85 = C59) = ""Yes"",FILTER(Info!$O$2:O85, Info!$A$2:A85 = C59),
FILTER(Info!$F$2:F85, Info!$A$2:A85 = C59) = ""No"",IF(G5"&amp;"9="""",FILTER(Info!$O$2:O85, Info!$A$2:A85 = C59),""""))"),"")</f>
        <v/>
      </c>
      <c r="I59" s="64" t="str">
        <f>IFERROR(__xludf.DUMMYFUNCTION("IFS(OR(COUNTIF(Info!$A$22:A85,C59)&gt;0,C59="""",H59&lt;&gt;""""),"""",
AND(E59&lt;&gt;1,E59&lt;&gt;""R1 - A1"",E59&lt;&gt;""R1 - A2"",E59&lt;&gt;""R1 - A3""),"""",
FILTER(Info!$E$2:E85, Info!$A$2:A85 = C59) = ""Yes"",IF(H59="""",FILTER(Info!$L$2:L85, Info!$A$2:A85 = C59),""""),
FILTER(I"&amp;"nfo!$E$2:E85, Info!$A$2:A85 = C59) = ""No"","""")"),"")</f>
        <v/>
      </c>
      <c r="J59" s="64" t="str">
        <f>IFERROR(__xludf.DUMMYFUNCTION("IFS(OR(COUNTIF(Info!$A$22:A85,C59)&gt;0,C59="""",""3x3 MBLD""=C59,""3x3 FMC""=C59),"""",
AND(E59=1,FILTER(Info!$H$2:H85,Info!$A$2:A85 = C59)&lt;=FILTER(Info!$H$2:H85,Info!$A$2:A85=$K$2)),
ROUNDUP((FILTER(Info!$H$2:H85,Info!$A$2:A85 = C59)/FILTER(Info!$H$2:H85,I"&amp;"nfo!$A$2:A85=$K$2))*$I$2),
AND(E59=1,FILTER(Info!$H$2:H85,Info!$A$2:A85 = C59)&gt;FILTER(Info!$H$2:H85,Info!$A$2:A85=$K$2)),""K2 - Error"",
AND(E59=2,FILTER($J$7:indirect(""J""&amp;row()-1),$C$7:indirect(""C""&amp;row()-1)=C59)&lt;=7),""J - Error"",
E59=2,FLOOR(FILTER("&amp;"$J$7:indirect(""J""&amp;row()-1),$C$7:indirect(""C""&amp;row()-1)=C59)*Info!$T$32),
AND(E59=3,FILTER($J$7:indirect(""J""&amp;row()-1),$C$7:indirect(""C""&amp;row()-1)=C59)&lt;=15),""J - Error"",
E59=3,FLOOR(Info!$T$32*FLOOR(FILTER($J$7:indirect(""J""&amp;row()-1),$C$7:indirect("&amp;"""C""&amp;row()-1)=C59)*Info!$T$32)),
AND(E59=""Final"",COUNTIF($C$7:$C$102,C59)=2,FILTER($J$7:indirect(""J""&amp;row()-1),$C$7:indirect(""C""&amp;row()-1)=C59)&lt;=7),""J - Error"",
AND(E59=""Final"",COUNTIF($C$7:$C$102,C59)=2),
MIN(P59,FLOOR(FILTER($J$7:indirect(""J"""&amp;"&amp;row()-1),$C$7:indirect(""C""&amp;row()-1)=C59)*Info!$T$32)),
AND(E59=""Final"",COUNTIF($C$7:$C$102,C59)=3,FILTER($J$7:indirect(""J""&amp;row()-1),$C$7:indirect(""C""&amp;row()-1)=C59)&lt;=15),""J - Error"",
AND(E59=""Final"",COUNTIF($C$7:$C$102,C59)=3),
MIN(P59,FLOOR(I"&amp;"nfo!$T$32*FLOOR(FILTER($J$7:indirect(""J""&amp;row()-1),$C$7:indirect(""C""&amp;row()-1)=C59)*Info!$T$32))),
AND(E59=""Final"",COUNTIF($C$7:$C$102,C59)&gt;=4,FILTER($J$7:indirect(""J""&amp;row()-1),$C$7:indirect(""C""&amp;row()-1)=C59)&lt;=99),""J - Error"",
AND(E59=""Final"","&amp;"COUNTIF($C$7:$C$102,C59)&gt;=4),
MIN(P59,FLOOR(Info!$T$32*FLOOR(Info!$T$32*FLOOR(FILTER($J$7:indirect(""J""&amp;row()-1),$C$7:indirect(""C""&amp;row()-1)=C59)*Info!$T$32)))))"),"")</f>
        <v/>
      </c>
      <c r="K59" s="41" t="str">
        <f>IFERROR(__xludf.DUMMYFUNCTION("IFS(AND(indirect(""D""&amp;row()+2)&lt;&gt;$E$2,indirect(""D""&amp;row()+1)=""""),CONCATENATE(""Tom rad! Kopiera hela rad ""&amp;row()&amp;"" dit""),
AND(indirect(""D""&amp;row()-1)&lt;&gt;""Rum"",indirect(""D""&amp;row()-1)=""""),CONCATENATE(""Tom rad! Kopiera hela rad ""&amp;row()&amp;"" dit""),
"&amp;"C59="""","""",
COUNTIF(Info!$A$22:A85,$K$2)&gt;0,""Det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OR(AND(D59&lt;&gt;$E$2,D59&lt;&gt;$E$4,D59&lt;&gt;$K$4,D59&lt;&gt;$Q$4),D59="&amp;"""""),CONCATENATE(""Rum: ""&amp;D59&amp;"" finns ej, byt i D""&amp;row()),
AND(indirect(""D""&amp;row()-1)=""Rum"",C59=""""),CONCATENATE(""För att börja: skriv i cell C""&amp;row()),
AND(C59=""Paus"",M59&lt;=0),CONCATENATE(""Skriv pausens längd i M""&amp;row()),
OR(COUNTIF(Info!$A$"&amp;"22:A85,C59)&gt;0,C59=""""),"""",
AND(D59&lt;&gt;$E$2,$O$2=""Yes"",A59=""=time(hh;mm;ss)""),CONCATENATE(""Skriv starttid för ""&amp;C59&amp;"" i A""&amp;row()),
E59=""E - Error"",CONCATENATE(""För många ""&amp;C59&amp;"" rundor!""),
AND(C59&lt;&gt;""3x3 FMC"",C59&lt;&gt;""3x3 MBLD"",E59&lt;&gt;1,E59&lt;&gt;"&amp;"""Final"",IFERROR(FILTER($E$7:indirect(""E""&amp;row()-1),
$E$7:indirect(""E""&amp;row()-1)=E59-1,$C$7:indirect(""C""&amp;row()-1)=C59))=FALSE),CONCATENATE(""Kan ej vara R""&amp;E59&amp;"", saknar R""&amp;(E59-1)),
AND(indirect(""E""&amp;row()-1)&lt;&gt;""Omgång"",IFERROR(FILTER($E$7:indi"&amp;"rect(""E""&amp;row()-1),
$E$7:indirect(""E""&amp;row()-1)=E59,$C$7:indirect(""C""&amp;row()-1)=C59)=E59)=TRUE),CONCATENATE(""Runda ""&amp;E59&amp;"" i ""&amp;C59&amp;"" finns redan""),
AND(C59&lt;&gt;""3x3 BLD"",C59&lt;&gt;""4x4 BLD"",C59&lt;&gt;""5x5 BLD"",C59&lt;&gt;""4x4 / 5x5 BLD"",OR(E59=2,E59=3,E59="&amp;"""Final""),H59&lt;&gt;""""),CONCATENATE(E59&amp;""-rundor brukar ej ha c.t.l.""),
AND(OR(E59=2,E59=3,E59=""Final""),I59&lt;&gt;""""),CONCATENATE(E59&amp;""-rundor brukar ej ha cutoff""),
AND(OR(C59=""3x3 FMC"",C59=""3x3 MBLD""),OR(E59=1,E59=2,E59=3,E59=""Final"")),CONCATENAT"&amp;"E(C59&amp;""s omgång är Rx - Ax""),
AND(C59&lt;&gt;""3x3 MBLD"",C59&lt;&gt;""3x3 FMC"",FILTER(Info!$D$2:D85, Info!$A$2:A85 = C59)&lt;&gt;F59),CONCATENATE(C59&amp;"" måste ha formatet ""&amp;FILTER(Info!$D$2:D85, Info!$A$2:A85 = C59)),
AND(C59=""3x3 MBLD"",OR(F59=""Avg of 5"",F59=""Mea"&amp;"n of 3"")),CONCATENATE(""Ogiltigt format för ""&amp;C59),
AND(C59=""3x3 FMC"",OR(F59=""Avg of 5"",F59=""Best of 3"")),CONCATENATE(""Ogiltigt format för ""&amp;C59),
AND(OR(F59=""Best of 1"",F59=""Best of 2"",F59=""Best of 3""),I59&lt;&gt;""""),CONCATENATE(F59&amp;""-rundor"&amp;" får ej ha cutoff""),
AND(OR(C59=""3x3 FMC"",C59=""3x3 MBLD""),G59&lt;&gt;60),CONCATENATE(C59&amp;"" måste ha time limit: 60""),
AND(OR(C59=""3x3 FMC"",C59=""3x3 MBLD""),H59&lt;&gt;""""),CONCATENATE(C59&amp;"" kan inte ha c.t.l.""),
AND(G59&lt;&gt;"""",H59&lt;&gt;""""),""Välj time limit"&amp;" ELLER c.t.l"",
AND(C59=""6x6 / 7x7"",G59="""",H59=""""),""Sätt time limit (x / y) eller c.t.l (z)"",
AND(G59="""",H59=""""),""Sätt en time limit eller c.t.l"",
AND(OR(C59=""6x6 / 7x7"",C59=""4x4 / 5x5 BLD""),G59&lt;&gt;"""",REGEXMATCH(TO_TEXT(G59),"" / "")=FAL"&amp;"SE),CONCATENATE(""Time limit måste vara x / y""),
AND(H59&lt;&gt;"""",I59&lt;&gt;""""),CONCATENATE(C59&amp;"" brukar ej ha cutoff OCH c.t.l""),
AND(E59=1,H59="""",I59="""",OR(FILTER(Info!$E$2:E85, Info!$A$2:A85 = C59) = ""Yes"",FILTER(Info!$F$2:F85, Info!$A$2:A85 = C59) "&amp;"= ""Yes""),OR(F59=""Avg of 5"",F59=""Mean of 3"")),CONCATENATE(C59&amp;"" bör ha cutoff eller c.t.l""),
AND(C59=""6x6 / 7x7"",I59&lt;&gt;"""",REGEXMATCH(TO_TEXT(I59),"" / "")=FALSE),CONCATENATE(""Cutoff måste vara x / y""),
AND(H59&lt;&gt;"""",ISNUMBER(H59)=FALSE),""C.t."&amp;"l. måste vara positivt tal (x)"",
AND(C59&lt;&gt;""6x6 / 7x7"",I59&lt;&gt;"""",ISNUMBER(I59)=FALSE),""Cutoff måste vara positivt tal (x)"",
AND(H59&lt;&gt;"""",FILTER(Info!$E$2:E85, Info!$A$2:A85 = C59) = ""No"",FILTER(Info!$F$2:F85, Info!$A$2:A85 = C59) = ""No""),CONCATEN"&amp;"ATE(C59&amp;"" brukar inte ha c.t.l.""),
AND(I59&lt;&gt;"""",FILTER(Info!$E$2:E85, Info!$A$2:A85 = C59) = ""No"",FILTER(Info!$F$2:F85, Info!$A$2:A85 = C59) = ""No""),CONCATENATE(C59&amp;"" brukar inte ha cutoff""),
AND(H59="""",FILTER(Info!$F$2:F85, Info!$A$2:A85 = C59"&amp;") = ""Yes""),CONCATENATE(C59&amp;"" brukar ha c.t.l.""),
AND(C59&lt;&gt;""6x6 / 7x7"",C59&lt;&gt;""4x4 / 5x5 BLD"",G59&lt;&gt;"""",ISNUMBER(G59)=FALSE),""Time limit måste vara positivt tal (x)"",
J59=""J - Error"",CONCATENATE(""För få deltagare i R1 för ""&amp;COUNTIF($C$7:$C$102,"&amp;"indirect(""C""&amp;row()))&amp;"" rundor""),
J59=""K2 - Error"",CONCATENATE(C59&amp;"" är mer populär - byt i K2!""),
AND(C59&lt;&gt;""6x6 / 7x7"",C59&lt;&gt;""4x4 / 5x5 BLD"",G59&lt;&gt;"""",I59&lt;&gt;"""",G59&lt;=I59),""Time limit måste vara &gt; cutoff"",
AND(C59&lt;&gt;""6x6 / 7x7"",C59&lt;&gt;""4x4 / 5"&amp;"x5 BLD"",H59&lt;&gt;"""",I59&lt;&gt;"""",H59&lt;=I59),""C.t.l. måste vara &gt; cutoff"",
AND(C59&lt;&gt;""3x3 FMC"",C59&lt;&gt;""3x3 MBLD"",J59=""""),CONCATENATE(""Fyll i antal deltagare i J""&amp;row()),
AND(C59="""",OR(E59&lt;&gt;"""",F59&lt;&gt;"""",G59&lt;&gt;"""",H59&lt;&gt;"""",I59&lt;&gt;"""",J59&lt;&gt;"""")),""Skri"&amp;"v ALLTID gren / aktivitet först"",
AND(I59="""",H59="""",J59&lt;&gt;""""),J59,
OR(""3x3 FMC""=C59,""3x3 MBLD""=C59),J59,
AND(I59&lt;&gt;"""",""6x6 / 7x7""=C59),
IFS(ArrayFormula(SUM(IFERROR(SPLIT(I59,"" / ""))))&lt;(Info!$J$6+Info!$J$7)*2/3,CONCATENATE(""Höj helst cutof"&amp;"fs i ""&amp;C59),
ArrayFormula(SUM(IFERROR(SPLIT(I59,"" / ""))))&lt;=(Info!$J$6+Info!$J$7),ROUNDUP(J59*Info!$J$22),
ArrayFormula(SUM(IFERROR(SPLIT(I59,"" / ""))))&lt;=Info!$J$6+Info!$J$7,ROUNDUP(J59*Info!$K$22),
ArrayFormula(SUM(IFERROR(SPLIT(I59,"" / ""))))&lt;=Info!"&amp;"$K$6+Info!$K$7,ROUNDUP(J59*Info!L$22),
ArrayFormula(SUM(IFERROR(SPLIT(I59,"" / ""))))&lt;=Info!$L$6+Info!$L$7,ROUNDUP(J59*Info!$M$22),
ArrayFormula(SUM(IFERROR(SPLIT(I59,"" / ""))))&lt;=Info!$M$6+Info!$M$7,ROUNDUP(J59*Info!$N$22),
ArrayFormula(SUM(IFERROR(SPLIT"&amp;"(I59,"" / ""))))&lt;=(Info!$N$6+Info!$N$7)*3/2,ROUNDUP(J59*Info!$J$26),
ArrayFormula(SUM(IFERROR(SPLIT(I59,"" / ""))))&gt;(Info!$N$6+Info!$N$7)*3/2,CONCATENATE(""Sänk helst cutoffs i ""&amp;C59)),
AND(I59&lt;&gt;"""",FILTER(Info!$E$2:E85, Info!$A$2:A85 = C59) = ""Yes""),"&amp;"
IFS(I59&lt;FILTER(Info!$J$2:J85, Info!$A$2:A85 = C59)*2/3,CONCATENATE(""Höj helst cutoff i ""&amp;C59),
I59&lt;=FILTER(Info!$J$2:J85, Info!$A$2:A85 = C59),ROUNDUP(J59*Info!$J$22),
I59&lt;=FILTER(Info!$K$2:K85, Info!$A$2:A85 = C59),ROUNDUP(J59*Info!$K$22),
I59&lt;=FILTER"&amp;"(Info!$L$2:L85, Info!$A$2:A85 = C59),ROUNDUP(J59*Info!L$22),
I59&lt;=FILTER(Info!$M$2:M85, Info!$A$2:A85 = C59),ROUNDUP(J59*Info!$M$22),
I59&lt;=FILTER(Info!$N$2:N85, Info!$A$2:A85 = C59),ROUNDUP(J59*Info!$N$22),
I59&lt;=FILTER(Info!$N$2:N85, Info!$A$2:A85 = C59)*"&amp;"3/2,ROUNDUP(J59*Info!$J$26),
I59&gt;FILTER(Info!$N$2:N85, Info!$A$2:A85 = C59)*3/2,CONCATENATE(""Sänk helst cutoff i ""&amp;C59)),
AND(H59&lt;&gt;"""",""6x6 / 7x7""=C59),
IFS(H59/3&lt;=(Info!$J$6+Info!$J$7)*2/3,""Höj helst cumulative time limit"",
H59/3&lt;=Info!$J$6+Info!$"&amp;"J$7,ROUNDUP(J59*Info!$J$24),
H59/3&lt;=Info!$K$6+Info!$K$7,ROUNDUP(J59*Info!$K$24),
H59/3&lt;=Info!$L$6+Info!$L$7,ROUNDUP(J59*Info!L$24),
H59/3&lt;=Info!$M$6+Info!$M$7,ROUNDUP(J59*Info!$M$24),
H59/3&lt;=Info!$N$6+Info!$N$7,ROUNDUP(J59*Info!$N$24),
H59/3&lt;=(Info!$N$6+I"&amp;"nfo!$N$7)*3/2,ROUNDUP(J59*Info!$L$26),
H59/3&gt;(Info!$J$6+Info!$J$7)*3/2,""Sänk helst cumulative time limit""),
AND(H59&lt;&gt;"""",FILTER(Info!$F$2:F85, Info!$A$2:A85 = C59) = ""Yes""),
IFS(H59&lt;=FILTER(Info!$J$2:J85, Info!$A$2:A85 = C59)*2/3,CONCATENATE(""Höj he"&amp;"lst c.t.l. i ""&amp;C59),
H59&lt;=FILTER(Info!$J$2:J85, Info!$A$2:A85 = C59),ROUNDUP(J59*Info!$J$24),
H59&lt;=FILTER(Info!$K$2:K85, Info!$A$2:A85 = C59),ROUNDUP(J59*Info!$K$24),
H59&lt;=FILTER(Info!$L$2:L85, Info!$A$2:A85 = C59),ROUNDUP(J59*Info!L$24),
H59&lt;=FILTER(Inf"&amp;"o!$M$2:M85, Info!$A$2:A85 = C59),ROUNDUP(J59*Info!$M$24),
H59&lt;=FILTER(Info!$N$2:N85, Info!$A$2:A85 = C59),ROUNDUP(J59*Info!$N$24),
H59&lt;=FILTER(Info!$N$2:N85, Info!$A$2:A85 = C59)*3/2,ROUNDUP(J59*Info!$L$26),
H59&gt;FILTER(Info!$N$2:N85, Info!$A$2:A85 = C59)*"&amp;"3/2,CONCATENATE(""Sänk helst c.t.l. i ""&amp;C59)),
AND(H59&lt;&gt;"""",FILTER(Info!$F$2:F85, Info!$A$2:A85 = C59) = ""No""),
IFS(H59/AA59&lt;=FILTER(Info!$J$2:J85, Info!$A$2:A85 = C59)*2/3,CONCATENATE(""Höj helst c.t.l. i ""&amp;C59),
H59/AA59&lt;=FILTER(Info!$J$2:J85, Info"&amp;"!$A$2:A85 = C59),ROUNDUP(J59*Info!$J$24),
H59/AA59&lt;=FILTER(Info!$K$2:K85, Info!$A$2:A85 = C59),ROUNDUP(J59*Info!$K$24),
H59/AA59&lt;=FILTER(Info!$L$2:L85, Info!$A$2:A85 = C59),ROUNDUP(J59*Info!L$24),
H59/AA59&lt;=FILTER(Info!$M$2:M85, Info!$A$2:A85 = C59),ROUND"&amp;"UP(J59*Info!$M$24),
H59/AA59&lt;=FILTER(Info!$N$2:N85, Info!$A$2:A85 = C59),ROUNDUP(J59*Info!$N$24),
H59/AA59&lt;=FILTER(Info!$N$2:N85, Info!$A$2:A85 = C59)*3/2,ROUNDUP(J59*Info!$L$26),
H59/AA59&gt;FILTER(Info!$N$2:N85, Info!$A$2:A85 = C59)*3/2,CONCATENATE(""Sänk "&amp;"helst c.t.l. i ""&amp;C59)),
AND(I59="""",H59&lt;&gt;"""",J59&lt;&gt;""""),ROUNDUP(J59*Info!$T$29),
AND(I59&lt;&gt;"""",H59="""",J59&lt;&gt;""""),ROUNDUP(J59*Info!$T$26))"),"")</f>
        <v/>
      </c>
      <c r="L59" s="42">
        <f>IFERROR(__xludf.DUMMYFUNCTION("IFS(C59="""",0,
C59=""3x3 FMC"",Info!$B$9*N59+M59, C59=""3x3 MBLD"",Info!$B$18*N59+M59,
COUNTIF(Info!$A$22:A85,C59)&gt;0,FILTER(Info!$B$22:B85,Info!$A$22:A85=C59)+M59,
AND(C59&lt;&gt;"""",E59=""""),CONCATENATE(""Fyll i E""&amp;row()),
AND(C59&lt;&gt;"""",E59&lt;&gt;"""",E59&lt;&gt;1,E5"&amp;"9&lt;&gt;2,E59&lt;&gt;3,E59&lt;&gt;""Final""),CONCATENATE(""Fel format på E""&amp;row()),
K59=CONCATENATE(""Runda ""&amp;E59&amp;"" i ""&amp;C59&amp;"" finns redan""),CONCATENATE(""Fel i E""&amp;row()),
AND(C59&lt;&gt;"""",F59=""""),CONCATENATE(""Fyll i F""&amp;row()),
K59=CONCATENATE(C59&amp;"" måste ha forma"&amp;"tet ""&amp;FILTER(Info!$D$2:D85, Info!$A$2:A85 = C59)),CONCATENATE(""Fel format på F""&amp;row()),
AND(C59&lt;&gt;"""",D59=1,H59="""",FILTER(Info!$F$2:F85, Info!$A$2:A85 = C59) = ""Yes""),CONCATENATE(""Fyll i H""&amp;row()),
AND(C59&lt;&gt;"""",D59=1,I59="""",FILTER(Info!$E$2:E8"&amp;"5, Info!$A$2:A85 = C59) = ""Yes""),CONCATENATE(""Fyll i I""&amp;row()),
AND(C59&lt;&gt;"""",J59=""""),CONCATENATE(""Fyll i J""&amp;row()),
AND(C59&lt;&gt;"""",K59="""",OR(H59&lt;&gt;"""",I59&lt;&gt;"""")),CONCATENATE(""Fyll i K""&amp;row()),
AND(C59&lt;&gt;"""",K59=""""),CONCATENATE(""Skriv samma"&amp;" i K""&amp;row()&amp;"" som i J""&amp;row()),
AND(OR(C59=""4x4 BLD"",C59=""5x5 BLD"",C59=""4x4 / 5x5 BLD"")=TRUE,V59&lt;=P59),
MROUND(H59*(Info!$T$20-((Info!$T$20-1)/2)*(1-V59/P59))*(1+((J59/K59)-1)*(1-Info!$J$24))*N59+(Info!$T$11/2)+(N59*Info!$T$11)+(N59*Info!$T$14*(O5"&amp;"9-1)),0.01)+M59,
AND(OR(C59=""4x4 BLD"",C59=""5x5 BLD"",C59=""4x4 / 5x5 BLD"")=TRUE,V59&gt;P59),
MROUND((((J59*Z59+K59*(AA59-Z59))*(H59*Info!$T$20/AA59))/X59)*(1+((J59/K59)-1)*(1-Info!$J$24))*(1+(X59-Info!$T$8)/100)+(Info!$T$11/2)+(N59*Info!$T$11)+(N59*Info!"&amp;"$T$14*(O59-1)),0.01)+M59,
AND(C59=""3x3 BLD"",V59&lt;=P59),
MROUND(H59*(Info!$T$23-((Info!$T$23-1)/2)*(1-V59/P59))*(1+((J59/K59)-1)*(1-Info!$J$24))*N59+(Info!$T$11/2)+(N59*Info!$T$11)+(N59*Info!$T$14*(O59-1)),0.01)+M59,
AND(C59=""3x3 BLD"",V59&gt;P59),
MROUND(("&amp;"((J59*Z59+K59*(AA59-Z59))*(H59*Info!$T$23/AA59))/X59)*(1+((J59/K59)-1)*(1-Info!$J$24))*(1+(X59-Info!$T$8)/100)+(Info!$T$11/2)+(N59*Info!$T$11)+(N59*Info!$T$14*(O59-1)),0.01)+M59,
E59=1,MROUND((((J59*Z59+K59*(AA59-Z59))*Y59)/X59)*(1+(X59-Info!$T$8)/100)+(N"&amp;"59*Info!$T$11)+(N59*Info!$T$14*(O59-1)),0.01)+M59,
AND(E59=""Final"",N59=1,FILTER(Info!$G$2:$G$20,Info!$A$2:$A$20=C59)=""Mycket svår""),
MROUND((((J59*Z59+K59*(AA59-Z59))*(Y59*Info!$T$38))/X59)*(1+(X59-Info!$T$8)/100)+(N59*Info!$T$11)+(N59*Info!$T$14*(O59"&amp;"-1)),0.01)+M59,
AND(E59=""Final"",N59=1,FILTER(Info!$G$2:$G$20,Info!$A$2:$A$20=C59)=""Svår""),
MROUND((((J59*Z59+K59*(AA59-Z59))*(Y59*Info!$T$35))/X59)*(1+(X59-Info!$T$8)/100)+(N59*Info!$T$11)+(N59*Info!$T$14*(O59-1)),0.01)+M59,
E59=""Final"",MROUND((((J5"&amp;"9*Z59+K59*(AA59-Z59))*(Y59*Info!$T$5))/X59)*(1+(X59-Info!$T$8)/100)+(N59*Info!$T$11)+(N59*Info!$T$14*(O59-1)),0.01)+M59,
OR(E59=2,E59=3),MROUND((((J59*Z59+K59*(AA59-Z59))*(Y59*Info!$T$2))/X59)*(1+(X59-Info!$T$8)/100)+(N59*Info!$T$11)+(N59*Info!$T$14*(O59-"&amp;"1)),0.01)+M59)"),0.0)</f>
        <v>0</v>
      </c>
      <c r="M59" s="43">
        <f t="shared" si="6"/>
        <v>0</v>
      </c>
      <c r="N59" s="43" t="str">
        <f>IFS(OR(COUNTIF(Info!$A$22:A85,C59)&gt;0,C59=""),"",
OR(C59="4x4 BLD",C59="5x5 BLD",C59="3x3 MBLD",C59="3x3 FMC",C59="4x4 / 5x5 BLD"),1,
AND(E59="Final",Q59="Yes",MAX(1,ROUNDUP(J59/P59))&gt;1),MAX(2,ROUNDUP(J59/P59)),
AND(E59="Final",Q59="No",MAX(1,ROUNDUP(J59/((P59*2)+2.625-Y59*1.5)))&gt;1),MAX(2,ROUNDUP(J59/((P59*2)+2.625-Y59*1.5))),
E59="Final",1,
Q59="Yes",MAX(2,ROUNDUP(J59/P59)),
TRUE,MAX(2,ROUNDUP(J59/((P59*2)+2.625-Y59*1.5))))</f>
        <v/>
      </c>
      <c r="O59" s="43" t="str">
        <f>IFS(OR(COUNTIF(Info!$A$22:A85,C59)&gt;0,C59=""),"",
OR("3x3 MBLD"=C59,"3x3 FMC"=C59)=TRUE,"",
D59=$E$4,$G$6,D59=$K$4,$M$6,D59=$Q$4,$S$6,D59=$W$4,$Y$6,
TRUE,$S$2)</f>
        <v/>
      </c>
      <c r="P59" s="43" t="str">
        <f>IFS(OR(COUNTIF(Info!$A$22:A85,C59)&gt;0,C59=""),"",
OR("3x3 MBLD"=C59,"3x3 FMC"=C59)=TRUE,"",
D59=$E$4,$E$6,D59=$K$4,$K$6,D59=$Q$4,$Q$6,D59=$W$4,$W$6,
TRUE,$Q$2)</f>
        <v/>
      </c>
      <c r="Q59" s="44" t="str">
        <f>IFS(OR(COUNTIF(Info!$A$22:A85,C59)&gt;0,C59=""),"",
OR("3x3 MBLD"=C59,"3x3 FMC"=C59)=TRUE,"",
D59=$E$4,$I$6,D59=$K$4,$O$6,D59=$Q$4,$U$6,D59=$W$4,$AA$6,
TRUE,$U$2)</f>
        <v/>
      </c>
      <c r="R59" s="65" t="str">
        <f>IFERROR(__xludf.DUMMYFUNCTION("IF(C59="""","""",IFERROR(FILTER(Info!$B$22:B85,Info!$A$22:A85=C59)+M59,""?""))"),"")</f>
        <v/>
      </c>
      <c r="S59" s="66" t="str">
        <f>IFS(OR(COUNTIF(Info!$A$22:A85,C59)&gt;0,C59=""),"",
AND(H59="",I59=""),J59,
TRUE,"?")</f>
        <v/>
      </c>
      <c r="T59" s="65" t="str">
        <f>IFS(OR(COUNTIF(Info!$A$22:A85,C59)&gt;0,C59=""),"",
AND(L59&lt;&gt;0,OR(R59="?",R59="")),"Fyll i R-kolumnen",
OR(C59="3x3 FMC",C59="3x3 MBLD"),R59,
AND(L59&lt;&gt;0,OR(S59="?",S59="")),"Fyll i S-kolumnen",
OR(COUNTIF(Info!$A$22:A85,C59)&gt;0,C59=""),"",
TRUE,Y59*R59/L59)</f>
        <v/>
      </c>
      <c r="U59" s="65"/>
      <c r="V59" s="67" t="str">
        <f>IFS(OR(COUNTIF(Info!$A$22:A85,C59)&gt;0,C59=""),"",
OR("3x3 MBLD"=C59,"3x3 FMC"=C59)=TRUE,"",
TRUE,MROUND((J59/N59),0.01))</f>
        <v/>
      </c>
      <c r="W59" s="68" t="str">
        <f>IFS(OR(COUNTIF(Info!$A$22:A85,C59)&gt;0,C59=""),"",
TRUE,L59/N59)</f>
        <v/>
      </c>
      <c r="X59" s="67" t="str">
        <f>IFS(OR(COUNTIF(Info!$A$22:A85,C59)&gt;0,C59=""),"",
OR("3x3 MBLD"=C59,"3x3 FMC"=C59)=TRUE,"",
OR(C59="4x4 BLD",C59="5x5 BLD",C59="4x4 / 5x5 BLD",AND(C59="3x3 BLD",H59&lt;&gt;""))=TRUE,MIN(V59,P59),
TRUE,MIN(P59,V59,MROUND(((V59*2/3)+((Y59-1.625)/2)),0.01)))</f>
        <v/>
      </c>
      <c r="Y59" s="68" t="str">
        <f>IFERROR(__xludf.DUMMYFUNCTION("IFS(OR(COUNTIF(Info!$A$22:A85,C59)&gt;0,C59=""""),"""",
FILTER(Info!$F$2:F85, Info!$A$2:A85 = C59) = ""Yes"",H59/AA59,
""3x3 FMC""=C59,Info!$B$9,""3x3 MBLD""=C59,Info!$B$18,
AND(E59=1,I59="""",H59="""",Q59=""No"",G59&gt;SUMIF(Info!$A$2:A85,C59,Info!$B$2:B85)*1."&amp;"5),
MIN(SUMIF(Info!$A$2:A85,C59,Info!$B$2:B85)*1.1,SUMIF(Info!$A$2:A85,C59,Info!$B$2:B85)*(1.15-(0.15*(SUMIF(Info!$A$2:A85,C59,Info!$B$2:B85)*1.5)/G59))),
AND(E59=1,I59="""",H59="""",Q59=""Yes"",G59&gt;SUMIF(Info!$A$2:A85,C59,Info!$C$2:C85)*1.5),
MIN(SUMIF(I"&amp;"nfo!$A$2:A85,C59,Info!$C$2:C85)*1.1,SUMIF(Info!$A$2:A85,C59,Info!$C$2:C85)*(1.15-(0.15*(SUMIF(Info!$A$2:A85,C59,Info!$C$2:C85)*1.5)/G59))),
Q59=""No"",SUMIF(Info!$A$2:A85,C59,Info!$B$2:B85),
Q59=""Yes"",SUMIF(Info!$A$2:A85,C59,Info!$C$2:C85))"),"")</f>
        <v/>
      </c>
      <c r="Z59" s="67" t="str">
        <f>IFS(OR(COUNTIF(Info!$A$22:A85,C59)&gt;0,C59=""),"",
AND(OR("3x3 FMC"=C59,"3x3 MBLD"=C59),I59&lt;&gt;""),1,
AND(OR(H59&lt;&gt;"",I59&lt;&gt;""),F59="Avg of 5"),2,
F59="Avg of 5",AA59,
AND(OR(H59&lt;&gt;"",I59&lt;&gt;""),F59="Mean of 3",C59="6x6 / 7x7"),2,
AND(OR(H59&lt;&gt;"",I59&lt;&gt;""),F59="Mean of 3"),1,
F59="Mean of 3",AA59,
AND(OR(H59&lt;&gt;"",I59&lt;&gt;""),F59="Best of 3",C59="4x4 / 5x5 BLD"),2,
AND(OR(H59&lt;&gt;"",I59&lt;&gt;""),F59="Best of 3"),1,
F59="Best of 2",AA59,
F59="Best of 1",AA59)</f>
        <v/>
      </c>
      <c r="AA59" s="67" t="str">
        <f>IFS(OR(COUNTIF(Info!$A$22:A85,C59)&gt;0,C59=""),"",
AND(OR("3x3 MBLD"=C59,"3x3 FMC"=C59),F59="Best of 1"=TRUE),1,
AND(OR("3x3 MBLD"=C59,"3x3 FMC"=C59),F59="Best of 2"=TRUE),2,
AND(OR("3x3 MBLD"=C59,"3x3 FMC"=C59),OR(F59="Best of 3",F59="Mean of 3")=TRUE),3,
AND(F59="Mean of 3",C59="6x6 / 7x7"),6,
AND(F59="Best of 3",C59="4x4 / 5x5 BLD"),6,
F59="Avg of 5",5,F59="Mean of 3",3,F59="Best of 3",3,F59="Best of 2",2,F59="Best of 1",1)</f>
        <v/>
      </c>
      <c r="AB59" s="69"/>
    </row>
    <row r="60" ht="15.75" customHeight="1">
      <c r="A60" s="62">
        <f>IFERROR(__xludf.DUMMYFUNCTION("IFS(indirect(""A""&amp;row()-1)=""Start"",TIME(indirect(""A""&amp;row()-2),indirect(""B""&amp;row()-2),0),
$O$2=""No"",TIME(0,($A$6*60+$B$6)+CEILING(SUM($L$7:indirect(""L""&amp;row()-1)),5),0),
D60=$E$2,TIME(0,($A$6*60+$B$6)+CEILING(SUM(IFERROR(FILTER($L$7:indirect(""L"""&amp;"&amp;row()-1),REGEXMATCH($D$7:indirect(""D""&amp;row()-1),$E$2)),0)),5),0),
TRUE,""=time(hh;mm;ss)"")"),0.3645833333333335)</f>
        <v>0.3645833333</v>
      </c>
      <c r="B60" s="63">
        <f>IFERROR(__xludf.DUMMYFUNCTION("IFS($O$2=""No"",TIME(0,($A$6*60+$B$6)+CEILING(SUM($L$7:indirect(""L""&amp;row())),5),0),
D60=$E$2,TIME(0,($A$6*60+$B$6)+CEILING(SUM(FILTER($L$7:indirect(""L""&amp;row()),REGEXMATCH($D$7:indirect(""D""&amp;row()),$E$2))),5),0),
A60=""=time(hh;mm;ss)"",CONCATENATE(""Sk"&amp;"riv tid i A""&amp;row()),
AND(A60&lt;&gt;"""",A60&lt;&gt;""=time(hh;mm;ss)""),A60+TIME(0,CEILING(indirect(""L""&amp;row()),5),0))"),0.3645833333333335)</f>
        <v>0.3645833333</v>
      </c>
      <c r="C60" s="37"/>
      <c r="D60" s="64" t="str">
        <f t="shared" si="7"/>
        <v>Stora salen</v>
      </c>
      <c r="E60" s="64" t="str">
        <f>IFERROR(__xludf.DUMMYFUNCTION("IFS(COUNTIF(Info!$A$22:A86,C60)&gt;0,"""",
AND(OR(""3x3 FMC""=C60,""3x3 MBLD""=C60),COUNTIF($C$7:indirect(""C""&amp;row()),indirect(""C""&amp;row()))&gt;=13),""E - Error"",
AND(OR(""3x3 FMC""=C60,""3x3 MBLD""=C60),COUNTIF($C$7:indirect(""C""&amp;row()),indirect(""C""&amp;row()"&amp;"))=12),""Final - A3"",
AND(OR(""3x3 FMC""=C60,""3x3 MBLD""=C60),COUNTIF($C$7:indirect(""C""&amp;row()),indirect(""C""&amp;row()))=11),""Final - A2"",
AND(OR(""3x3 FMC""=C60,""3x3 MBLD""=C60),COUNTIF($C$7:indirect(""C""&amp;row()),indirect(""C""&amp;row()))=10),""Final - "&amp;"A1"",
AND(OR(""3x3 FMC""=C60,""3x3 MBLD""=C60),COUNTIF($C$7:indirect(""C""&amp;row()),indirect(""C""&amp;row()))=9,
COUNTIF($C$7:$C$102,indirect(""C""&amp;row()))&gt;9),""R3 - A3"",
AND(OR(""3x3 FMC""=C60,""3x3 MBLD""=C60),COUNTIF($C$7:indirect(""C""&amp;row()),indirect(""C"&amp;"""&amp;row()))=9,
COUNTIF($C$7:$C$102,indirect(""C""&amp;row()))&lt;=9),""Final - A3"",
AND(OR(""3x3 FMC""=C60,""3x3 MBLD""=C60),COUNTIF($C$7:indirect(""C""&amp;row()),indirect(""C""&amp;row()))=8,
COUNTIF($C$7:$C$102,indirect(""C""&amp;row()))&gt;9),""R3 - A2"",
AND(OR(""3x3 FMC"&amp;"""=C60,""3x3 MBLD""=C60),COUNTIF($C$7:indirect(""C""&amp;row()),indirect(""C""&amp;row()))=8,
COUNTIF($C$7:$C$102,indirect(""C""&amp;row()))&lt;=9),""Final - A2"",
AND(OR(""3x3 FMC""=C60,""3x3 MBLD""=C60),COUNTIF($C$7:indirect(""C""&amp;row()),indirect(""C""&amp;row()))=7,
COUN"&amp;"TIF($C$7:$C$102,indirect(""C""&amp;row()))&gt;9),""R3 - A1"",
AND(OR(""3x3 FMC""=C60,""3x3 MBLD""=C60),COUNTIF($C$7:indirect(""C""&amp;row()),indirect(""C""&amp;row()))=7,
COUNTIF($C$7:$C$102,indirect(""C""&amp;row()))&lt;=9),""Final - A1"",
AND(OR(""3x3 FMC""=C60,""3x3 MBLD"""&amp;"=C60),COUNTIF($C$7:indirect(""C""&amp;row()),indirect(""C""&amp;row()))=6,
COUNTIF($C$7:$C$102,indirect(""C""&amp;row()))&gt;6),""R2 - A3"",
AND(OR(""3x3 FMC""=C60,""3x3 MBLD""=C60),COUNTIF($C$7:indirect(""C""&amp;row()),indirect(""C""&amp;row()))=6,
COUNTIF($C$7:$C$102,indirec"&amp;"t(""C""&amp;row()))&lt;=6),""Final - A3"",
AND(OR(""3x3 FMC""=C60,""3x3 MBLD""=C60),COUNTIF($C$7:indirect(""C""&amp;row()),indirect(""C""&amp;row()))=5,
COUNTIF($C$7:$C$102,indirect(""C""&amp;row()))&gt;6),""R2 - A2"",
AND(OR(""3x3 FMC""=C60,""3x3 MBLD""=C60),COUNTIF($C$7:indi"&amp;"rect(""C""&amp;row()),indirect(""C""&amp;row()))=5,
COUNTIF($C$7:$C$102,indirect(""C""&amp;row()))&lt;=6),""Final - A2"",
AND(OR(""3x3 FMC""=C60,""3x3 MBLD""=C60),COUNTIF($C$7:indirect(""C""&amp;row()),indirect(""C""&amp;row()))=4,
COUNTIF($C$7:$C$102,indirect(""C""&amp;row()))&gt;6),"&amp;"""R2 - A1"",
AND(OR(""3x3 FMC""=C60,""3x3 MBLD""=C60),COUNTIF($C$7:indirect(""C""&amp;row()),indirect(""C""&amp;row()))=4,
COUNTIF($C$7:$C$102,indirect(""C""&amp;row()))&lt;=6),""Final - A1"",
AND(OR(""3x3 FMC""=C60,""3x3 MBLD""=C60),COUNTIF($C$7:indirect(""C""&amp;row()),i"&amp;"ndirect(""C""&amp;row()))=3),""R1 - A3"",
AND(OR(""3x3 FMC""=C60,""3x3 MBLD""=C60),COUNTIF($C$7:indirect(""C""&amp;row()),indirect(""C""&amp;row()))=2),""R1 - A2"",
AND(OR(""3x3 FMC""=C60,""3x3 MBLD""=C60),COUNTIF($C$7:indirect(""C""&amp;row()),indirect(""C""&amp;row()))=1),"&amp;"""R1 -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86, Info!$A$2:A86 = C60),ROUNDUP((FILTER(Info!$H$2:H86,Info!$A$2:A86=C60)/FILTER(Info!$H$2:H86,Info!$A$2:A86=$K$2))*$I$2)&gt;99),3,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86, Info!$A$2:A86 = C60),ROUNDUP((FILTER(Info!$H$2:H86,Info!$A$2:A86=C60)/FILTER(Info!$H$2:H86,Info!$A$2:A86=$K$2))*$I$2)&gt;15),2,
AND(COUNTIF($C$7:indirect(""C""&amp;row()),indirect(""C""&amp;row()))=2,COUNTIF($C$7:$C$102,indirect(""C""&amp;row()))=COUNTIF($"&amp;"C$7:indirect(""C""&amp;row()),indirect(""C""&amp;row()))),""Final"",
COUNTIF($C$7:indirect(""C""&amp;row()),indirect(""C""&amp;row()))=1,1,
COUNTIF($C$7:indirect(""C""&amp;row()),indirect(""C""&amp;row()))=0,"""")"),"")</f>
        <v/>
      </c>
      <c r="F60" s="64" t="str">
        <f>IFERROR(__xludf.DUMMYFUNCTION("IFS(C60="""","""",
AND(C60=""3x3 FMC"",MOD(COUNTIF($C$7:indirect(""C""&amp;row()),indirect(""C""&amp;row())),3)=0),""Mean of 3"",
AND(C60=""3x3 MBLD"",MOD(COUNTIF($C$7:indirect(""C""&amp;row()),indirect(""C""&amp;row())),3)=0),""Best of 3"",
AND(C60=""3x3 FMC"",MOD(COUNT"&amp;"IF($C$7:indirect(""C""&amp;row()),indirect(""C""&amp;row())),3)=2,
COUNTIF($C$7:$C$102,indirect(""C""&amp;row()))&lt;=COUNTIF($C$7:indirect(""C""&amp;row()),indirect(""C""&amp;row()))),""Best of 2"",
AND(C60=""3x3 FMC"",MOD(COUNTIF($C$7:indirect(""C""&amp;row()),indirect(""C""&amp;row("&amp;"))),3)=2,
COUNTIF($C$7:$C$102,indirect(""C""&amp;row()))&gt;COUNTIF($C$7:indirect(""C""&amp;row()),indirect(""C""&amp;row()))),""Mean of 3"",
AND(C60=""3x3 MBLD"",MOD(COUNTIF($C$7:indirect(""C""&amp;row()),indirect(""C""&amp;row())),3)=2,
COUNTIF($C$7:$C$102,indirect(""C""&amp;row("&amp;")))&lt;=COUNTIF($C$7:indirect(""C""&amp;row()),indirect(""C""&amp;row()))),""Best of 2"",
AND(C60=""3x3 MBLD"",MOD(COUNTIF($C$7:indirect(""C""&amp;row()),indirect(""C""&amp;row())),3)=2,
COUNTIF($C$7:$C$102,indirect(""C""&amp;row()))&gt;COUNTIF($C$7:indirect(""C""&amp;row()),indirect("&amp;"""C""&amp;row()))),""Best of 3"",
AND(C60=""3x3 FMC"",MOD(COUNTIF($C$7:indirect(""C""&amp;row()),indirect(""C""&amp;row())),3)=1,
COUNTIF($C$7:$C$102,indirect(""C""&amp;row()))&lt;=COUNTIF($C$7:indirect(""C""&amp;row()),indirect(""C""&amp;row()))),""Best of 1"",
AND(C60=""3x3 FMC"""&amp;",MOD(COUNTIF($C$7:indirect(""C""&amp;row()),indirect(""C""&amp;row())),3)=1,
COUNTIF($C$7:$C$102,indirect(""C""&amp;row()))=COUNTIF($C$7:indirect(""C""&amp;row()),indirect(""C""&amp;row()))+1),""Best of 2"",
AND(C60=""3x3 FMC"",MOD(COUNTIF($C$7:indirect(""C""&amp;row()),indirect"&amp;"(""C""&amp;row())),3)=1,
COUNTIF($C$7:$C$102,indirect(""C""&amp;row()))&gt;COUNTIF($C$7:indirect(""C""&amp;row()),indirect(""C""&amp;row()))),""Mean of 3"",
AND(C60=""3x3 MBLD"",MOD(COUNTIF($C$7:indirect(""C""&amp;row()),indirect(""C""&amp;row())),3)=1,
COUNTIF($C$7:$C$102,indirect"&amp;"(""C""&amp;row()))&lt;=COUNTIF($C$7:indirect(""C""&amp;row()),indirect(""C""&amp;row()))),""Best of 1"",
AND(C60=""3x3 MBLD"",MOD(COUNTIF($C$7:indirect(""C""&amp;row()),indirect(""C""&amp;row())),3)=1,
COUNTIF($C$7:$C$102,indirect(""C""&amp;row()))=COUNTIF($C$7:indirect(""C""&amp;row()"&amp;"),indirect(""C""&amp;row()))+1),""Best of 2"",
AND(C60=""3x3 MBLD"",MOD(COUNTIF($C$7:indirect(""C""&amp;row()),indirect(""C""&amp;row())),3)=1,
COUNTIF($C$7:$C$102,indirect(""C""&amp;row()))&gt;COUNTIF($C$7:indirect(""C""&amp;row()),indirect(""C""&amp;row()))),""Best of 3"",
TRUE,("&amp;"IFERROR(FILTER(Info!$D$2:D86, Info!$A$2:A86 = C60), """")))"),"")</f>
        <v/>
      </c>
      <c r="G60" s="64" t="str">
        <f>IFERROR(__xludf.DUMMYFUNCTION("IFS(OR(COUNTIF(Info!$A$22:A86,C60)&gt;0,C60=""""),"""",
OR(""3x3 MBLD""=C60,""3x3 FMC""=C60),60,
AND(E60=1,FILTER(Info!$F$2:F86, Info!$A$2:A86 = C60) = ""No""),FILTER(Info!$P$2:P86, Info!$A$2:A86 = C60),
AND(E60=2,FILTER(Info!$F$2:F86, Info!$A$2:A86 = C60) ="&amp;" ""No""),FILTER(Info!$Q$2:Q86, Info!$A$2:A86 = C60),
AND(E60=3,FILTER(Info!$F$2:F86, Info!$A$2:A86 = C60) = ""No""),FILTER(Info!$R$2:R86, Info!$A$2:A86 = C60),
AND(E60=""Final"",FILTER(Info!$F$2:F86, Info!$A$2:A86 = C60) = ""No""),FILTER(Info!$S$2:S86, In"&amp;"fo!$A$2:A86 = C60),
FILTER(Info!$F$2:F86, Info!$A$2:A86 = C60) = ""Yes"","""")"),"")</f>
        <v/>
      </c>
      <c r="H60" s="64" t="str">
        <f>IFERROR(__xludf.DUMMYFUNCTION("IFS(OR(COUNTIF(Info!$A$22:A86,C60)&gt;0,C60=""""),"""",
OR(""3x3 MBLD""=C60,""3x3 FMC""=C60)=TRUE,"""",
FILTER(Info!$F$2:F86, Info!$A$2:A86 = C60) = ""Yes"",FILTER(Info!$O$2:O86, Info!$A$2:A86 = C60),
FILTER(Info!$F$2:F86, Info!$A$2:A86 = C60) = ""No"",IF(G6"&amp;"0="""",FILTER(Info!$O$2:O86, Info!$A$2:A86 = C60),""""))"),"")</f>
        <v/>
      </c>
      <c r="I60" s="64" t="str">
        <f>IFERROR(__xludf.DUMMYFUNCTION("IFS(OR(COUNTIF(Info!$A$22:A86,C60)&gt;0,C60="""",H60&lt;&gt;""""),"""",
AND(E60&lt;&gt;1,E60&lt;&gt;""R1 - A1"",E60&lt;&gt;""R1 - A2"",E60&lt;&gt;""R1 - A3""),"""",
FILTER(Info!$E$2:E86, Info!$A$2:A86 = C60) = ""Yes"",IF(H60="""",FILTER(Info!$L$2:L86, Info!$A$2:A86 = C60),""""),
FILTER(I"&amp;"nfo!$E$2:E86, Info!$A$2:A86 = C60) = ""No"","""")"),"")</f>
        <v/>
      </c>
      <c r="J60" s="64" t="str">
        <f>IFERROR(__xludf.DUMMYFUNCTION("IFS(OR(COUNTIF(Info!$A$22:A86,C60)&gt;0,C60="""",""3x3 MBLD""=C60,""3x3 FMC""=C60),"""",
AND(E60=1,FILTER(Info!$H$2:H86,Info!$A$2:A86 = C60)&lt;=FILTER(Info!$H$2:H86,Info!$A$2:A86=$K$2)),
ROUNDUP((FILTER(Info!$H$2:H86,Info!$A$2:A86 = C60)/FILTER(Info!$H$2:H86,I"&amp;"nfo!$A$2:A86=$K$2))*$I$2),
AND(E60=1,FILTER(Info!$H$2:H86,Info!$A$2:A86 = C60)&gt;FILTER(Info!$H$2:H86,Info!$A$2:A86=$K$2)),""K2 - Error"",
AND(E60=2,FILTER($J$7:indirect(""J""&amp;row()-1),$C$7:indirect(""C""&amp;row()-1)=C60)&lt;=7),""J - Error"",
E60=2,FLOOR(FILTER("&amp;"$J$7:indirect(""J""&amp;row()-1),$C$7:indirect(""C""&amp;row()-1)=C60)*Info!$T$32),
AND(E60=3,FILTER($J$7:indirect(""J""&amp;row()-1),$C$7:indirect(""C""&amp;row()-1)=C60)&lt;=15),""J - Error"",
E60=3,FLOOR(Info!$T$32*FLOOR(FILTER($J$7:indirect(""J""&amp;row()-1),$C$7:indirect("&amp;"""C""&amp;row()-1)=C60)*Info!$T$32)),
AND(E60=""Final"",COUNTIF($C$7:$C$102,C60)=2,FILTER($J$7:indirect(""J""&amp;row()-1),$C$7:indirect(""C""&amp;row()-1)=C60)&lt;=7),""J - Error"",
AND(E60=""Final"",COUNTIF($C$7:$C$102,C60)=2),
MIN(P60,FLOOR(FILTER($J$7:indirect(""J"""&amp;"&amp;row()-1),$C$7:indirect(""C""&amp;row()-1)=C60)*Info!$T$32)),
AND(E60=""Final"",COUNTIF($C$7:$C$102,C60)=3,FILTER($J$7:indirect(""J""&amp;row()-1),$C$7:indirect(""C""&amp;row()-1)=C60)&lt;=15),""J - Error"",
AND(E60=""Final"",COUNTIF($C$7:$C$102,C60)=3),
MIN(P60,FLOOR(I"&amp;"nfo!$T$32*FLOOR(FILTER($J$7:indirect(""J""&amp;row()-1),$C$7:indirect(""C""&amp;row()-1)=C60)*Info!$T$32))),
AND(E60=""Final"",COUNTIF($C$7:$C$102,C60)&gt;=4,FILTER($J$7:indirect(""J""&amp;row()-1),$C$7:indirect(""C""&amp;row()-1)=C60)&lt;=99),""J - Error"",
AND(E60=""Final"","&amp;"COUNTIF($C$7:$C$102,C60)&gt;=4),
MIN(P60,FLOOR(Info!$T$32*FLOOR(Info!$T$32*FLOOR(FILTER($J$7:indirect(""J""&amp;row()-1),$C$7:indirect(""C""&amp;row()-1)=C60)*Info!$T$32)))))"),"")</f>
        <v/>
      </c>
      <c r="K60" s="41" t="str">
        <f>IFERROR(__xludf.DUMMYFUNCTION("IFS(AND(indirect(""D""&amp;row()+2)&lt;&gt;$E$2,indirect(""D""&amp;row()+1)=""""),CONCATENATE(""Tom rad! Kopiera hela rad ""&amp;row()&amp;"" dit""),
AND(indirect(""D""&amp;row()-1)&lt;&gt;""Rum"",indirect(""D""&amp;row()-1)=""""),CONCATENATE(""Tom rad! Kopiera hela rad ""&amp;row()&amp;"" dit""),
"&amp;"C60="""","""",
COUNTIF(Info!$A$22:A86,$K$2)&gt;0,""Det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OR(AND(D60&lt;&gt;$E$2,D60&lt;&gt;$E$4,D60&lt;&gt;$K$4,D60&lt;&gt;$Q$4),D60="&amp;"""""),CONCATENATE(""Rum: ""&amp;D60&amp;"" finns ej, byt i D""&amp;row()),
AND(indirect(""D""&amp;row()-1)=""Rum"",C60=""""),CONCATENATE(""För att börja: skriv i cell C""&amp;row()),
AND(C60=""Paus"",M60&lt;=0),CONCATENATE(""Skriv pausens längd i M""&amp;row()),
OR(COUNTIF(Info!$A$"&amp;"22:A86,C60)&gt;0,C60=""""),"""",
AND(D60&lt;&gt;$E$2,$O$2=""Yes"",A60=""=time(hh;mm;ss)""),CONCATENATE(""Skriv starttid för ""&amp;C60&amp;"" i A""&amp;row()),
E60=""E - Error"",CONCATENATE(""För många ""&amp;C60&amp;"" rundor!""),
AND(C60&lt;&gt;""3x3 FMC"",C60&lt;&gt;""3x3 MBLD"",E60&lt;&gt;1,E60&lt;&gt;"&amp;"""Final"",IFERROR(FILTER($E$7:indirect(""E""&amp;row()-1),
$E$7:indirect(""E""&amp;row()-1)=E60-1,$C$7:indirect(""C""&amp;row()-1)=C60))=FALSE),CONCATENATE(""Kan ej vara R""&amp;E60&amp;"", saknar R""&amp;(E60-1)),
AND(indirect(""E""&amp;row()-1)&lt;&gt;""Omgång"",IFERROR(FILTER($E$7:indi"&amp;"rect(""E""&amp;row()-1),
$E$7:indirect(""E""&amp;row()-1)=E60,$C$7:indirect(""C""&amp;row()-1)=C60)=E60)=TRUE),CONCATENATE(""Runda ""&amp;E60&amp;"" i ""&amp;C60&amp;"" finns redan""),
AND(C60&lt;&gt;""3x3 BLD"",C60&lt;&gt;""4x4 BLD"",C60&lt;&gt;""5x5 BLD"",C60&lt;&gt;""4x4 / 5x5 BLD"",OR(E60=2,E60=3,E60="&amp;"""Final""),H60&lt;&gt;""""),CONCATENATE(E60&amp;""-rundor brukar ej ha c.t.l.""),
AND(OR(E60=2,E60=3,E60=""Final""),I60&lt;&gt;""""),CONCATENATE(E60&amp;""-rundor brukar ej ha cutoff""),
AND(OR(C60=""3x3 FMC"",C60=""3x3 MBLD""),OR(E60=1,E60=2,E60=3,E60=""Final"")),CONCATENAT"&amp;"E(C60&amp;""s omgång är Rx - Ax""),
AND(C60&lt;&gt;""3x3 MBLD"",C60&lt;&gt;""3x3 FMC"",FILTER(Info!$D$2:D86, Info!$A$2:A86 = C60)&lt;&gt;F60),CONCATENATE(C60&amp;"" måste ha formatet ""&amp;FILTER(Info!$D$2:D86, Info!$A$2:A86 = C60)),
AND(C60=""3x3 MBLD"",OR(F60=""Avg of 5"",F60=""Mea"&amp;"n of 3"")),CONCATENATE(""Ogiltigt format för ""&amp;C60),
AND(C60=""3x3 FMC"",OR(F60=""Avg of 5"",F60=""Best of 3"")),CONCATENATE(""Ogiltigt format för ""&amp;C60),
AND(OR(F60=""Best of 1"",F60=""Best of 2"",F60=""Best of 3""),I60&lt;&gt;""""),CONCATENATE(F60&amp;""-rundor"&amp;" får ej ha cutoff""),
AND(OR(C60=""3x3 FMC"",C60=""3x3 MBLD""),G60&lt;&gt;60),CONCATENATE(C60&amp;"" måste ha time limit: 60""),
AND(OR(C60=""3x3 FMC"",C60=""3x3 MBLD""),H60&lt;&gt;""""),CONCATENATE(C60&amp;"" kan inte ha c.t.l.""),
AND(G60&lt;&gt;"""",H60&lt;&gt;""""),""Välj time limit"&amp;" ELLER c.t.l"",
AND(C60=""6x6 / 7x7"",G60="""",H60=""""),""Sätt time limit (x / y) eller c.t.l (z)"",
AND(G60="""",H60=""""),""Sätt en time limit eller c.t.l"",
AND(OR(C60=""6x6 / 7x7"",C60=""4x4 / 5x5 BLD""),G60&lt;&gt;"""",REGEXMATCH(TO_TEXT(G60),"" / "")=FAL"&amp;"SE),CONCATENATE(""Time limit måste vara x / y""),
AND(H60&lt;&gt;"""",I60&lt;&gt;""""),CONCATENATE(C60&amp;"" brukar ej ha cutoff OCH c.t.l""),
AND(E60=1,H60="""",I60="""",OR(FILTER(Info!$E$2:E86, Info!$A$2:A86 = C60) = ""Yes"",FILTER(Info!$F$2:F86, Info!$A$2:A86 = C60) "&amp;"= ""Yes""),OR(F60=""Avg of 5"",F60=""Mean of 3"")),CONCATENATE(C60&amp;"" bör ha cutoff eller c.t.l""),
AND(C60=""6x6 / 7x7"",I60&lt;&gt;"""",REGEXMATCH(TO_TEXT(I60),"" / "")=FALSE),CONCATENATE(""Cutoff måste vara x / y""),
AND(H60&lt;&gt;"""",ISNUMBER(H60)=FALSE),""C.t."&amp;"l. måste vara positivt tal (x)"",
AND(C60&lt;&gt;""6x6 / 7x7"",I60&lt;&gt;"""",ISNUMBER(I60)=FALSE),""Cutoff måste vara positivt tal (x)"",
AND(H60&lt;&gt;"""",FILTER(Info!$E$2:E86, Info!$A$2:A86 = C60) = ""No"",FILTER(Info!$F$2:F86, Info!$A$2:A86 = C60) = ""No""),CONCATEN"&amp;"ATE(C60&amp;"" brukar inte ha c.t.l.""),
AND(I60&lt;&gt;"""",FILTER(Info!$E$2:E86, Info!$A$2:A86 = C60) = ""No"",FILTER(Info!$F$2:F86, Info!$A$2:A86 = C60) = ""No""),CONCATENATE(C60&amp;"" brukar inte ha cutoff""),
AND(H60="""",FILTER(Info!$F$2:F86, Info!$A$2:A86 = C60"&amp;") = ""Yes""),CONCATENATE(C60&amp;"" brukar ha c.t.l.""),
AND(C60&lt;&gt;""6x6 / 7x7"",C60&lt;&gt;""4x4 / 5x5 BLD"",G60&lt;&gt;"""",ISNUMBER(G60)=FALSE),""Time limit måste vara positivt tal (x)"",
J60=""J - Error"",CONCATENATE(""För få deltagare i R1 för ""&amp;COUNTIF($C$7:$C$102,"&amp;"indirect(""C""&amp;row()))&amp;"" rundor""),
J60=""K2 - Error"",CONCATENATE(C60&amp;"" är mer populär - byt i K2!""),
AND(C60&lt;&gt;""6x6 / 7x7"",C60&lt;&gt;""4x4 / 5x5 BLD"",G60&lt;&gt;"""",I60&lt;&gt;"""",G60&lt;=I60),""Time limit måste vara &gt; cutoff"",
AND(C60&lt;&gt;""6x6 / 7x7"",C60&lt;&gt;""4x4 / 5"&amp;"x5 BLD"",H60&lt;&gt;"""",I60&lt;&gt;"""",H60&lt;=I60),""C.t.l. måste vara &gt; cutoff"",
AND(C60&lt;&gt;""3x3 FMC"",C60&lt;&gt;""3x3 MBLD"",J60=""""),CONCATENATE(""Fyll i antal deltagare i J""&amp;row()),
AND(C60="""",OR(E60&lt;&gt;"""",F60&lt;&gt;"""",G60&lt;&gt;"""",H60&lt;&gt;"""",I60&lt;&gt;"""",J60&lt;&gt;"""")),""Skri"&amp;"v ALLTID gren / aktivitet först"",
AND(I60="""",H60="""",J60&lt;&gt;""""),J60,
OR(""3x3 FMC""=C60,""3x3 MBLD""=C60),J60,
AND(I60&lt;&gt;"""",""6x6 / 7x7""=C60),
IFS(ArrayFormula(SUM(IFERROR(SPLIT(I60,"" / ""))))&lt;(Info!$J$6+Info!$J$7)*2/3,CONCATENATE(""Höj helst cutof"&amp;"fs i ""&amp;C60),
ArrayFormula(SUM(IFERROR(SPLIT(I60,"" / ""))))&lt;=(Info!$J$6+Info!$J$7),ROUNDUP(J60*Info!$J$22),
ArrayFormula(SUM(IFERROR(SPLIT(I60,"" / ""))))&lt;=Info!$J$6+Info!$J$7,ROUNDUP(J60*Info!$K$22),
ArrayFormula(SUM(IFERROR(SPLIT(I60,"" / ""))))&lt;=Info!"&amp;"$K$6+Info!$K$7,ROUNDUP(J60*Info!L$22),
ArrayFormula(SUM(IFERROR(SPLIT(I60,"" / ""))))&lt;=Info!$L$6+Info!$L$7,ROUNDUP(J60*Info!$M$22),
ArrayFormula(SUM(IFERROR(SPLIT(I60,"" / ""))))&lt;=Info!$M$6+Info!$M$7,ROUNDUP(J60*Info!$N$22),
ArrayFormula(SUM(IFERROR(SPLIT"&amp;"(I60,"" / ""))))&lt;=(Info!$N$6+Info!$N$7)*3/2,ROUNDUP(J60*Info!$J$26),
ArrayFormula(SUM(IFERROR(SPLIT(I60,"" / ""))))&gt;(Info!$N$6+Info!$N$7)*3/2,CONCATENATE(""Sänk helst cutoffs i ""&amp;C60)),
AND(I60&lt;&gt;"""",FILTER(Info!$E$2:E86, Info!$A$2:A86 = C60) = ""Yes""),"&amp;"
IFS(I60&lt;FILTER(Info!$J$2:J86, Info!$A$2:A86 = C60)*2/3,CONCATENATE(""Höj helst cutoff i ""&amp;C60),
I60&lt;=FILTER(Info!$J$2:J86, Info!$A$2:A86 = C60),ROUNDUP(J60*Info!$J$22),
I60&lt;=FILTER(Info!$K$2:K86, Info!$A$2:A86 = C60),ROUNDUP(J60*Info!$K$22),
I60&lt;=FILTER"&amp;"(Info!$L$2:L86, Info!$A$2:A86 = C60),ROUNDUP(J60*Info!L$22),
I60&lt;=FILTER(Info!$M$2:M86, Info!$A$2:A86 = C60),ROUNDUP(J60*Info!$M$22),
I60&lt;=FILTER(Info!$N$2:N86, Info!$A$2:A86 = C60),ROUNDUP(J60*Info!$N$22),
I60&lt;=FILTER(Info!$N$2:N86, Info!$A$2:A86 = C60)*"&amp;"3/2,ROUNDUP(J60*Info!$J$26),
I60&gt;FILTER(Info!$N$2:N86, Info!$A$2:A86 = C60)*3/2,CONCATENATE(""Sänk helst cutoff i ""&amp;C60)),
AND(H60&lt;&gt;"""",""6x6 / 7x7""=C60),
IFS(H60/3&lt;=(Info!$J$6+Info!$J$7)*2/3,""Höj helst cumulative time limit"",
H60/3&lt;=Info!$J$6+Info!$"&amp;"J$7,ROUNDUP(J60*Info!$J$24),
H60/3&lt;=Info!$K$6+Info!$K$7,ROUNDUP(J60*Info!$K$24),
H60/3&lt;=Info!$L$6+Info!$L$7,ROUNDUP(J60*Info!L$24),
H60/3&lt;=Info!$M$6+Info!$M$7,ROUNDUP(J60*Info!$M$24),
H60/3&lt;=Info!$N$6+Info!$N$7,ROUNDUP(J60*Info!$N$24),
H60/3&lt;=(Info!$N$6+I"&amp;"nfo!$N$7)*3/2,ROUNDUP(J60*Info!$L$26),
H60/3&gt;(Info!$J$6+Info!$J$7)*3/2,""Sänk helst cumulative time limit""),
AND(H60&lt;&gt;"""",FILTER(Info!$F$2:F86, Info!$A$2:A86 = C60) = ""Yes""),
IFS(H60&lt;=FILTER(Info!$J$2:J86, Info!$A$2:A86 = C60)*2/3,CONCATENATE(""Höj he"&amp;"lst c.t.l. i ""&amp;C60),
H60&lt;=FILTER(Info!$J$2:J86, Info!$A$2:A86 = C60),ROUNDUP(J60*Info!$J$24),
H60&lt;=FILTER(Info!$K$2:K86, Info!$A$2:A86 = C60),ROUNDUP(J60*Info!$K$24),
H60&lt;=FILTER(Info!$L$2:L86, Info!$A$2:A86 = C60),ROUNDUP(J60*Info!L$24),
H60&lt;=FILTER(Inf"&amp;"o!$M$2:M86, Info!$A$2:A86 = C60),ROUNDUP(J60*Info!$M$24),
H60&lt;=FILTER(Info!$N$2:N86, Info!$A$2:A86 = C60),ROUNDUP(J60*Info!$N$24),
H60&lt;=FILTER(Info!$N$2:N86, Info!$A$2:A86 = C60)*3/2,ROUNDUP(J60*Info!$L$26),
H60&gt;FILTER(Info!$N$2:N86, Info!$A$2:A86 = C60)*"&amp;"3/2,CONCATENATE(""Sänk helst c.t.l. i ""&amp;C60)),
AND(H60&lt;&gt;"""",FILTER(Info!$F$2:F86, Info!$A$2:A86 = C60) = ""No""),
IFS(H60/AA60&lt;=FILTER(Info!$J$2:J86, Info!$A$2:A86 = C60)*2/3,CONCATENATE(""Höj helst c.t.l. i ""&amp;C60),
H60/AA60&lt;=FILTER(Info!$J$2:J86, Info"&amp;"!$A$2:A86 = C60),ROUNDUP(J60*Info!$J$24),
H60/AA60&lt;=FILTER(Info!$K$2:K86, Info!$A$2:A86 = C60),ROUNDUP(J60*Info!$K$24),
H60/AA60&lt;=FILTER(Info!$L$2:L86, Info!$A$2:A86 = C60),ROUNDUP(J60*Info!L$24),
H60/AA60&lt;=FILTER(Info!$M$2:M86, Info!$A$2:A86 = C60),ROUND"&amp;"UP(J60*Info!$M$24),
H60/AA60&lt;=FILTER(Info!$N$2:N86, Info!$A$2:A86 = C60),ROUNDUP(J60*Info!$N$24),
H60/AA60&lt;=FILTER(Info!$N$2:N86, Info!$A$2:A86 = C60)*3/2,ROUNDUP(J60*Info!$L$26),
H60/AA60&gt;FILTER(Info!$N$2:N86, Info!$A$2:A86 = C60)*3/2,CONCATENATE(""Sänk "&amp;"helst c.t.l. i ""&amp;C60)),
AND(I60="""",H60&lt;&gt;"""",J60&lt;&gt;""""),ROUNDUP(J60*Info!$T$29),
AND(I60&lt;&gt;"""",H60="""",J60&lt;&gt;""""),ROUNDUP(J60*Info!$T$26))"),"")</f>
        <v/>
      </c>
      <c r="L60" s="42">
        <f>IFERROR(__xludf.DUMMYFUNCTION("IFS(C60="""",0,
C60=""3x3 FMC"",Info!$B$9*N60+M60, C60=""3x3 MBLD"",Info!$B$18*N60+M60,
COUNTIF(Info!$A$22:A86,C60)&gt;0,FILTER(Info!$B$22:B86,Info!$A$22:A86=C60)+M60,
AND(C60&lt;&gt;"""",E60=""""),CONCATENATE(""Fyll i E""&amp;row()),
AND(C60&lt;&gt;"""",E60&lt;&gt;"""",E60&lt;&gt;1,E6"&amp;"0&lt;&gt;2,E60&lt;&gt;3,E60&lt;&gt;""Final""),CONCATENATE(""Fel format på E""&amp;row()),
K60=CONCATENATE(""Runda ""&amp;E60&amp;"" i ""&amp;C60&amp;"" finns redan""),CONCATENATE(""Fel i E""&amp;row()),
AND(C60&lt;&gt;"""",F60=""""),CONCATENATE(""Fyll i F""&amp;row()),
K60=CONCATENATE(C60&amp;"" måste ha forma"&amp;"tet ""&amp;FILTER(Info!$D$2:D86, Info!$A$2:A86 = C60)),CONCATENATE(""Fel format på F""&amp;row()),
AND(C60&lt;&gt;"""",D60=1,H60="""",FILTER(Info!$F$2:F86, Info!$A$2:A86 = C60) = ""Yes""),CONCATENATE(""Fyll i H""&amp;row()),
AND(C60&lt;&gt;"""",D60=1,I60="""",FILTER(Info!$E$2:E8"&amp;"6, Info!$A$2:A86 = C60) = ""Yes""),CONCATENATE(""Fyll i I""&amp;row()),
AND(C60&lt;&gt;"""",J60=""""),CONCATENATE(""Fyll i J""&amp;row()),
AND(C60&lt;&gt;"""",K60="""",OR(H60&lt;&gt;"""",I60&lt;&gt;"""")),CONCATENATE(""Fyll i K""&amp;row()),
AND(C60&lt;&gt;"""",K60=""""),CONCATENATE(""Skriv samma"&amp;" i K""&amp;row()&amp;"" som i J""&amp;row()),
AND(OR(C60=""4x4 BLD"",C60=""5x5 BLD"",C60=""4x4 / 5x5 BLD"")=TRUE,V60&lt;=P60),
MROUND(H60*(Info!$T$20-((Info!$T$20-1)/2)*(1-V60/P60))*(1+((J60/K60)-1)*(1-Info!$J$24))*N60+(Info!$T$11/2)+(N60*Info!$T$11)+(N60*Info!$T$14*(O6"&amp;"0-1)),0.01)+M60,
AND(OR(C60=""4x4 BLD"",C60=""5x5 BLD"",C60=""4x4 / 5x5 BLD"")=TRUE,V60&gt;P60),
MROUND((((J60*Z60+K60*(AA60-Z60))*(H60*Info!$T$20/AA60))/X60)*(1+((J60/K60)-1)*(1-Info!$J$24))*(1+(X60-Info!$T$8)/100)+(Info!$T$11/2)+(N60*Info!$T$11)+(N60*Info!"&amp;"$T$14*(O60-1)),0.01)+M60,
AND(C60=""3x3 BLD"",V60&lt;=P60),
MROUND(H60*(Info!$T$23-((Info!$T$23-1)/2)*(1-V60/P60))*(1+((J60/K60)-1)*(1-Info!$J$24))*N60+(Info!$T$11/2)+(N60*Info!$T$11)+(N60*Info!$T$14*(O60-1)),0.01)+M60,
AND(C60=""3x3 BLD"",V60&gt;P60),
MROUND(("&amp;"((J60*Z60+K60*(AA60-Z60))*(H60*Info!$T$23/AA60))/X60)*(1+((J60/K60)-1)*(1-Info!$J$24))*(1+(X60-Info!$T$8)/100)+(Info!$T$11/2)+(N60*Info!$T$11)+(N60*Info!$T$14*(O60-1)),0.01)+M60,
E60=1,MROUND((((J60*Z60+K60*(AA60-Z60))*Y60)/X60)*(1+(X60-Info!$T$8)/100)+(N"&amp;"60*Info!$T$11)+(N60*Info!$T$14*(O60-1)),0.01)+M60,
AND(E60=""Final"",N60=1,FILTER(Info!$G$2:$G$20,Info!$A$2:$A$20=C60)=""Mycket svår""),
MROUND((((J60*Z60+K60*(AA60-Z60))*(Y60*Info!$T$38))/X60)*(1+(X60-Info!$T$8)/100)+(N60*Info!$T$11)+(N60*Info!$T$14*(O60"&amp;"-1)),0.01)+M60,
AND(E60=""Final"",N60=1,FILTER(Info!$G$2:$G$20,Info!$A$2:$A$20=C60)=""Svår""),
MROUND((((J60*Z60+K60*(AA60-Z60))*(Y60*Info!$T$35))/X60)*(1+(X60-Info!$T$8)/100)+(N60*Info!$T$11)+(N60*Info!$T$14*(O60-1)),0.01)+M60,
E60=""Final"",MROUND((((J6"&amp;"0*Z60+K60*(AA60-Z60))*(Y60*Info!$T$5))/X60)*(1+(X60-Info!$T$8)/100)+(N60*Info!$T$11)+(N60*Info!$T$14*(O60-1)),0.01)+M60,
OR(E60=2,E60=3),MROUND((((J60*Z60+K60*(AA60-Z60))*(Y60*Info!$T$2))/X60)*(1+(X60-Info!$T$8)/100)+(N60*Info!$T$11)+(N60*Info!$T$14*(O60-"&amp;"1)),0.01)+M60)"),0.0)</f>
        <v>0</v>
      </c>
      <c r="M60" s="43">
        <f t="shared" si="6"/>
        <v>0</v>
      </c>
      <c r="N60" s="43" t="str">
        <f>IFS(OR(COUNTIF(Info!$A$22:A86,C60)&gt;0,C60=""),"",
OR(C60="4x4 BLD",C60="5x5 BLD",C60="3x3 MBLD",C60="3x3 FMC",C60="4x4 / 5x5 BLD"),1,
AND(E60="Final",Q60="Yes",MAX(1,ROUNDUP(J60/P60))&gt;1),MAX(2,ROUNDUP(J60/P60)),
AND(E60="Final",Q60="No",MAX(1,ROUNDUP(J60/((P60*2)+2.625-Y60*1.5)))&gt;1),MAX(2,ROUNDUP(J60/((P60*2)+2.625-Y60*1.5))),
E60="Final",1,
Q60="Yes",MAX(2,ROUNDUP(J60/P60)),
TRUE,MAX(2,ROUNDUP(J60/((P60*2)+2.625-Y60*1.5))))</f>
        <v/>
      </c>
      <c r="O60" s="43" t="str">
        <f>IFS(OR(COUNTIF(Info!$A$22:A86,C60)&gt;0,C60=""),"",
OR("3x3 MBLD"=C60,"3x3 FMC"=C60)=TRUE,"",
D60=$E$4,$G$6,D60=$K$4,$M$6,D60=$Q$4,$S$6,D60=$W$4,$Y$6,
TRUE,$S$2)</f>
        <v/>
      </c>
      <c r="P60" s="43" t="str">
        <f>IFS(OR(COUNTIF(Info!$A$22:A86,C60)&gt;0,C60=""),"",
OR("3x3 MBLD"=C60,"3x3 FMC"=C60)=TRUE,"",
D60=$E$4,$E$6,D60=$K$4,$K$6,D60=$Q$4,$Q$6,D60=$W$4,$W$6,
TRUE,$Q$2)</f>
        <v/>
      </c>
      <c r="Q60" s="44" t="str">
        <f>IFS(OR(COUNTIF(Info!$A$22:A86,C60)&gt;0,C60=""),"",
OR("3x3 MBLD"=C60,"3x3 FMC"=C60)=TRUE,"",
D60=$E$4,$I$6,D60=$K$4,$O$6,D60=$Q$4,$U$6,D60=$W$4,$AA$6,
TRUE,$U$2)</f>
        <v/>
      </c>
      <c r="R60" s="65" t="str">
        <f>IFERROR(__xludf.DUMMYFUNCTION("IF(C60="""","""",IFERROR(FILTER(Info!$B$22:B86,Info!$A$22:A86=C60)+M60,""?""))"),"")</f>
        <v/>
      </c>
      <c r="S60" s="66" t="str">
        <f>IFS(OR(COUNTIF(Info!$A$22:A86,C60)&gt;0,C60=""),"",
AND(H60="",I60=""),J60,
TRUE,"?")</f>
        <v/>
      </c>
      <c r="T60" s="65" t="str">
        <f>IFS(OR(COUNTIF(Info!$A$22:A86,C60)&gt;0,C60=""),"",
AND(L60&lt;&gt;0,OR(R60="?",R60="")),"Fyll i R-kolumnen",
OR(C60="3x3 FMC",C60="3x3 MBLD"),R60,
AND(L60&lt;&gt;0,OR(S60="?",S60="")),"Fyll i S-kolumnen",
OR(COUNTIF(Info!$A$22:A86,C60)&gt;0,C60=""),"",
TRUE,Y60*R60/L60)</f>
        <v/>
      </c>
      <c r="U60" s="65"/>
      <c r="V60" s="67" t="str">
        <f>IFS(OR(COUNTIF(Info!$A$22:A86,C60)&gt;0,C60=""),"",
OR("3x3 MBLD"=C60,"3x3 FMC"=C60)=TRUE,"",
TRUE,MROUND((J60/N60),0.01))</f>
        <v/>
      </c>
      <c r="W60" s="68" t="str">
        <f>IFS(OR(COUNTIF(Info!$A$22:A86,C60)&gt;0,C60=""),"",
TRUE,L60/N60)</f>
        <v/>
      </c>
      <c r="X60" s="67" t="str">
        <f>IFS(OR(COUNTIF(Info!$A$22:A86,C60)&gt;0,C60=""),"",
OR("3x3 MBLD"=C60,"3x3 FMC"=C60)=TRUE,"",
OR(C60="4x4 BLD",C60="5x5 BLD",C60="4x4 / 5x5 BLD",AND(C60="3x3 BLD",H60&lt;&gt;""))=TRUE,MIN(V60,P60),
TRUE,MIN(P60,V60,MROUND(((V60*2/3)+((Y60-1.625)/2)),0.01)))</f>
        <v/>
      </c>
      <c r="Y60" s="68" t="str">
        <f>IFERROR(__xludf.DUMMYFUNCTION("IFS(OR(COUNTIF(Info!$A$22:A86,C60)&gt;0,C60=""""),"""",
FILTER(Info!$F$2:F86, Info!$A$2:A86 = C60) = ""Yes"",H60/AA60,
""3x3 FMC""=C60,Info!$B$9,""3x3 MBLD""=C60,Info!$B$18,
AND(E60=1,I60="""",H60="""",Q60=""No"",G60&gt;SUMIF(Info!$A$2:A86,C60,Info!$B$2:B86)*1."&amp;"5),
MIN(SUMIF(Info!$A$2:A86,C60,Info!$B$2:B86)*1.1,SUMIF(Info!$A$2:A86,C60,Info!$B$2:B86)*(1.15-(0.15*(SUMIF(Info!$A$2:A86,C60,Info!$B$2:B86)*1.5)/G60))),
AND(E60=1,I60="""",H60="""",Q60=""Yes"",G60&gt;SUMIF(Info!$A$2:A86,C60,Info!$C$2:C86)*1.5),
MIN(SUMIF(I"&amp;"nfo!$A$2:A86,C60,Info!$C$2:C86)*1.1,SUMIF(Info!$A$2:A86,C60,Info!$C$2:C86)*(1.15-(0.15*(SUMIF(Info!$A$2:A86,C60,Info!$C$2:C86)*1.5)/G60))),
Q60=""No"",SUMIF(Info!$A$2:A86,C60,Info!$B$2:B86),
Q60=""Yes"",SUMIF(Info!$A$2:A86,C60,Info!$C$2:C86))"),"")</f>
        <v/>
      </c>
      <c r="Z60" s="67" t="str">
        <f>IFS(OR(COUNTIF(Info!$A$22:A86,C60)&gt;0,C60=""),"",
AND(OR("3x3 FMC"=C60,"3x3 MBLD"=C60),I60&lt;&gt;""),1,
AND(OR(H60&lt;&gt;"",I60&lt;&gt;""),F60="Avg of 5"),2,
F60="Avg of 5",AA60,
AND(OR(H60&lt;&gt;"",I60&lt;&gt;""),F60="Mean of 3",C60="6x6 / 7x7"),2,
AND(OR(H60&lt;&gt;"",I60&lt;&gt;""),F60="Mean of 3"),1,
F60="Mean of 3",AA60,
AND(OR(H60&lt;&gt;"",I60&lt;&gt;""),F60="Best of 3",C60="4x4 / 5x5 BLD"),2,
AND(OR(H60&lt;&gt;"",I60&lt;&gt;""),F60="Best of 3"),1,
F60="Best of 2",AA60,
F60="Best of 1",AA60)</f>
        <v/>
      </c>
      <c r="AA60" s="67" t="str">
        <f>IFS(OR(COUNTIF(Info!$A$22:A86,C60)&gt;0,C60=""),"",
AND(OR("3x3 MBLD"=C60,"3x3 FMC"=C60),F60="Best of 1"=TRUE),1,
AND(OR("3x3 MBLD"=C60,"3x3 FMC"=C60),F60="Best of 2"=TRUE),2,
AND(OR("3x3 MBLD"=C60,"3x3 FMC"=C60),OR(F60="Best of 3",F60="Mean of 3")=TRUE),3,
AND(F60="Mean of 3",C60="6x6 / 7x7"),6,
AND(F60="Best of 3",C60="4x4 / 5x5 BLD"),6,
F60="Avg of 5",5,F60="Mean of 3",3,F60="Best of 3",3,F60="Best of 2",2,F60="Best of 1",1)</f>
        <v/>
      </c>
      <c r="AB60" s="69"/>
    </row>
    <row r="61" ht="15.75" customHeight="1">
      <c r="A61" s="62">
        <f>IFERROR(__xludf.DUMMYFUNCTION("IFS(indirect(""A""&amp;row()-1)=""Start"",TIME(indirect(""A""&amp;row()-2),indirect(""B""&amp;row()-2),0),
$O$2=""No"",TIME(0,($A$6*60+$B$6)+CEILING(SUM($L$7:indirect(""L""&amp;row()-1)),5),0),
D61=$E$2,TIME(0,($A$6*60+$B$6)+CEILING(SUM(IFERROR(FILTER($L$7:indirect(""L"""&amp;"&amp;row()-1),REGEXMATCH($D$7:indirect(""D""&amp;row()-1),$E$2)),0)),5),0),
TRUE,""=time(hh;mm;ss)"")"),0.3645833333333335)</f>
        <v>0.3645833333</v>
      </c>
      <c r="B61" s="63">
        <f>IFERROR(__xludf.DUMMYFUNCTION("IFS($O$2=""No"",TIME(0,($A$6*60+$B$6)+CEILING(SUM($L$7:indirect(""L""&amp;row())),5),0),
D61=$E$2,TIME(0,($A$6*60+$B$6)+CEILING(SUM(FILTER($L$7:indirect(""L""&amp;row()),REGEXMATCH($D$7:indirect(""D""&amp;row()),$E$2))),5),0),
A61=""=time(hh;mm;ss)"",CONCATENATE(""Sk"&amp;"riv tid i A""&amp;row()),
AND(A61&lt;&gt;"""",A61&lt;&gt;""=time(hh;mm;ss)""),A61+TIME(0,CEILING(indirect(""L""&amp;row()),5),0))"),0.3645833333333335)</f>
        <v>0.3645833333</v>
      </c>
      <c r="C61" s="37"/>
      <c r="D61" s="64" t="str">
        <f t="shared" si="7"/>
        <v>Stora salen</v>
      </c>
      <c r="E61" s="64" t="str">
        <f>IFERROR(__xludf.DUMMYFUNCTION("IFS(COUNTIF(Info!$A$22:A87,C61)&gt;0,"""",
AND(OR(""3x3 FMC""=C61,""3x3 MBLD""=C61),COUNTIF($C$7:indirect(""C""&amp;row()),indirect(""C""&amp;row()))&gt;=13),""E - Error"",
AND(OR(""3x3 FMC""=C61,""3x3 MBLD""=C61),COUNTIF($C$7:indirect(""C""&amp;row()),indirect(""C""&amp;row()"&amp;"))=12),""Final - A3"",
AND(OR(""3x3 FMC""=C61,""3x3 MBLD""=C61),COUNTIF($C$7:indirect(""C""&amp;row()),indirect(""C""&amp;row()))=11),""Final - A2"",
AND(OR(""3x3 FMC""=C61,""3x3 MBLD""=C61),COUNTIF($C$7:indirect(""C""&amp;row()),indirect(""C""&amp;row()))=10),""Final - "&amp;"A1"",
AND(OR(""3x3 FMC""=C61,""3x3 MBLD""=C61),COUNTIF($C$7:indirect(""C""&amp;row()),indirect(""C""&amp;row()))=9,
COUNTIF($C$7:$C$102,indirect(""C""&amp;row()))&gt;9),""R3 - A3"",
AND(OR(""3x3 FMC""=C61,""3x3 MBLD""=C61),COUNTIF($C$7:indirect(""C""&amp;row()),indirect(""C"&amp;"""&amp;row()))=9,
COUNTIF($C$7:$C$102,indirect(""C""&amp;row()))&lt;=9),""Final - A3"",
AND(OR(""3x3 FMC""=C61,""3x3 MBLD""=C61),COUNTIF($C$7:indirect(""C""&amp;row()),indirect(""C""&amp;row()))=8,
COUNTIF($C$7:$C$102,indirect(""C""&amp;row()))&gt;9),""R3 - A2"",
AND(OR(""3x3 FMC"&amp;"""=C61,""3x3 MBLD""=C61),COUNTIF($C$7:indirect(""C""&amp;row()),indirect(""C""&amp;row()))=8,
COUNTIF($C$7:$C$102,indirect(""C""&amp;row()))&lt;=9),""Final - A2"",
AND(OR(""3x3 FMC""=C61,""3x3 MBLD""=C61),COUNTIF($C$7:indirect(""C""&amp;row()),indirect(""C""&amp;row()))=7,
COUN"&amp;"TIF($C$7:$C$102,indirect(""C""&amp;row()))&gt;9),""R3 - A1"",
AND(OR(""3x3 FMC""=C61,""3x3 MBLD""=C61),COUNTIF($C$7:indirect(""C""&amp;row()),indirect(""C""&amp;row()))=7,
COUNTIF($C$7:$C$102,indirect(""C""&amp;row()))&lt;=9),""Final - A1"",
AND(OR(""3x3 FMC""=C61,""3x3 MBLD"""&amp;"=C61),COUNTIF($C$7:indirect(""C""&amp;row()),indirect(""C""&amp;row()))=6,
COUNTIF($C$7:$C$102,indirect(""C""&amp;row()))&gt;6),""R2 - A3"",
AND(OR(""3x3 FMC""=C61,""3x3 MBLD""=C61),COUNTIF($C$7:indirect(""C""&amp;row()),indirect(""C""&amp;row()))=6,
COUNTIF($C$7:$C$102,indirec"&amp;"t(""C""&amp;row()))&lt;=6),""Final - A3"",
AND(OR(""3x3 FMC""=C61,""3x3 MBLD""=C61),COUNTIF($C$7:indirect(""C""&amp;row()),indirect(""C""&amp;row()))=5,
COUNTIF($C$7:$C$102,indirect(""C""&amp;row()))&gt;6),""R2 - A2"",
AND(OR(""3x3 FMC""=C61,""3x3 MBLD""=C61),COUNTIF($C$7:indi"&amp;"rect(""C""&amp;row()),indirect(""C""&amp;row()))=5,
COUNTIF($C$7:$C$102,indirect(""C""&amp;row()))&lt;=6),""Final - A2"",
AND(OR(""3x3 FMC""=C61,""3x3 MBLD""=C61),COUNTIF($C$7:indirect(""C""&amp;row()),indirect(""C""&amp;row()))=4,
COUNTIF($C$7:$C$102,indirect(""C""&amp;row()))&gt;6),"&amp;"""R2 - A1"",
AND(OR(""3x3 FMC""=C61,""3x3 MBLD""=C61),COUNTIF($C$7:indirect(""C""&amp;row()),indirect(""C""&amp;row()))=4,
COUNTIF($C$7:$C$102,indirect(""C""&amp;row()))&lt;=6),""Final - A1"",
AND(OR(""3x3 FMC""=C61,""3x3 MBLD""=C61),COUNTIF($C$7:indirect(""C""&amp;row()),i"&amp;"ndirect(""C""&amp;row()))=3),""R1 - A3"",
AND(OR(""3x3 FMC""=C61,""3x3 MBLD""=C61),COUNTIF($C$7:indirect(""C""&amp;row()),indirect(""C""&amp;row()))=2),""R1 - A2"",
AND(OR(""3x3 FMC""=C61,""3x3 MBLD""=C61),COUNTIF($C$7:indirect(""C""&amp;row()),indirect(""C""&amp;row()))=1),"&amp;"""R1 -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87, Info!$A$2:A87 = C61),ROUNDUP((FILTER(Info!$H$2:H87,Info!$A$2:A87=C61)/FILTER(Info!$H$2:H87,Info!$A$2:A87=$K$2))*$I$2)&gt;99),3,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87, Info!$A$2:A87 = C61),ROUNDUP((FILTER(Info!$H$2:H87,Info!$A$2:A87=C61)/FILTER(Info!$H$2:H87,Info!$A$2:A87=$K$2))*$I$2)&gt;15),2,
AND(COUNTIF($C$7:indirect(""C""&amp;row()),indirect(""C""&amp;row()))=2,COUNTIF($C$7:$C$102,indirect(""C""&amp;row()))=COUNTIF($"&amp;"C$7:indirect(""C""&amp;row()),indirect(""C""&amp;row()))),""Final"",
COUNTIF($C$7:indirect(""C""&amp;row()),indirect(""C""&amp;row()))=1,1,
COUNTIF($C$7:indirect(""C""&amp;row()),indirect(""C""&amp;row()))=0,"""")"),"")</f>
        <v/>
      </c>
      <c r="F61" s="64" t="str">
        <f>IFERROR(__xludf.DUMMYFUNCTION("IFS(C61="""","""",
AND(C61=""3x3 FMC"",MOD(COUNTIF($C$7:indirect(""C""&amp;row()),indirect(""C""&amp;row())),3)=0),""Mean of 3"",
AND(C61=""3x3 MBLD"",MOD(COUNTIF($C$7:indirect(""C""&amp;row()),indirect(""C""&amp;row())),3)=0),""Best of 3"",
AND(C61=""3x3 FMC"",MOD(COUNT"&amp;"IF($C$7:indirect(""C""&amp;row()),indirect(""C""&amp;row())),3)=2,
COUNTIF($C$7:$C$102,indirect(""C""&amp;row()))&lt;=COUNTIF($C$7:indirect(""C""&amp;row()),indirect(""C""&amp;row()))),""Best of 2"",
AND(C61=""3x3 FMC"",MOD(COUNTIF($C$7:indirect(""C""&amp;row()),indirect(""C""&amp;row("&amp;"))),3)=2,
COUNTIF($C$7:$C$102,indirect(""C""&amp;row()))&gt;COUNTIF($C$7:indirect(""C""&amp;row()),indirect(""C""&amp;row()))),""Mean of 3"",
AND(C61=""3x3 MBLD"",MOD(COUNTIF($C$7:indirect(""C""&amp;row()),indirect(""C""&amp;row())),3)=2,
COUNTIF($C$7:$C$102,indirect(""C""&amp;row("&amp;")))&lt;=COUNTIF($C$7:indirect(""C""&amp;row()),indirect(""C""&amp;row()))),""Best of 2"",
AND(C61=""3x3 MBLD"",MOD(COUNTIF($C$7:indirect(""C""&amp;row()),indirect(""C""&amp;row())),3)=2,
COUNTIF($C$7:$C$102,indirect(""C""&amp;row()))&gt;COUNTIF($C$7:indirect(""C""&amp;row()),indirect("&amp;"""C""&amp;row()))),""Best of 3"",
AND(C61=""3x3 FMC"",MOD(COUNTIF($C$7:indirect(""C""&amp;row()),indirect(""C""&amp;row())),3)=1,
COUNTIF($C$7:$C$102,indirect(""C""&amp;row()))&lt;=COUNTIF($C$7:indirect(""C""&amp;row()),indirect(""C""&amp;row()))),""Best of 1"",
AND(C61=""3x3 FMC"""&amp;",MOD(COUNTIF($C$7:indirect(""C""&amp;row()),indirect(""C""&amp;row())),3)=1,
COUNTIF($C$7:$C$102,indirect(""C""&amp;row()))=COUNTIF($C$7:indirect(""C""&amp;row()),indirect(""C""&amp;row()))+1),""Best of 2"",
AND(C61=""3x3 FMC"",MOD(COUNTIF($C$7:indirect(""C""&amp;row()),indirect"&amp;"(""C""&amp;row())),3)=1,
COUNTIF($C$7:$C$102,indirect(""C""&amp;row()))&gt;COUNTIF($C$7:indirect(""C""&amp;row()),indirect(""C""&amp;row()))),""Mean of 3"",
AND(C61=""3x3 MBLD"",MOD(COUNTIF($C$7:indirect(""C""&amp;row()),indirect(""C""&amp;row())),3)=1,
COUNTIF($C$7:$C$102,indirect"&amp;"(""C""&amp;row()))&lt;=COUNTIF($C$7:indirect(""C""&amp;row()),indirect(""C""&amp;row()))),""Best of 1"",
AND(C61=""3x3 MBLD"",MOD(COUNTIF($C$7:indirect(""C""&amp;row()),indirect(""C""&amp;row())),3)=1,
COUNTIF($C$7:$C$102,indirect(""C""&amp;row()))=COUNTIF($C$7:indirect(""C""&amp;row()"&amp;"),indirect(""C""&amp;row()))+1),""Best of 2"",
AND(C61=""3x3 MBLD"",MOD(COUNTIF($C$7:indirect(""C""&amp;row()),indirect(""C""&amp;row())),3)=1,
COUNTIF($C$7:$C$102,indirect(""C""&amp;row()))&gt;COUNTIF($C$7:indirect(""C""&amp;row()),indirect(""C""&amp;row()))),""Best of 3"",
TRUE,("&amp;"IFERROR(FILTER(Info!$D$2:D87, Info!$A$2:A87 = C61), """")))"),"")</f>
        <v/>
      </c>
      <c r="G61" s="64" t="str">
        <f>IFERROR(__xludf.DUMMYFUNCTION("IFS(OR(COUNTIF(Info!$A$22:A87,C61)&gt;0,C61=""""),"""",
OR(""3x3 MBLD""=C61,""3x3 FMC""=C61),60,
AND(E61=1,FILTER(Info!$F$2:F87, Info!$A$2:A87 = C61) = ""No""),FILTER(Info!$P$2:P87, Info!$A$2:A87 = C61),
AND(E61=2,FILTER(Info!$F$2:F87, Info!$A$2:A87 = C61) ="&amp;" ""No""),FILTER(Info!$Q$2:Q87, Info!$A$2:A87 = C61),
AND(E61=3,FILTER(Info!$F$2:F87, Info!$A$2:A87 = C61) = ""No""),FILTER(Info!$R$2:R87, Info!$A$2:A87 = C61),
AND(E61=""Final"",FILTER(Info!$F$2:F87, Info!$A$2:A87 = C61) = ""No""),FILTER(Info!$S$2:S87, In"&amp;"fo!$A$2:A87 = C61),
FILTER(Info!$F$2:F87, Info!$A$2:A87 = C61) = ""Yes"","""")"),"")</f>
        <v/>
      </c>
      <c r="H61" s="64" t="str">
        <f>IFERROR(__xludf.DUMMYFUNCTION("IFS(OR(COUNTIF(Info!$A$22:A87,C61)&gt;0,C61=""""),"""",
OR(""3x3 MBLD""=C61,""3x3 FMC""=C61)=TRUE,"""",
FILTER(Info!$F$2:F87, Info!$A$2:A87 = C61) = ""Yes"",FILTER(Info!$O$2:O87, Info!$A$2:A87 = C61),
FILTER(Info!$F$2:F87, Info!$A$2:A87 = C61) = ""No"",IF(G6"&amp;"1="""",FILTER(Info!$O$2:O87, Info!$A$2:A87 = C61),""""))"),"")</f>
        <v/>
      </c>
      <c r="I61" s="64" t="str">
        <f>IFERROR(__xludf.DUMMYFUNCTION("IFS(OR(COUNTIF(Info!$A$22:A87,C61)&gt;0,C61="""",H61&lt;&gt;""""),"""",
AND(E61&lt;&gt;1,E61&lt;&gt;""R1 - A1"",E61&lt;&gt;""R1 - A2"",E61&lt;&gt;""R1 - A3""),"""",
FILTER(Info!$E$2:E87, Info!$A$2:A87 = C61) = ""Yes"",IF(H61="""",FILTER(Info!$L$2:L87, Info!$A$2:A87 = C61),""""),
FILTER(I"&amp;"nfo!$E$2:E87, Info!$A$2:A87 = C61) = ""No"","""")"),"")</f>
        <v/>
      </c>
      <c r="J61" s="64" t="str">
        <f>IFERROR(__xludf.DUMMYFUNCTION("IFS(OR(COUNTIF(Info!$A$22:A87,C61)&gt;0,C61="""",""3x3 MBLD""=C61,""3x3 FMC""=C61),"""",
AND(E61=1,FILTER(Info!$H$2:H87,Info!$A$2:A87 = C61)&lt;=FILTER(Info!$H$2:H87,Info!$A$2:A87=$K$2)),
ROUNDUP((FILTER(Info!$H$2:H87,Info!$A$2:A87 = C61)/FILTER(Info!$H$2:H87,I"&amp;"nfo!$A$2:A87=$K$2))*$I$2),
AND(E61=1,FILTER(Info!$H$2:H87,Info!$A$2:A87 = C61)&gt;FILTER(Info!$H$2:H87,Info!$A$2:A87=$K$2)),""K2 - Error"",
AND(E61=2,FILTER($J$7:indirect(""J""&amp;row()-1),$C$7:indirect(""C""&amp;row()-1)=C61)&lt;=7),""J - Error"",
E61=2,FLOOR(FILTER("&amp;"$J$7:indirect(""J""&amp;row()-1),$C$7:indirect(""C""&amp;row()-1)=C61)*Info!$T$32),
AND(E61=3,FILTER($J$7:indirect(""J""&amp;row()-1),$C$7:indirect(""C""&amp;row()-1)=C61)&lt;=15),""J - Error"",
E61=3,FLOOR(Info!$T$32*FLOOR(FILTER($J$7:indirect(""J""&amp;row()-1),$C$7:indirect("&amp;"""C""&amp;row()-1)=C61)*Info!$T$32)),
AND(E61=""Final"",COUNTIF($C$7:$C$102,C61)=2,FILTER($J$7:indirect(""J""&amp;row()-1),$C$7:indirect(""C""&amp;row()-1)=C61)&lt;=7),""J - Error"",
AND(E61=""Final"",COUNTIF($C$7:$C$102,C61)=2),
MIN(P61,FLOOR(FILTER($J$7:indirect(""J"""&amp;"&amp;row()-1),$C$7:indirect(""C""&amp;row()-1)=C61)*Info!$T$32)),
AND(E61=""Final"",COUNTIF($C$7:$C$102,C61)=3,FILTER($J$7:indirect(""J""&amp;row()-1),$C$7:indirect(""C""&amp;row()-1)=C61)&lt;=15),""J - Error"",
AND(E61=""Final"",COUNTIF($C$7:$C$102,C61)=3),
MIN(P61,FLOOR(I"&amp;"nfo!$T$32*FLOOR(FILTER($J$7:indirect(""J""&amp;row()-1),$C$7:indirect(""C""&amp;row()-1)=C61)*Info!$T$32))),
AND(E61=""Final"",COUNTIF($C$7:$C$102,C61)&gt;=4,FILTER($J$7:indirect(""J""&amp;row()-1),$C$7:indirect(""C""&amp;row()-1)=C61)&lt;=99),""J - Error"",
AND(E61=""Final"","&amp;"COUNTIF($C$7:$C$102,C61)&gt;=4),
MIN(P61,FLOOR(Info!$T$32*FLOOR(Info!$T$32*FLOOR(FILTER($J$7:indirect(""J""&amp;row()-1),$C$7:indirect(""C""&amp;row()-1)=C61)*Info!$T$32)))))"),"")</f>
        <v/>
      </c>
      <c r="K61" s="41" t="str">
        <f>IFERROR(__xludf.DUMMYFUNCTION("IFS(AND(indirect(""D""&amp;row()+2)&lt;&gt;$E$2,indirect(""D""&amp;row()+1)=""""),CONCATENATE(""Tom rad! Kopiera hela rad ""&amp;row()&amp;"" dit""),
AND(indirect(""D""&amp;row()-1)&lt;&gt;""Rum"",indirect(""D""&amp;row()-1)=""""),CONCATENATE(""Tom rad! Kopiera hela rad ""&amp;row()&amp;"" dit""),
"&amp;"C61="""","""",
COUNTIF(Info!$A$22:A87,$K$2)&gt;0,""Det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OR(AND(D61&lt;&gt;$E$2,D61&lt;&gt;$E$4,D61&lt;&gt;$K$4,D61&lt;&gt;$Q$4),D61="&amp;"""""),CONCATENATE(""Rum: ""&amp;D61&amp;"" finns ej, byt i D""&amp;row()),
AND(indirect(""D""&amp;row()-1)=""Rum"",C61=""""),CONCATENATE(""För att börja: skriv i cell C""&amp;row()),
AND(C61=""Paus"",M61&lt;=0),CONCATENATE(""Skriv pausens längd i M""&amp;row()),
OR(COUNTIF(Info!$A$"&amp;"22:A87,C61)&gt;0,C61=""""),"""",
AND(D61&lt;&gt;$E$2,$O$2=""Yes"",A61=""=time(hh;mm;ss)""),CONCATENATE(""Skriv starttid för ""&amp;C61&amp;"" i A""&amp;row()),
E61=""E - Error"",CONCATENATE(""För många ""&amp;C61&amp;"" rundor!""),
AND(C61&lt;&gt;""3x3 FMC"",C61&lt;&gt;""3x3 MBLD"",E61&lt;&gt;1,E61&lt;&gt;"&amp;"""Final"",IFERROR(FILTER($E$7:indirect(""E""&amp;row()-1),
$E$7:indirect(""E""&amp;row()-1)=E61-1,$C$7:indirect(""C""&amp;row()-1)=C61))=FALSE),CONCATENATE(""Kan ej vara R""&amp;E61&amp;"", saknar R""&amp;(E61-1)),
AND(indirect(""E""&amp;row()-1)&lt;&gt;""Omgång"",IFERROR(FILTER($E$7:indi"&amp;"rect(""E""&amp;row()-1),
$E$7:indirect(""E""&amp;row()-1)=E61,$C$7:indirect(""C""&amp;row()-1)=C61)=E61)=TRUE),CONCATENATE(""Runda ""&amp;E61&amp;"" i ""&amp;C61&amp;"" finns redan""),
AND(C61&lt;&gt;""3x3 BLD"",C61&lt;&gt;""4x4 BLD"",C61&lt;&gt;""5x5 BLD"",C61&lt;&gt;""4x4 / 5x5 BLD"",OR(E61=2,E61=3,E61="&amp;"""Final""),H61&lt;&gt;""""),CONCATENATE(E61&amp;""-rundor brukar ej ha c.t.l.""),
AND(OR(E61=2,E61=3,E61=""Final""),I61&lt;&gt;""""),CONCATENATE(E61&amp;""-rundor brukar ej ha cutoff""),
AND(OR(C61=""3x3 FMC"",C61=""3x3 MBLD""),OR(E61=1,E61=2,E61=3,E61=""Final"")),CONCATENAT"&amp;"E(C61&amp;""s omgång är Rx - Ax""),
AND(C61&lt;&gt;""3x3 MBLD"",C61&lt;&gt;""3x3 FMC"",FILTER(Info!$D$2:D87, Info!$A$2:A87 = C61)&lt;&gt;F61),CONCATENATE(C61&amp;"" måste ha formatet ""&amp;FILTER(Info!$D$2:D87, Info!$A$2:A87 = C61)),
AND(C61=""3x3 MBLD"",OR(F61=""Avg of 5"",F61=""Mea"&amp;"n of 3"")),CONCATENATE(""Ogiltigt format för ""&amp;C61),
AND(C61=""3x3 FMC"",OR(F61=""Avg of 5"",F61=""Best of 3"")),CONCATENATE(""Ogiltigt format för ""&amp;C61),
AND(OR(F61=""Best of 1"",F61=""Best of 2"",F61=""Best of 3""),I61&lt;&gt;""""),CONCATENATE(F61&amp;""-rundor"&amp;" får ej ha cutoff""),
AND(OR(C61=""3x3 FMC"",C61=""3x3 MBLD""),G61&lt;&gt;60),CONCATENATE(C61&amp;"" måste ha time limit: 60""),
AND(OR(C61=""3x3 FMC"",C61=""3x3 MBLD""),H61&lt;&gt;""""),CONCATENATE(C61&amp;"" kan inte ha c.t.l.""),
AND(G61&lt;&gt;"""",H61&lt;&gt;""""),""Välj time limit"&amp;" ELLER c.t.l"",
AND(C61=""6x6 / 7x7"",G61="""",H61=""""),""Sätt time limit (x / y) eller c.t.l (z)"",
AND(G61="""",H61=""""),""Sätt en time limit eller c.t.l"",
AND(OR(C61=""6x6 / 7x7"",C61=""4x4 / 5x5 BLD""),G61&lt;&gt;"""",REGEXMATCH(TO_TEXT(G61),"" / "")=FAL"&amp;"SE),CONCATENATE(""Time limit måste vara x / y""),
AND(H61&lt;&gt;"""",I61&lt;&gt;""""),CONCATENATE(C61&amp;"" brukar ej ha cutoff OCH c.t.l""),
AND(E61=1,H61="""",I61="""",OR(FILTER(Info!$E$2:E87, Info!$A$2:A87 = C61) = ""Yes"",FILTER(Info!$F$2:F87, Info!$A$2:A87 = C61) "&amp;"= ""Yes""),OR(F61=""Avg of 5"",F61=""Mean of 3"")),CONCATENATE(C61&amp;"" bör ha cutoff eller c.t.l""),
AND(C61=""6x6 / 7x7"",I61&lt;&gt;"""",REGEXMATCH(TO_TEXT(I61),"" / "")=FALSE),CONCATENATE(""Cutoff måste vara x / y""),
AND(H61&lt;&gt;"""",ISNUMBER(H61)=FALSE),""C.t."&amp;"l. måste vara positivt tal (x)"",
AND(C61&lt;&gt;""6x6 / 7x7"",I61&lt;&gt;"""",ISNUMBER(I61)=FALSE),""Cutoff måste vara positivt tal (x)"",
AND(H61&lt;&gt;"""",FILTER(Info!$E$2:E87, Info!$A$2:A87 = C61) = ""No"",FILTER(Info!$F$2:F87, Info!$A$2:A87 = C61) = ""No""),CONCATEN"&amp;"ATE(C61&amp;"" brukar inte ha c.t.l.""),
AND(I61&lt;&gt;"""",FILTER(Info!$E$2:E87, Info!$A$2:A87 = C61) = ""No"",FILTER(Info!$F$2:F87, Info!$A$2:A87 = C61) = ""No""),CONCATENATE(C61&amp;"" brukar inte ha cutoff""),
AND(H61="""",FILTER(Info!$F$2:F87, Info!$A$2:A87 = C61"&amp;") = ""Yes""),CONCATENATE(C61&amp;"" brukar ha c.t.l.""),
AND(C61&lt;&gt;""6x6 / 7x7"",C61&lt;&gt;""4x4 / 5x5 BLD"",G61&lt;&gt;"""",ISNUMBER(G61)=FALSE),""Time limit måste vara positivt tal (x)"",
J61=""J - Error"",CONCATENATE(""För få deltagare i R1 för ""&amp;COUNTIF($C$7:$C$102,"&amp;"indirect(""C""&amp;row()))&amp;"" rundor""),
J61=""K2 - Error"",CONCATENATE(C61&amp;"" är mer populär - byt i K2!""),
AND(C61&lt;&gt;""6x6 / 7x7"",C61&lt;&gt;""4x4 / 5x5 BLD"",G61&lt;&gt;"""",I61&lt;&gt;"""",G61&lt;=I61),""Time limit måste vara &gt; cutoff"",
AND(C61&lt;&gt;""6x6 / 7x7"",C61&lt;&gt;""4x4 / 5"&amp;"x5 BLD"",H61&lt;&gt;"""",I61&lt;&gt;"""",H61&lt;=I61),""C.t.l. måste vara &gt; cutoff"",
AND(C61&lt;&gt;""3x3 FMC"",C61&lt;&gt;""3x3 MBLD"",J61=""""),CONCATENATE(""Fyll i antal deltagare i J""&amp;row()),
AND(C61="""",OR(E61&lt;&gt;"""",F61&lt;&gt;"""",G61&lt;&gt;"""",H61&lt;&gt;"""",I61&lt;&gt;"""",J61&lt;&gt;"""")),""Skri"&amp;"v ALLTID gren / aktivitet först"",
AND(I61="""",H61="""",J61&lt;&gt;""""),J61,
OR(""3x3 FMC""=C61,""3x3 MBLD""=C61),J61,
AND(I61&lt;&gt;"""",""6x6 / 7x7""=C61),
IFS(ArrayFormula(SUM(IFERROR(SPLIT(I61,"" / ""))))&lt;(Info!$J$6+Info!$J$7)*2/3,CONCATENATE(""Höj helst cutof"&amp;"fs i ""&amp;C61),
ArrayFormula(SUM(IFERROR(SPLIT(I61,"" / ""))))&lt;=(Info!$J$6+Info!$J$7),ROUNDUP(J61*Info!$J$22),
ArrayFormula(SUM(IFERROR(SPLIT(I61,"" / ""))))&lt;=Info!$J$6+Info!$J$7,ROUNDUP(J61*Info!$K$22),
ArrayFormula(SUM(IFERROR(SPLIT(I61,"" / ""))))&lt;=Info!"&amp;"$K$6+Info!$K$7,ROUNDUP(J61*Info!L$22),
ArrayFormula(SUM(IFERROR(SPLIT(I61,"" / ""))))&lt;=Info!$L$6+Info!$L$7,ROUNDUP(J61*Info!$M$22),
ArrayFormula(SUM(IFERROR(SPLIT(I61,"" / ""))))&lt;=Info!$M$6+Info!$M$7,ROUNDUP(J61*Info!$N$22),
ArrayFormula(SUM(IFERROR(SPLIT"&amp;"(I61,"" / ""))))&lt;=(Info!$N$6+Info!$N$7)*3/2,ROUNDUP(J61*Info!$J$26),
ArrayFormula(SUM(IFERROR(SPLIT(I61,"" / ""))))&gt;(Info!$N$6+Info!$N$7)*3/2,CONCATENATE(""Sänk helst cutoffs i ""&amp;C61)),
AND(I61&lt;&gt;"""",FILTER(Info!$E$2:E87, Info!$A$2:A87 = C61) = ""Yes""),"&amp;"
IFS(I61&lt;FILTER(Info!$J$2:J87, Info!$A$2:A87 = C61)*2/3,CONCATENATE(""Höj helst cutoff i ""&amp;C61),
I61&lt;=FILTER(Info!$J$2:J87, Info!$A$2:A87 = C61),ROUNDUP(J61*Info!$J$22),
I61&lt;=FILTER(Info!$K$2:K87, Info!$A$2:A87 = C61),ROUNDUP(J61*Info!$K$22),
I61&lt;=FILTER"&amp;"(Info!$L$2:L87, Info!$A$2:A87 = C61),ROUNDUP(J61*Info!L$22),
I61&lt;=FILTER(Info!$M$2:M87, Info!$A$2:A87 = C61),ROUNDUP(J61*Info!$M$22),
I61&lt;=FILTER(Info!$N$2:N87, Info!$A$2:A87 = C61),ROUNDUP(J61*Info!$N$22),
I61&lt;=FILTER(Info!$N$2:N87, Info!$A$2:A87 = C61)*"&amp;"3/2,ROUNDUP(J61*Info!$J$26),
I61&gt;FILTER(Info!$N$2:N87, Info!$A$2:A87 = C61)*3/2,CONCATENATE(""Sänk helst cutoff i ""&amp;C61)),
AND(H61&lt;&gt;"""",""6x6 / 7x7""=C61),
IFS(H61/3&lt;=(Info!$J$6+Info!$J$7)*2/3,""Höj helst cumulative time limit"",
H61/3&lt;=Info!$J$6+Info!$"&amp;"J$7,ROUNDUP(J61*Info!$J$24),
H61/3&lt;=Info!$K$6+Info!$K$7,ROUNDUP(J61*Info!$K$24),
H61/3&lt;=Info!$L$6+Info!$L$7,ROUNDUP(J61*Info!L$24),
H61/3&lt;=Info!$M$6+Info!$M$7,ROUNDUP(J61*Info!$M$24),
H61/3&lt;=Info!$N$6+Info!$N$7,ROUNDUP(J61*Info!$N$24),
H61/3&lt;=(Info!$N$6+I"&amp;"nfo!$N$7)*3/2,ROUNDUP(J61*Info!$L$26),
H61/3&gt;(Info!$J$6+Info!$J$7)*3/2,""Sänk helst cumulative time limit""),
AND(H61&lt;&gt;"""",FILTER(Info!$F$2:F87, Info!$A$2:A87 = C61) = ""Yes""),
IFS(H61&lt;=FILTER(Info!$J$2:J87, Info!$A$2:A87 = C61)*2/3,CONCATENATE(""Höj he"&amp;"lst c.t.l. i ""&amp;C61),
H61&lt;=FILTER(Info!$J$2:J87, Info!$A$2:A87 = C61),ROUNDUP(J61*Info!$J$24),
H61&lt;=FILTER(Info!$K$2:K87, Info!$A$2:A87 = C61),ROUNDUP(J61*Info!$K$24),
H61&lt;=FILTER(Info!$L$2:L87, Info!$A$2:A87 = C61),ROUNDUP(J61*Info!L$24),
H61&lt;=FILTER(Inf"&amp;"o!$M$2:M87, Info!$A$2:A87 = C61),ROUNDUP(J61*Info!$M$24),
H61&lt;=FILTER(Info!$N$2:N87, Info!$A$2:A87 = C61),ROUNDUP(J61*Info!$N$24),
H61&lt;=FILTER(Info!$N$2:N87, Info!$A$2:A87 = C61)*3/2,ROUNDUP(J61*Info!$L$26),
H61&gt;FILTER(Info!$N$2:N87, Info!$A$2:A87 = C61)*"&amp;"3/2,CONCATENATE(""Sänk helst c.t.l. i ""&amp;C61)),
AND(H61&lt;&gt;"""",FILTER(Info!$F$2:F87, Info!$A$2:A87 = C61) = ""No""),
IFS(H61/AA61&lt;=FILTER(Info!$J$2:J87, Info!$A$2:A87 = C61)*2/3,CONCATENATE(""Höj helst c.t.l. i ""&amp;C61),
H61/AA61&lt;=FILTER(Info!$J$2:J87, Info"&amp;"!$A$2:A87 = C61),ROUNDUP(J61*Info!$J$24),
H61/AA61&lt;=FILTER(Info!$K$2:K87, Info!$A$2:A87 = C61),ROUNDUP(J61*Info!$K$24),
H61/AA61&lt;=FILTER(Info!$L$2:L87, Info!$A$2:A87 = C61),ROUNDUP(J61*Info!L$24),
H61/AA61&lt;=FILTER(Info!$M$2:M87, Info!$A$2:A87 = C61),ROUND"&amp;"UP(J61*Info!$M$24),
H61/AA61&lt;=FILTER(Info!$N$2:N87, Info!$A$2:A87 = C61),ROUNDUP(J61*Info!$N$24),
H61/AA61&lt;=FILTER(Info!$N$2:N87, Info!$A$2:A87 = C61)*3/2,ROUNDUP(J61*Info!$L$26),
H61/AA61&gt;FILTER(Info!$N$2:N87, Info!$A$2:A87 = C61)*3/2,CONCATENATE(""Sänk "&amp;"helst c.t.l. i ""&amp;C61)),
AND(I61="""",H61&lt;&gt;"""",J61&lt;&gt;""""),ROUNDUP(J61*Info!$T$29),
AND(I61&lt;&gt;"""",H61="""",J61&lt;&gt;""""),ROUNDUP(J61*Info!$T$26))"),"")</f>
        <v/>
      </c>
      <c r="L61" s="42">
        <f>IFERROR(__xludf.DUMMYFUNCTION("IFS(C61="""",0,
C61=""3x3 FMC"",Info!$B$9*N61+M61, C61=""3x3 MBLD"",Info!$B$18*N61+M61,
COUNTIF(Info!$A$22:A87,C61)&gt;0,FILTER(Info!$B$22:B87,Info!$A$22:A87=C61)+M61,
AND(C61&lt;&gt;"""",E61=""""),CONCATENATE(""Fyll i E""&amp;row()),
AND(C61&lt;&gt;"""",E61&lt;&gt;"""",E61&lt;&gt;1,E6"&amp;"1&lt;&gt;2,E61&lt;&gt;3,E61&lt;&gt;""Final""),CONCATENATE(""Fel format på E""&amp;row()),
K61=CONCATENATE(""Runda ""&amp;E61&amp;"" i ""&amp;C61&amp;"" finns redan""),CONCATENATE(""Fel i E""&amp;row()),
AND(C61&lt;&gt;"""",F61=""""),CONCATENATE(""Fyll i F""&amp;row()),
K61=CONCATENATE(C61&amp;"" måste ha forma"&amp;"tet ""&amp;FILTER(Info!$D$2:D87, Info!$A$2:A87 = C61)),CONCATENATE(""Fel format på F""&amp;row()),
AND(C61&lt;&gt;"""",D61=1,H61="""",FILTER(Info!$F$2:F87, Info!$A$2:A87 = C61) = ""Yes""),CONCATENATE(""Fyll i H""&amp;row()),
AND(C61&lt;&gt;"""",D61=1,I61="""",FILTER(Info!$E$2:E8"&amp;"7, Info!$A$2:A87 = C61) = ""Yes""),CONCATENATE(""Fyll i I""&amp;row()),
AND(C61&lt;&gt;"""",J61=""""),CONCATENATE(""Fyll i J""&amp;row()),
AND(C61&lt;&gt;"""",K61="""",OR(H61&lt;&gt;"""",I61&lt;&gt;"""")),CONCATENATE(""Fyll i K""&amp;row()),
AND(C61&lt;&gt;"""",K61=""""),CONCATENATE(""Skriv samma"&amp;" i K""&amp;row()&amp;"" som i J""&amp;row()),
AND(OR(C61=""4x4 BLD"",C61=""5x5 BLD"",C61=""4x4 / 5x5 BLD"")=TRUE,V61&lt;=P61),
MROUND(H61*(Info!$T$20-((Info!$T$20-1)/2)*(1-V61/P61))*(1+((J61/K61)-1)*(1-Info!$J$24))*N61+(Info!$T$11/2)+(N61*Info!$T$11)+(N61*Info!$T$14*(O6"&amp;"1-1)),0.01)+M61,
AND(OR(C61=""4x4 BLD"",C61=""5x5 BLD"",C61=""4x4 / 5x5 BLD"")=TRUE,V61&gt;P61),
MROUND((((J61*Z61+K61*(AA61-Z61))*(H61*Info!$T$20/AA61))/X61)*(1+((J61/K61)-1)*(1-Info!$J$24))*(1+(X61-Info!$T$8)/100)+(Info!$T$11/2)+(N61*Info!$T$11)+(N61*Info!"&amp;"$T$14*(O61-1)),0.01)+M61,
AND(C61=""3x3 BLD"",V61&lt;=P61),
MROUND(H61*(Info!$T$23-((Info!$T$23-1)/2)*(1-V61/P61))*(1+((J61/K61)-1)*(1-Info!$J$24))*N61+(Info!$T$11/2)+(N61*Info!$T$11)+(N61*Info!$T$14*(O61-1)),0.01)+M61,
AND(C61=""3x3 BLD"",V61&gt;P61),
MROUND(("&amp;"((J61*Z61+K61*(AA61-Z61))*(H61*Info!$T$23/AA61))/X61)*(1+((J61/K61)-1)*(1-Info!$J$24))*(1+(X61-Info!$T$8)/100)+(Info!$T$11/2)+(N61*Info!$T$11)+(N61*Info!$T$14*(O61-1)),0.01)+M61,
E61=1,MROUND((((J61*Z61+K61*(AA61-Z61))*Y61)/X61)*(1+(X61-Info!$T$8)/100)+(N"&amp;"61*Info!$T$11)+(N61*Info!$T$14*(O61-1)),0.01)+M61,
AND(E61=""Final"",N61=1,FILTER(Info!$G$2:$G$20,Info!$A$2:$A$20=C61)=""Mycket svår""),
MROUND((((J61*Z61+K61*(AA61-Z61))*(Y61*Info!$T$38))/X61)*(1+(X61-Info!$T$8)/100)+(N61*Info!$T$11)+(N61*Info!$T$14*(O61"&amp;"-1)),0.01)+M61,
AND(E61=""Final"",N61=1,FILTER(Info!$G$2:$G$20,Info!$A$2:$A$20=C61)=""Svår""),
MROUND((((J61*Z61+K61*(AA61-Z61))*(Y61*Info!$T$35))/X61)*(1+(X61-Info!$T$8)/100)+(N61*Info!$T$11)+(N61*Info!$T$14*(O61-1)),0.01)+M61,
E61=""Final"",MROUND((((J6"&amp;"1*Z61+K61*(AA61-Z61))*(Y61*Info!$T$5))/X61)*(1+(X61-Info!$T$8)/100)+(N61*Info!$T$11)+(N61*Info!$T$14*(O61-1)),0.01)+M61,
OR(E61=2,E61=3),MROUND((((J61*Z61+K61*(AA61-Z61))*(Y61*Info!$T$2))/X61)*(1+(X61-Info!$T$8)/100)+(N61*Info!$T$11)+(N61*Info!$T$14*(O61-"&amp;"1)),0.01)+M61)"),0.0)</f>
        <v>0</v>
      </c>
      <c r="M61" s="43">
        <f t="shared" si="6"/>
        <v>0</v>
      </c>
      <c r="N61" s="43" t="str">
        <f>IFS(OR(COUNTIF(Info!$A$22:A87,C61)&gt;0,C61=""),"",
OR(C61="4x4 BLD",C61="5x5 BLD",C61="3x3 MBLD",C61="3x3 FMC",C61="4x4 / 5x5 BLD"),1,
AND(E61="Final",Q61="Yes",MAX(1,ROUNDUP(J61/P61))&gt;1),MAX(2,ROUNDUP(J61/P61)),
AND(E61="Final",Q61="No",MAX(1,ROUNDUP(J61/((P61*2)+2.625-Y61*1.5)))&gt;1),MAX(2,ROUNDUP(J61/((P61*2)+2.625-Y61*1.5))),
E61="Final",1,
Q61="Yes",MAX(2,ROUNDUP(J61/P61)),
TRUE,MAX(2,ROUNDUP(J61/((P61*2)+2.625-Y61*1.5))))</f>
        <v/>
      </c>
      <c r="O61" s="43" t="str">
        <f>IFS(OR(COUNTIF(Info!$A$22:A87,C61)&gt;0,C61=""),"",
OR("3x3 MBLD"=C61,"3x3 FMC"=C61)=TRUE,"",
D61=$E$4,$G$6,D61=$K$4,$M$6,D61=$Q$4,$S$6,D61=$W$4,$Y$6,
TRUE,$S$2)</f>
        <v/>
      </c>
      <c r="P61" s="43" t="str">
        <f>IFS(OR(COUNTIF(Info!$A$22:A87,C61)&gt;0,C61=""),"",
OR("3x3 MBLD"=C61,"3x3 FMC"=C61)=TRUE,"",
D61=$E$4,$E$6,D61=$K$4,$K$6,D61=$Q$4,$Q$6,D61=$W$4,$W$6,
TRUE,$Q$2)</f>
        <v/>
      </c>
      <c r="Q61" s="44" t="str">
        <f>IFS(OR(COUNTIF(Info!$A$22:A87,C61)&gt;0,C61=""),"",
OR("3x3 MBLD"=C61,"3x3 FMC"=C61)=TRUE,"",
D61=$E$4,$I$6,D61=$K$4,$O$6,D61=$Q$4,$U$6,D61=$W$4,$AA$6,
TRUE,$U$2)</f>
        <v/>
      </c>
      <c r="R61" s="65" t="str">
        <f>IFERROR(__xludf.DUMMYFUNCTION("IF(C61="""","""",IFERROR(FILTER(Info!$B$22:B87,Info!$A$22:A87=C61)+M61,""?""))"),"")</f>
        <v/>
      </c>
      <c r="S61" s="66" t="str">
        <f>IFS(OR(COUNTIF(Info!$A$22:A87,C61)&gt;0,C61=""),"",
AND(H61="",I61=""),J61,
TRUE,"?")</f>
        <v/>
      </c>
      <c r="T61" s="65" t="str">
        <f>IFS(OR(COUNTIF(Info!$A$22:A87,C61)&gt;0,C61=""),"",
AND(L61&lt;&gt;0,OR(R61="?",R61="")),"Fyll i R-kolumnen",
OR(C61="3x3 FMC",C61="3x3 MBLD"),R61,
AND(L61&lt;&gt;0,OR(S61="?",S61="")),"Fyll i S-kolumnen",
OR(COUNTIF(Info!$A$22:A87,C61)&gt;0,C61=""),"",
TRUE,Y61*R61/L61)</f>
        <v/>
      </c>
      <c r="U61" s="65"/>
      <c r="V61" s="67" t="str">
        <f>IFS(OR(COUNTIF(Info!$A$22:A87,C61)&gt;0,C61=""),"",
OR("3x3 MBLD"=C61,"3x3 FMC"=C61)=TRUE,"",
TRUE,MROUND((J61/N61),0.01))</f>
        <v/>
      </c>
      <c r="W61" s="68" t="str">
        <f>IFS(OR(COUNTIF(Info!$A$22:A87,C61)&gt;0,C61=""),"",
TRUE,L61/N61)</f>
        <v/>
      </c>
      <c r="X61" s="67" t="str">
        <f>IFS(OR(COUNTIF(Info!$A$22:A87,C61)&gt;0,C61=""),"",
OR("3x3 MBLD"=C61,"3x3 FMC"=C61)=TRUE,"",
OR(C61="4x4 BLD",C61="5x5 BLD",C61="4x4 / 5x5 BLD",AND(C61="3x3 BLD",H61&lt;&gt;""))=TRUE,MIN(V61,P61),
TRUE,MIN(P61,V61,MROUND(((V61*2/3)+((Y61-1.625)/2)),0.01)))</f>
        <v/>
      </c>
      <c r="Y61" s="68" t="str">
        <f>IFERROR(__xludf.DUMMYFUNCTION("IFS(OR(COUNTIF(Info!$A$22:A87,C61)&gt;0,C61=""""),"""",
FILTER(Info!$F$2:F87, Info!$A$2:A87 = C61) = ""Yes"",H61/AA61,
""3x3 FMC""=C61,Info!$B$9,""3x3 MBLD""=C61,Info!$B$18,
AND(E61=1,I61="""",H61="""",Q61=""No"",G61&gt;SUMIF(Info!$A$2:A87,C61,Info!$B$2:B87)*1."&amp;"5),
MIN(SUMIF(Info!$A$2:A87,C61,Info!$B$2:B87)*1.1,SUMIF(Info!$A$2:A87,C61,Info!$B$2:B87)*(1.15-(0.15*(SUMIF(Info!$A$2:A87,C61,Info!$B$2:B87)*1.5)/G61))),
AND(E61=1,I61="""",H61="""",Q61=""Yes"",G61&gt;SUMIF(Info!$A$2:A87,C61,Info!$C$2:C87)*1.5),
MIN(SUMIF(I"&amp;"nfo!$A$2:A87,C61,Info!$C$2:C87)*1.1,SUMIF(Info!$A$2:A87,C61,Info!$C$2:C87)*(1.15-(0.15*(SUMIF(Info!$A$2:A87,C61,Info!$C$2:C87)*1.5)/G61))),
Q61=""No"",SUMIF(Info!$A$2:A87,C61,Info!$B$2:B87),
Q61=""Yes"",SUMIF(Info!$A$2:A87,C61,Info!$C$2:C87))"),"")</f>
        <v/>
      </c>
      <c r="Z61" s="67" t="str">
        <f>IFS(OR(COUNTIF(Info!$A$22:A87,C61)&gt;0,C61=""),"",
AND(OR("3x3 FMC"=C61,"3x3 MBLD"=C61),I61&lt;&gt;""),1,
AND(OR(H61&lt;&gt;"",I61&lt;&gt;""),F61="Avg of 5"),2,
F61="Avg of 5",AA61,
AND(OR(H61&lt;&gt;"",I61&lt;&gt;""),F61="Mean of 3",C61="6x6 / 7x7"),2,
AND(OR(H61&lt;&gt;"",I61&lt;&gt;""),F61="Mean of 3"),1,
F61="Mean of 3",AA61,
AND(OR(H61&lt;&gt;"",I61&lt;&gt;""),F61="Best of 3",C61="4x4 / 5x5 BLD"),2,
AND(OR(H61&lt;&gt;"",I61&lt;&gt;""),F61="Best of 3"),1,
F61="Best of 2",AA61,
F61="Best of 1",AA61)</f>
        <v/>
      </c>
      <c r="AA61" s="67" t="str">
        <f>IFS(OR(COUNTIF(Info!$A$22:A87,C61)&gt;0,C61=""),"",
AND(OR("3x3 MBLD"=C61,"3x3 FMC"=C61),F61="Best of 1"=TRUE),1,
AND(OR("3x3 MBLD"=C61,"3x3 FMC"=C61),F61="Best of 2"=TRUE),2,
AND(OR("3x3 MBLD"=C61,"3x3 FMC"=C61),OR(F61="Best of 3",F61="Mean of 3")=TRUE),3,
AND(F61="Mean of 3",C61="6x6 / 7x7"),6,
AND(F61="Best of 3",C61="4x4 / 5x5 BLD"),6,
F61="Avg of 5",5,F61="Mean of 3",3,F61="Best of 3",3,F61="Best of 2",2,F61="Best of 1",1)</f>
        <v/>
      </c>
      <c r="AB61" s="69"/>
    </row>
    <row r="62" ht="15.75" customHeight="1">
      <c r="A62" s="62">
        <f>IFERROR(__xludf.DUMMYFUNCTION("IFS(indirect(""A""&amp;row()-1)=""Start"",TIME(indirect(""A""&amp;row()-2),indirect(""B""&amp;row()-2),0),
$O$2=""No"",TIME(0,($A$6*60+$B$6)+CEILING(SUM($L$7:indirect(""L""&amp;row()-1)),5),0),
D62=$E$2,TIME(0,($A$6*60+$B$6)+CEILING(SUM(IFERROR(FILTER($L$7:indirect(""L"""&amp;"&amp;row()-1),REGEXMATCH($D$7:indirect(""D""&amp;row()-1),$E$2)),0)),5),0),
TRUE,""=time(hh;mm;ss)"")"),0.3645833333333335)</f>
        <v>0.3645833333</v>
      </c>
      <c r="B62" s="63">
        <f>IFERROR(__xludf.DUMMYFUNCTION("IFS($O$2=""No"",TIME(0,($A$6*60+$B$6)+CEILING(SUM($L$7:indirect(""L""&amp;row())),5),0),
D62=$E$2,TIME(0,($A$6*60+$B$6)+CEILING(SUM(FILTER($L$7:indirect(""L""&amp;row()),REGEXMATCH($D$7:indirect(""D""&amp;row()),$E$2))),5),0),
A62=""=time(hh;mm;ss)"",CONCATENATE(""Sk"&amp;"riv tid i A""&amp;row()),
AND(A62&lt;&gt;"""",A62&lt;&gt;""=time(hh;mm;ss)""),A62+TIME(0,CEILING(indirect(""L""&amp;row()),5),0))"),0.3645833333333335)</f>
        <v>0.3645833333</v>
      </c>
      <c r="C62" s="37"/>
      <c r="D62" s="64" t="str">
        <f t="shared" si="7"/>
        <v>Stora salen</v>
      </c>
      <c r="E62" s="64" t="str">
        <f>IFERROR(__xludf.DUMMYFUNCTION("IFS(COUNTIF(Info!$A$22:A88,C62)&gt;0,"""",
AND(OR(""3x3 FMC""=C62,""3x3 MBLD""=C62),COUNTIF($C$7:indirect(""C""&amp;row()),indirect(""C""&amp;row()))&gt;=13),""E - Error"",
AND(OR(""3x3 FMC""=C62,""3x3 MBLD""=C62),COUNTIF($C$7:indirect(""C""&amp;row()),indirect(""C""&amp;row()"&amp;"))=12),""Final - A3"",
AND(OR(""3x3 FMC""=C62,""3x3 MBLD""=C62),COUNTIF($C$7:indirect(""C""&amp;row()),indirect(""C""&amp;row()))=11),""Final - A2"",
AND(OR(""3x3 FMC""=C62,""3x3 MBLD""=C62),COUNTIF($C$7:indirect(""C""&amp;row()),indirect(""C""&amp;row()))=10),""Final - "&amp;"A1"",
AND(OR(""3x3 FMC""=C62,""3x3 MBLD""=C62),COUNTIF($C$7:indirect(""C""&amp;row()),indirect(""C""&amp;row()))=9,
COUNTIF($C$7:$C$102,indirect(""C""&amp;row()))&gt;9),""R3 - A3"",
AND(OR(""3x3 FMC""=C62,""3x3 MBLD""=C62),COUNTIF($C$7:indirect(""C""&amp;row()),indirect(""C"&amp;"""&amp;row()))=9,
COUNTIF($C$7:$C$102,indirect(""C""&amp;row()))&lt;=9),""Final - A3"",
AND(OR(""3x3 FMC""=C62,""3x3 MBLD""=C62),COUNTIF($C$7:indirect(""C""&amp;row()),indirect(""C""&amp;row()))=8,
COUNTIF($C$7:$C$102,indirect(""C""&amp;row()))&gt;9),""R3 - A2"",
AND(OR(""3x3 FMC"&amp;"""=C62,""3x3 MBLD""=C62),COUNTIF($C$7:indirect(""C""&amp;row()),indirect(""C""&amp;row()))=8,
COUNTIF($C$7:$C$102,indirect(""C""&amp;row()))&lt;=9),""Final - A2"",
AND(OR(""3x3 FMC""=C62,""3x3 MBLD""=C62),COUNTIF($C$7:indirect(""C""&amp;row()),indirect(""C""&amp;row()))=7,
COUN"&amp;"TIF($C$7:$C$102,indirect(""C""&amp;row()))&gt;9),""R3 - A1"",
AND(OR(""3x3 FMC""=C62,""3x3 MBLD""=C62),COUNTIF($C$7:indirect(""C""&amp;row()),indirect(""C""&amp;row()))=7,
COUNTIF($C$7:$C$102,indirect(""C""&amp;row()))&lt;=9),""Final - A1"",
AND(OR(""3x3 FMC""=C62,""3x3 MBLD"""&amp;"=C62),COUNTIF($C$7:indirect(""C""&amp;row()),indirect(""C""&amp;row()))=6,
COUNTIF($C$7:$C$102,indirect(""C""&amp;row()))&gt;6),""R2 - A3"",
AND(OR(""3x3 FMC""=C62,""3x3 MBLD""=C62),COUNTIF($C$7:indirect(""C""&amp;row()),indirect(""C""&amp;row()))=6,
COUNTIF($C$7:$C$102,indirec"&amp;"t(""C""&amp;row()))&lt;=6),""Final - A3"",
AND(OR(""3x3 FMC""=C62,""3x3 MBLD""=C62),COUNTIF($C$7:indirect(""C""&amp;row()),indirect(""C""&amp;row()))=5,
COUNTIF($C$7:$C$102,indirect(""C""&amp;row()))&gt;6),""R2 - A2"",
AND(OR(""3x3 FMC""=C62,""3x3 MBLD""=C62),COUNTIF($C$7:indi"&amp;"rect(""C""&amp;row()),indirect(""C""&amp;row()))=5,
COUNTIF($C$7:$C$102,indirect(""C""&amp;row()))&lt;=6),""Final - A2"",
AND(OR(""3x3 FMC""=C62,""3x3 MBLD""=C62),COUNTIF($C$7:indirect(""C""&amp;row()),indirect(""C""&amp;row()))=4,
COUNTIF($C$7:$C$102,indirect(""C""&amp;row()))&gt;6),"&amp;"""R2 - A1"",
AND(OR(""3x3 FMC""=C62,""3x3 MBLD""=C62),COUNTIF($C$7:indirect(""C""&amp;row()),indirect(""C""&amp;row()))=4,
COUNTIF($C$7:$C$102,indirect(""C""&amp;row()))&lt;=6),""Final - A1"",
AND(OR(""3x3 FMC""=C62,""3x3 MBLD""=C62),COUNTIF($C$7:indirect(""C""&amp;row()),i"&amp;"ndirect(""C""&amp;row()))=3),""R1 - A3"",
AND(OR(""3x3 FMC""=C62,""3x3 MBLD""=C62),COUNTIF($C$7:indirect(""C""&amp;row()),indirect(""C""&amp;row()))=2),""R1 - A2"",
AND(OR(""3x3 FMC""=C62,""3x3 MBLD""=C62),COUNTIF($C$7:indirect(""C""&amp;row()),indirect(""C""&amp;row()))=1),"&amp;"""R1 -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88, Info!$A$2:A88 = C62),ROUNDUP((FILTER(Info!$H$2:H88,Info!$A$2:A88=C62)/FILTER(Info!$H$2:H88,Info!$A$2:A88=$K$2))*$I$2)&gt;99),3,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88, Info!$A$2:A88 = C62),ROUNDUP((FILTER(Info!$H$2:H88,Info!$A$2:A88=C62)/FILTER(Info!$H$2:H88,Info!$A$2:A88=$K$2))*$I$2)&gt;15),2,
AND(COUNTIF($C$7:indirect(""C""&amp;row()),indirect(""C""&amp;row()))=2,COUNTIF($C$7:$C$102,indirect(""C""&amp;row()))=COUNTIF($"&amp;"C$7:indirect(""C""&amp;row()),indirect(""C""&amp;row()))),""Final"",
COUNTIF($C$7:indirect(""C""&amp;row()),indirect(""C""&amp;row()))=1,1,
COUNTIF($C$7:indirect(""C""&amp;row()),indirect(""C""&amp;row()))=0,"""")"),"")</f>
        <v/>
      </c>
      <c r="F62" s="64" t="str">
        <f>IFERROR(__xludf.DUMMYFUNCTION("IFS(C62="""","""",
AND(C62=""3x3 FMC"",MOD(COUNTIF($C$7:indirect(""C""&amp;row()),indirect(""C""&amp;row())),3)=0),""Mean of 3"",
AND(C62=""3x3 MBLD"",MOD(COUNTIF($C$7:indirect(""C""&amp;row()),indirect(""C""&amp;row())),3)=0),""Best of 3"",
AND(C62=""3x3 FMC"",MOD(COUNT"&amp;"IF($C$7:indirect(""C""&amp;row()),indirect(""C""&amp;row())),3)=2,
COUNTIF($C$7:$C$102,indirect(""C""&amp;row()))&lt;=COUNTIF($C$7:indirect(""C""&amp;row()),indirect(""C""&amp;row()))),""Best of 2"",
AND(C62=""3x3 FMC"",MOD(COUNTIF($C$7:indirect(""C""&amp;row()),indirect(""C""&amp;row("&amp;"))),3)=2,
COUNTIF($C$7:$C$102,indirect(""C""&amp;row()))&gt;COUNTIF($C$7:indirect(""C""&amp;row()),indirect(""C""&amp;row()))),""Mean of 3"",
AND(C62=""3x3 MBLD"",MOD(COUNTIF($C$7:indirect(""C""&amp;row()),indirect(""C""&amp;row())),3)=2,
COUNTIF($C$7:$C$102,indirect(""C""&amp;row("&amp;")))&lt;=COUNTIF($C$7:indirect(""C""&amp;row()),indirect(""C""&amp;row()))),""Best of 2"",
AND(C62=""3x3 MBLD"",MOD(COUNTIF($C$7:indirect(""C""&amp;row()),indirect(""C""&amp;row())),3)=2,
COUNTIF($C$7:$C$102,indirect(""C""&amp;row()))&gt;COUNTIF($C$7:indirect(""C""&amp;row()),indirect("&amp;"""C""&amp;row()))),""Best of 3"",
AND(C62=""3x3 FMC"",MOD(COUNTIF($C$7:indirect(""C""&amp;row()),indirect(""C""&amp;row())),3)=1,
COUNTIF($C$7:$C$102,indirect(""C""&amp;row()))&lt;=COUNTIF($C$7:indirect(""C""&amp;row()),indirect(""C""&amp;row()))),""Best of 1"",
AND(C62=""3x3 FMC"""&amp;",MOD(COUNTIF($C$7:indirect(""C""&amp;row()),indirect(""C""&amp;row())),3)=1,
COUNTIF($C$7:$C$102,indirect(""C""&amp;row()))=COUNTIF($C$7:indirect(""C""&amp;row()),indirect(""C""&amp;row()))+1),""Best of 2"",
AND(C62=""3x3 FMC"",MOD(COUNTIF($C$7:indirect(""C""&amp;row()),indirect"&amp;"(""C""&amp;row())),3)=1,
COUNTIF($C$7:$C$102,indirect(""C""&amp;row()))&gt;COUNTIF($C$7:indirect(""C""&amp;row()),indirect(""C""&amp;row()))),""Mean of 3"",
AND(C62=""3x3 MBLD"",MOD(COUNTIF($C$7:indirect(""C""&amp;row()),indirect(""C""&amp;row())),3)=1,
COUNTIF($C$7:$C$102,indirect"&amp;"(""C""&amp;row()))&lt;=COUNTIF($C$7:indirect(""C""&amp;row()),indirect(""C""&amp;row()))),""Best of 1"",
AND(C62=""3x3 MBLD"",MOD(COUNTIF($C$7:indirect(""C""&amp;row()),indirect(""C""&amp;row())),3)=1,
COUNTIF($C$7:$C$102,indirect(""C""&amp;row()))=COUNTIF($C$7:indirect(""C""&amp;row()"&amp;"),indirect(""C""&amp;row()))+1),""Best of 2"",
AND(C62=""3x3 MBLD"",MOD(COUNTIF($C$7:indirect(""C""&amp;row()),indirect(""C""&amp;row())),3)=1,
COUNTIF($C$7:$C$102,indirect(""C""&amp;row()))&gt;COUNTIF($C$7:indirect(""C""&amp;row()),indirect(""C""&amp;row()))),""Best of 3"",
TRUE,("&amp;"IFERROR(FILTER(Info!$D$2:D88, Info!$A$2:A88 = C62), """")))"),"")</f>
        <v/>
      </c>
      <c r="G62" s="64" t="str">
        <f>IFERROR(__xludf.DUMMYFUNCTION("IFS(OR(COUNTIF(Info!$A$22:A88,C62)&gt;0,C62=""""),"""",
OR(""3x3 MBLD""=C62,""3x3 FMC""=C62),60,
AND(E62=1,FILTER(Info!$F$2:F88, Info!$A$2:A88 = C62) = ""No""),FILTER(Info!$P$2:P88, Info!$A$2:A88 = C62),
AND(E62=2,FILTER(Info!$F$2:F88, Info!$A$2:A88 = C62) ="&amp;" ""No""),FILTER(Info!$Q$2:Q88, Info!$A$2:A88 = C62),
AND(E62=3,FILTER(Info!$F$2:F88, Info!$A$2:A88 = C62) = ""No""),FILTER(Info!$R$2:R88, Info!$A$2:A88 = C62),
AND(E62=""Final"",FILTER(Info!$F$2:F88, Info!$A$2:A88 = C62) = ""No""),FILTER(Info!$S$2:S88, In"&amp;"fo!$A$2:A88 = C62),
FILTER(Info!$F$2:F88, Info!$A$2:A88 = C62) = ""Yes"","""")"),"")</f>
        <v/>
      </c>
      <c r="H62" s="64" t="str">
        <f>IFERROR(__xludf.DUMMYFUNCTION("IFS(OR(COUNTIF(Info!$A$22:A88,C62)&gt;0,C62=""""),"""",
OR(""3x3 MBLD""=C62,""3x3 FMC""=C62)=TRUE,"""",
FILTER(Info!$F$2:F88, Info!$A$2:A88 = C62) = ""Yes"",FILTER(Info!$O$2:O88, Info!$A$2:A88 = C62),
FILTER(Info!$F$2:F88, Info!$A$2:A88 = C62) = ""No"",IF(G6"&amp;"2="""",FILTER(Info!$O$2:O88, Info!$A$2:A88 = C62),""""))"),"")</f>
        <v/>
      </c>
      <c r="I62" s="64" t="str">
        <f>IFERROR(__xludf.DUMMYFUNCTION("IFS(OR(COUNTIF(Info!$A$22:A88,C62)&gt;0,C62="""",H62&lt;&gt;""""),"""",
AND(E62&lt;&gt;1,E62&lt;&gt;""R1 - A1"",E62&lt;&gt;""R1 - A2"",E62&lt;&gt;""R1 - A3""),"""",
FILTER(Info!$E$2:E88, Info!$A$2:A88 = C62) = ""Yes"",IF(H62="""",FILTER(Info!$L$2:L88, Info!$A$2:A88 = C62),""""),
FILTER(I"&amp;"nfo!$E$2:E88, Info!$A$2:A88 = C62) = ""No"","""")"),"")</f>
        <v/>
      </c>
      <c r="J62" s="64" t="str">
        <f>IFERROR(__xludf.DUMMYFUNCTION("IFS(OR(COUNTIF(Info!$A$22:A88,C62)&gt;0,C62="""",""3x3 MBLD""=C62,""3x3 FMC""=C62),"""",
AND(E62=1,FILTER(Info!$H$2:H88,Info!$A$2:A88 = C62)&lt;=FILTER(Info!$H$2:H88,Info!$A$2:A88=$K$2)),
ROUNDUP((FILTER(Info!$H$2:H88,Info!$A$2:A88 = C62)/FILTER(Info!$H$2:H88,I"&amp;"nfo!$A$2:A88=$K$2))*$I$2),
AND(E62=1,FILTER(Info!$H$2:H88,Info!$A$2:A88 = C62)&gt;FILTER(Info!$H$2:H88,Info!$A$2:A88=$K$2)),""K2 - Error"",
AND(E62=2,FILTER($J$7:indirect(""J""&amp;row()-1),$C$7:indirect(""C""&amp;row()-1)=C62)&lt;=7),""J - Error"",
E62=2,FLOOR(FILTER("&amp;"$J$7:indirect(""J""&amp;row()-1),$C$7:indirect(""C""&amp;row()-1)=C62)*Info!$T$32),
AND(E62=3,FILTER($J$7:indirect(""J""&amp;row()-1),$C$7:indirect(""C""&amp;row()-1)=C62)&lt;=15),""J - Error"",
E62=3,FLOOR(Info!$T$32*FLOOR(FILTER($J$7:indirect(""J""&amp;row()-1),$C$7:indirect("&amp;"""C""&amp;row()-1)=C62)*Info!$T$32)),
AND(E62=""Final"",COUNTIF($C$7:$C$102,C62)=2,FILTER($J$7:indirect(""J""&amp;row()-1),$C$7:indirect(""C""&amp;row()-1)=C62)&lt;=7),""J - Error"",
AND(E62=""Final"",COUNTIF($C$7:$C$102,C62)=2),
MIN(P62,FLOOR(FILTER($J$7:indirect(""J"""&amp;"&amp;row()-1),$C$7:indirect(""C""&amp;row()-1)=C62)*Info!$T$32)),
AND(E62=""Final"",COUNTIF($C$7:$C$102,C62)=3,FILTER($J$7:indirect(""J""&amp;row()-1),$C$7:indirect(""C""&amp;row()-1)=C62)&lt;=15),""J - Error"",
AND(E62=""Final"",COUNTIF($C$7:$C$102,C62)=3),
MIN(P62,FLOOR(I"&amp;"nfo!$T$32*FLOOR(FILTER($J$7:indirect(""J""&amp;row()-1),$C$7:indirect(""C""&amp;row()-1)=C62)*Info!$T$32))),
AND(E62=""Final"",COUNTIF($C$7:$C$102,C62)&gt;=4,FILTER($J$7:indirect(""J""&amp;row()-1),$C$7:indirect(""C""&amp;row()-1)=C62)&lt;=99),""J - Error"",
AND(E62=""Final"","&amp;"COUNTIF($C$7:$C$102,C62)&gt;=4),
MIN(P62,FLOOR(Info!$T$32*FLOOR(Info!$T$32*FLOOR(FILTER($J$7:indirect(""J""&amp;row()-1),$C$7:indirect(""C""&amp;row()-1)=C62)*Info!$T$32)))))"),"")</f>
        <v/>
      </c>
      <c r="K62" s="41" t="str">
        <f>IFERROR(__xludf.DUMMYFUNCTION("IFS(AND(indirect(""D""&amp;row()+2)&lt;&gt;$E$2,indirect(""D""&amp;row()+1)=""""),CONCATENATE(""Tom rad! Kopiera hela rad ""&amp;row()&amp;"" dit""),
AND(indirect(""D""&amp;row()-1)&lt;&gt;""Rum"",indirect(""D""&amp;row()-1)=""""),CONCATENATE(""Tom rad! Kopiera hela rad ""&amp;row()&amp;"" dit""),
"&amp;"C62="""","""",
COUNTIF(Info!$A$22:A88,$K$2)&gt;0,""Det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OR(AND(D62&lt;&gt;$E$2,D62&lt;&gt;$E$4,D62&lt;&gt;$K$4,D62&lt;&gt;$Q$4),D62="&amp;"""""),CONCATENATE(""Rum: ""&amp;D62&amp;"" finns ej, byt i D""&amp;row()),
AND(indirect(""D""&amp;row()-1)=""Rum"",C62=""""),CONCATENATE(""För att börja: skriv i cell C""&amp;row()),
AND(C62=""Paus"",M62&lt;=0),CONCATENATE(""Skriv pausens längd i M""&amp;row()),
OR(COUNTIF(Info!$A$"&amp;"22:A88,C62)&gt;0,C62=""""),"""",
AND(D62&lt;&gt;$E$2,$O$2=""Yes"",A62=""=time(hh;mm;ss)""),CONCATENATE(""Skriv starttid för ""&amp;C62&amp;"" i A""&amp;row()),
E62=""E - Error"",CONCATENATE(""För många ""&amp;C62&amp;"" rundor!""),
AND(C62&lt;&gt;""3x3 FMC"",C62&lt;&gt;""3x3 MBLD"",E62&lt;&gt;1,E62&lt;&gt;"&amp;"""Final"",IFERROR(FILTER($E$7:indirect(""E""&amp;row()-1),
$E$7:indirect(""E""&amp;row()-1)=E62-1,$C$7:indirect(""C""&amp;row()-1)=C62))=FALSE),CONCATENATE(""Kan ej vara R""&amp;E62&amp;"", saknar R""&amp;(E62-1)),
AND(indirect(""E""&amp;row()-1)&lt;&gt;""Omgång"",IFERROR(FILTER($E$7:indi"&amp;"rect(""E""&amp;row()-1),
$E$7:indirect(""E""&amp;row()-1)=E62,$C$7:indirect(""C""&amp;row()-1)=C62)=E62)=TRUE),CONCATENATE(""Runda ""&amp;E62&amp;"" i ""&amp;C62&amp;"" finns redan""),
AND(C62&lt;&gt;""3x3 BLD"",C62&lt;&gt;""4x4 BLD"",C62&lt;&gt;""5x5 BLD"",C62&lt;&gt;""4x4 / 5x5 BLD"",OR(E62=2,E62=3,E62="&amp;"""Final""),H62&lt;&gt;""""),CONCATENATE(E62&amp;""-rundor brukar ej ha c.t.l.""),
AND(OR(E62=2,E62=3,E62=""Final""),I62&lt;&gt;""""),CONCATENATE(E62&amp;""-rundor brukar ej ha cutoff""),
AND(OR(C62=""3x3 FMC"",C62=""3x3 MBLD""),OR(E62=1,E62=2,E62=3,E62=""Final"")),CONCATENAT"&amp;"E(C62&amp;""s omgång är Rx - Ax""),
AND(C62&lt;&gt;""3x3 MBLD"",C62&lt;&gt;""3x3 FMC"",FILTER(Info!$D$2:D88, Info!$A$2:A88 = C62)&lt;&gt;F62),CONCATENATE(C62&amp;"" måste ha formatet ""&amp;FILTER(Info!$D$2:D88, Info!$A$2:A88 = C62)),
AND(C62=""3x3 MBLD"",OR(F62=""Avg of 5"",F62=""Mea"&amp;"n of 3"")),CONCATENATE(""Ogiltigt format för ""&amp;C62),
AND(C62=""3x3 FMC"",OR(F62=""Avg of 5"",F62=""Best of 3"")),CONCATENATE(""Ogiltigt format för ""&amp;C62),
AND(OR(F62=""Best of 1"",F62=""Best of 2"",F62=""Best of 3""),I62&lt;&gt;""""),CONCATENATE(F62&amp;""-rundor"&amp;" får ej ha cutoff""),
AND(OR(C62=""3x3 FMC"",C62=""3x3 MBLD""),G62&lt;&gt;60),CONCATENATE(C62&amp;"" måste ha time limit: 60""),
AND(OR(C62=""3x3 FMC"",C62=""3x3 MBLD""),H62&lt;&gt;""""),CONCATENATE(C62&amp;"" kan inte ha c.t.l.""),
AND(G62&lt;&gt;"""",H62&lt;&gt;""""),""Välj time limit"&amp;" ELLER c.t.l"",
AND(C62=""6x6 / 7x7"",G62="""",H62=""""),""Sätt time limit (x / y) eller c.t.l (z)"",
AND(G62="""",H62=""""),""Sätt en time limit eller c.t.l"",
AND(OR(C62=""6x6 / 7x7"",C62=""4x4 / 5x5 BLD""),G62&lt;&gt;"""",REGEXMATCH(TO_TEXT(G62),"" / "")=FAL"&amp;"SE),CONCATENATE(""Time limit måste vara x / y""),
AND(H62&lt;&gt;"""",I62&lt;&gt;""""),CONCATENATE(C62&amp;"" brukar ej ha cutoff OCH c.t.l""),
AND(E62=1,H62="""",I62="""",OR(FILTER(Info!$E$2:E88, Info!$A$2:A88 = C62) = ""Yes"",FILTER(Info!$F$2:F88, Info!$A$2:A88 = C62) "&amp;"= ""Yes""),OR(F62=""Avg of 5"",F62=""Mean of 3"")),CONCATENATE(C62&amp;"" bör ha cutoff eller c.t.l""),
AND(C62=""6x6 / 7x7"",I62&lt;&gt;"""",REGEXMATCH(TO_TEXT(I62),"" / "")=FALSE),CONCATENATE(""Cutoff måste vara x / y""),
AND(H62&lt;&gt;"""",ISNUMBER(H62)=FALSE),""C.t."&amp;"l. måste vara positivt tal (x)"",
AND(C62&lt;&gt;""6x6 / 7x7"",I62&lt;&gt;"""",ISNUMBER(I62)=FALSE),""Cutoff måste vara positivt tal (x)"",
AND(H62&lt;&gt;"""",FILTER(Info!$E$2:E88, Info!$A$2:A88 = C62) = ""No"",FILTER(Info!$F$2:F88, Info!$A$2:A88 = C62) = ""No""),CONCATEN"&amp;"ATE(C62&amp;"" brukar inte ha c.t.l.""),
AND(I62&lt;&gt;"""",FILTER(Info!$E$2:E88, Info!$A$2:A88 = C62) = ""No"",FILTER(Info!$F$2:F88, Info!$A$2:A88 = C62) = ""No""),CONCATENATE(C62&amp;"" brukar inte ha cutoff""),
AND(H62="""",FILTER(Info!$F$2:F88, Info!$A$2:A88 = C62"&amp;") = ""Yes""),CONCATENATE(C62&amp;"" brukar ha c.t.l.""),
AND(C62&lt;&gt;""6x6 / 7x7"",C62&lt;&gt;""4x4 / 5x5 BLD"",G62&lt;&gt;"""",ISNUMBER(G62)=FALSE),""Time limit måste vara positivt tal (x)"",
J62=""J - Error"",CONCATENATE(""För få deltagare i R1 för ""&amp;COUNTIF($C$7:$C$102,"&amp;"indirect(""C""&amp;row()))&amp;"" rundor""),
J62=""K2 - Error"",CONCATENATE(C62&amp;"" är mer populär - byt i K2!""),
AND(C62&lt;&gt;""6x6 / 7x7"",C62&lt;&gt;""4x4 / 5x5 BLD"",G62&lt;&gt;"""",I62&lt;&gt;"""",G62&lt;=I62),""Time limit måste vara &gt; cutoff"",
AND(C62&lt;&gt;""6x6 / 7x7"",C62&lt;&gt;""4x4 / 5"&amp;"x5 BLD"",H62&lt;&gt;"""",I62&lt;&gt;"""",H62&lt;=I62),""C.t.l. måste vara &gt; cutoff"",
AND(C62&lt;&gt;""3x3 FMC"",C62&lt;&gt;""3x3 MBLD"",J62=""""),CONCATENATE(""Fyll i antal deltagare i J""&amp;row()),
AND(C62="""",OR(E62&lt;&gt;"""",F62&lt;&gt;"""",G62&lt;&gt;"""",H62&lt;&gt;"""",I62&lt;&gt;"""",J62&lt;&gt;"""")),""Skri"&amp;"v ALLTID gren / aktivitet först"",
AND(I62="""",H62="""",J62&lt;&gt;""""),J62,
OR(""3x3 FMC""=C62,""3x3 MBLD""=C62),J62,
AND(I62&lt;&gt;"""",""6x6 / 7x7""=C62),
IFS(ArrayFormula(SUM(IFERROR(SPLIT(I62,"" / ""))))&lt;(Info!$J$6+Info!$J$7)*2/3,CONCATENATE(""Höj helst cutof"&amp;"fs i ""&amp;C62),
ArrayFormula(SUM(IFERROR(SPLIT(I62,"" / ""))))&lt;=(Info!$J$6+Info!$J$7),ROUNDUP(J62*Info!$J$22),
ArrayFormula(SUM(IFERROR(SPLIT(I62,"" / ""))))&lt;=Info!$J$6+Info!$J$7,ROUNDUP(J62*Info!$K$22),
ArrayFormula(SUM(IFERROR(SPLIT(I62,"" / ""))))&lt;=Info!"&amp;"$K$6+Info!$K$7,ROUNDUP(J62*Info!L$22),
ArrayFormula(SUM(IFERROR(SPLIT(I62,"" / ""))))&lt;=Info!$L$6+Info!$L$7,ROUNDUP(J62*Info!$M$22),
ArrayFormula(SUM(IFERROR(SPLIT(I62,"" / ""))))&lt;=Info!$M$6+Info!$M$7,ROUNDUP(J62*Info!$N$22),
ArrayFormula(SUM(IFERROR(SPLIT"&amp;"(I62,"" / ""))))&lt;=(Info!$N$6+Info!$N$7)*3/2,ROUNDUP(J62*Info!$J$26),
ArrayFormula(SUM(IFERROR(SPLIT(I62,"" / ""))))&gt;(Info!$N$6+Info!$N$7)*3/2,CONCATENATE(""Sänk helst cutoffs i ""&amp;C62)),
AND(I62&lt;&gt;"""",FILTER(Info!$E$2:E88, Info!$A$2:A88 = C62) = ""Yes""),"&amp;"
IFS(I62&lt;FILTER(Info!$J$2:J88, Info!$A$2:A88 = C62)*2/3,CONCATENATE(""Höj helst cutoff i ""&amp;C62),
I62&lt;=FILTER(Info!$J$2:J88, Info!$A$2:A88 = C62),ROUNDUP(J62*Info!$J$22),
I62&lt;=FILTER(Info!$K$2:K88, Info!$A$2:A88 = C62),ROUNDUP(J62*Info!$K$22),
I62&lt;=FILTER"&amp;"(Info!$L$2:L88, Info!$A$2:A88 = C62),ROUNDUP(J62*Info!L$22),
I62&lt;=FILTER(Info!$M$2:M88, Info!$A$2:A88 = C62),ROUNDUP(J62*Info!$M$22),
I62&lt;=FILTER(Info!$N$2:N88, Info!$A$2:A88 = C62),ROUNDUP(J62*Info!$N$22),
I62&lt;=FILTER(Info!$N$2:N88, Info!$A$2:A88 = C62)*"&amp;"3/2,ROUNDUP(J62*Info!$J$26),
I62&gt;FILTER(Info!$N$2:N88, Info!$A$2:A88 = C62)*3/2,CONCATENATE(""Sänk helst cutoff i ""&amp;C62)),
AND(H62&lt;&gt;"""",""6x6 / 7x7""=C62),
IFS(H62/3&lt;=(Info!$J$6+Info!$J$7)*2/3,""Höj helst cumulative time limit"",
H62/3&lt;=Info!$J$6+Info!$"&amp;"J$7,ROUNDUP(J62*Info!$J$24),
H62/3&lt;=Info!$K$6+Info!$K$7,ROUNDUP(J62*Info!$K$24),
H62/3&lt;=Info!$L$6+Info!$L$7,ROUNDUP(J62*Info!L$24),
H62/3&lt;=Info!$M$6+Info!$M$7,ROUNDUP(J62*Info!$M$24),
H62/3&lt;=Info!$N$6+Info!$N$7,ROUNDUP(J62*Info!$N$24),
H62/3&lt;=(Info!$N$6+I"&amp;"nfo!$N$7)*3/2,ROUNDUP(J62*Info!$L$26),
H62/3&gt;(Info!$J$6+Info!$J$7)*3/2,""Sänk helst cumulative time limit""),
AND(H62&lt;&gt;"""",FILTER(Info!$F$2:F88, Info!$A$2:A88 = C62) = ""Yes""),
IFS(H62&lt;=FILTER(Info!$J$2:J88, Info!$A$2:A88 = C62)*2/3,CONCATENATE(""Höj he"&amp;"lst c.t.l. i ""&amp;C62),
H62&lt;=FILTER(Info!$J$2:J88, Info!$A$2:A88 = C62),ROUNDUP(J62*Info!$J$24),
H62&lt;=FILTER(Info!$K$2:K88, Info!$A$2:A88 = C62),ROUNDUP(J62*Info!$K$24),
H62&lt;=FILTER(Info!$L$2:L88, Info!$A$2:A88 = C62),ROUNDUP(J62*Info!L$24),
H62&lt;=FILTER(Inf"&amp;"o!$M$2:M88, Info!$A$2:A88 = C62),ROUNDUP(J62*Info!$M$24),
H62&lt;=FILTER(Info!$N$2:N88, Info!$A$2:A88 = C62),ROUNDUP(J62*Info!$N$24),
H62&lt;=FILTER(Info!$N$2:N88, Info!$A$2:A88 = C62)*3/2,ROUNDUP(J62*Info!$L$26),
H62&gt;FILTER(Info!$N$2:N88, Info!$A$2:A88 = C62)*"&amp;"3/2,CONCATENATE(""Sänk helst c.t.l. i ""&amp;C62)),
AND(H62&lt;&gt;"""",FILTER(Info!$F$2:F88, Info!$A$2:A88 = C62) = ""No""),
IFS(H62/AA62&lt;=FILTER(Info!$J$2:J88, Info!$A$2:A88 = C62)*2/3,CONCATENATE(""Höj helst c.t.l. i ""&amp;C62),
H62/AA62&lt;=FILTER(Info!$J$2:J88, Info"&amp;"!$A$2:A88 = C62),ROUNDUP(J62*Info!$J$24),
H62/AA62&lt;=FILTER(Info!$K$2:K88, Info!$A$2:A88 = C62),ROUNDUP(J62*Info!$K$24),
H62/AA62&lt;=FILTER(Info!$L$2:L88, Info!$A$2:A88 = C62),ROUNDUP(J62*Info!L$24),
H62/AA62&lt;=FILTER(Info!$M$2:M88, Info!$A$2:A88 = C62),ROUND"&amp;"UP(J62*Info!$M$24),
H62/AA62&lt;=FILTER(Info!$N$2:N88, Info!$A$2:A88 = C62),ROUNDUP(J62*Info!$N$24),
H62/AA62&lt;=FILTER(Info!$N$2:N88, Info!$A$2:A88 = C62)*3/2,ROUNDUP(J62*Info!$L$26),
H62/AA62&gt;FILTER(Info!$N$2:N88, Info!$A$2:A88 = C62)*3/2,CONCATENATE(""Sänk "&amp;"helst c.t.l. i ""&amp;C62)),
AND(I62="""",H62&lt;&gt;"""",J62&lt;&gt;""""),ROUNDUP(J62*Info!$T$29),
AND(I62&lt;&gt;"""",H62="""",J62&lt;&gt;""""),ROUNDUP(J62*Info!$T$26))"),"")</f>
        <v/>
      </c>
      <c r="L62" s="42">
        <f>IFERROR(__xludf.DUMMYFUNCTION("IFS(C62="""",0,
C62=""3x3 FMC"",Info!$B$9*N62+M62, C62=""3x3 MBLD"",Info!$B$18*N62+M62,
COUNTIF(Info!$A$22:A88,C62)&gt;0,FILTER(Info!$B$22:B88,Info!$A$22:A88=C62)+M62,
AND(C62&lt;&gt;"""",E62=""""),CONCATENATE(""Fyll i E""&amp;row()),
AND(C62&lt;&gt;"""",E62&lt;&gt;"""",E62&lt;&gt;1,E6"&amp;"2&lt;&gt;2,E62&lt;&gt;3,E62&lt;&gt;""Final""),CONCATENATE(""Fel format på E""&amp;row()),
K62=CONCATENATE(""Runda ""&amp;E62&amp;"" i ""&amp;C62&amp;"" finns redan""),CONCATENATE(""Fel i E""&amp;row()),
AND(C62&lt;&gt;"""",F62=""""),CONCATENATE(""Fyll i F""&amp;row()),
K62=CONCATENATE(C62&amp;"" måste ha forma"&amp;"tet ""&amp;FILTER(Info!$D$2:D88, Info!$A$2:A88 = C62)),CONCATENATE(""Fel format på F""&amp;row()),
AND(C62&lt;&gt;"""",D62=1,H62="""",FILTER(Info!$F$2:F88, Info!$A$2:A88 = C62) = ""Yes""),CONCATENATE(""Fyll i H""&amp;row()),
AND(C62&lt;&gt;"""",D62=1,I62="""",FILTER(Info!$E$2:E8"&amp;"8, Info!$A$2:A88 = C62) = ""Yes""),CONCATENATE(""Fyll i I""&amp;row()),
AND(C62&lt;&gt;"""",J62=""""),CONCATENATE(""Fyll i J""&amp;row()),
AND(C62&lt;&gt;"""",K62="""",OR(H62&lt;&gt;"""",I62&lt;&gt;"""")),CONCATENATE(""Fyll i K""&amp;row()),
AND(C62&lt;&gt;"""",K62=""""),CONCATENATE(""Skriv samma"&amp;" i K""&amp;row()&amp;"" som i J""&amp;row()),
AND(OR(C62=""4x4 BLD"",C62=""5x5 BLD"",C62=""4x4 / 5x5 BLD"")=TRUE,V62&lt;=P62),
MROUND(H62*(Info!$T$20-((Info!$T$20-1)/2)*(1-V62/P62))*(1+((J62/K62)-1)*(1-Info!$J$24))*N62+(Info!$T$11/2)+(N62*Info!$T$11)+(N62*Info!$T$14*(O6"&amp;"2-1)),0.01)+M62,
AND(OR(C62=""4x4 BLD"",C62=""5x5 BLD"",C62=""4x4 / 5x5 BLD"")=TRUE,V62&gt;P62),
MROUND((((J62*Z62+K62*(AA62-Z62))*(H62*Info!$T$20/AA62))/X62)*(1+((J62/K62)-1)*(1-Info!$J$24))*(1+(X62-Info!$T$8)/100)+(Info!$T$11/2)+(N62*Info!$T$11)+(N62*Info!"&amp;"$T$14*(O62-1)),0.01)+M62,
AND(C62=""3x3 BLD"",V62&lt;=P62),
MROUND(H62*(Info!$T$23-((Info!$T$23-1)/2)*(1-V62/P62))*(1+((J62/K62)-1)*(1-Info!$J$24))*N62+(Info!$T$11/2)+(N62*Info!$T$11)+(N62*Info!$T$14*(O62-1)),0.01)+M62,
AND(C62=""3x3 BLD"",V62&gt;P62),
MROUND(("&amp;"((J62*Z62+K62*(AA62-Z62))*(H62*Info!$T$23/AA62))/X62)*(1+((J62/K62)-1)*(1-Info!$J$24))*(1+(X62-Info!$T$8)/100)+(Info!$T$11/2)+(N62*Info!$T$11)+(N62*Info!$T$14*(O62-1)),0.01)+M62,
E62=1,MROUND((((J62*Z62+K62*(AA62-Z62))*Y62)/X62)*(1+(X62-Info!$T$8)/100)+(N"&amp;"62*Info!$T$11)+(N62*Info!$T$14*(O62-1)),0.01)+M62,
AND(E62=""Final"",N62=1,FILTER(Info!$G$2:$G$20,Info!$A$2:$A$20=C62)=""Mycket svår""),
MROUND((((J62*Z62+K62*(AA62-Z62))*(Y62*Info!$T$38))/X62)*(1+(X62-Info!$T$8)/100)+(N62*Info!$T$11)+(N62*Info!$T$14*(O62"&amp;"-1)),0.01)+M62,
AND(E62=""Final"",N62=1,FILTER(Info!$G$2:$G$20,Info!$A$2:$A$20=C62)=""Svår""),
MROUND((((J62*Z62+K62*(AA62-Z62))*(Y62*Info!$T$35))/X62)*(1+(X62-Info!$T$8)/100)+(N62*Info!$T$11)+(N62*Info!$T$14*(O62-1)),0.01)+M62,
E62=""Final"",MROUND((((J6"&amp;"2*Z62+K62*(AA62-Z62))*(Y62*Info!$T$5))/X62)*(1+(X62-Info!$T$8)/100)+(N62*Info!$T$11)+(N62*Info!$T$14*(O62-1)),0.01)+M62,
OR(E62=2,E62=3),MROUND((((J62*Z62+K62*(AA62-Z62))*(Y62*Info!$T$2))/X62)*(1+(X62-Info!$T$8)/100)+(N62*Info!$T$11)+(N62*Info!$T$14*(O62-"&amp;"1)),0.01)+M62)"),0.0)</f>
        <v>0</v>
      </c>
      <c r="M62" s="43">
        <f t="shared" si="6"/>
        <v>0</v>
      </c>
      <c r="N62" s="43" t="str">
        <f>IFS(OR(COUNTIF(Info!$A$22:A88,C62)&gt;0,C62=""),"",
OR(C62="4x4 BLD",C62="5x5 BLD",C62="3x3 MBLD",C62="3x3 FMC",C62="4x4 / 5x5 BLD"),1,
AND(E62="Final",Q62="Yes",MAX(1,ROUNDUP(J62/P62))&gt;1),MAX(2,ROUNDUP(J62/P62)),
AND(E62="Final",Q62="No",MAX(1,ROUNDUP(J62/((P62*2)+2.625-Y62*1.5)))&gt;1),MAX(2,ROUNDUP(J62/((P62*2)+2.625-Y62*1.5))),
E62="Final",1,
Q62="Yes",MAX(2,ROUNDUP(J62/P62)),
TRUE,MAX(2,ROUNDUP(J62/((P62*2)+2.625-Y62*1.5))))</f>
        <v/>
      </c>
      <c r="O62" s="43" t="str">
        <f>IFS(OR(COUNTIF(Info!$A$22:A88,C62)&gt;0,C62=""),"",
OR("3x3 MBLD"=C62,"3x3 FMC"=C62)=TRUE,"",
D62=$E$4,$G$6,D62=$K$4,$M$6,D62=$Q$4,$S$6,D62=$W$4,$Y$6,
TRUE,$S$2)</f>
        <v/>
      </c>
      <c r="P62" s="43" t="str">
        <f>IFS(OR(COUNTIF(Info!$A$22:A88,C62)&gt;0,C62=""),"",
OR("3x3 MBLD"=C62,"3x3 FMC"=C62)=TRUE,"",
D62=$E$4,$E$6,D62=$K$4,$K$6,D62=$Q$4,$Q$6,D62=$W$4,$W$6,
TRUE,$Q$2)</f>
        <v/>
      </c>
      <c r="Q62" s="44" t="str">
        <f>IFS(OR(COUNTIF(Info!$A$22:A88,C62)&gt;0,C62=""),"",
OR("3x3 MBLD"=C62,"3x3 FMC"=C62)=TRUE,"",
D62=$E$4,$I$6,D62=$K$4,$O$6,D62=$Q$4,$U$6,D62=$W$4,$AA$6,
TRUE,$U$2)</f>
        <v/>
      </c>
      <c r="R62" s="65" t="str">
        <f>IFERROR(__xludf.DUMMYFUNCTION("IF(C62="""","""",IFERROR(FILTER(Info!$B$22:B88,Info!$A$22:A88=C62)+M62,""?""))"),"")</f>
        <v/>
      </c>
      <c r="S62" s="66" t="str">
        <f>IFS(OR(COUNTIF(Info!$A$22:A88,C62)&gt;0,C62=""),"",
AND(H62="",I62=""),J62,
TRUE,"?")</f>
        <v/>
      </c>
      <c r="T62" s="65" t="str">
        <f>IFS(OR(COUNTIF(Info!$A$22:A88,C62)&gt;0,C62=""),"",
AND(L62&lt;&gt;0,OR(R62="?",R62="")),"Fyll i R-kolumnen",
OR(C62="3x3 FMC",C62="3x3 MBLD"),R62,
AND(L62&lt;&gt;0,OR(S62="?",S62="")),"Fyll i S-kolumnen",
OR(COUNTIF(Info!$A$22:A88,C62)&gt;0,C62=""),"",
TRUE,Y62*R62/L62)</f>
        <v/>
      </c>
      <c r="U62" s="65"/>
      <c r="V62" s="67" t="str">
        <f>IFS(OR(COUNTIF(Info!$A$22:A88,C62)&gt;0,C62=""),"",
OR("3x3 MBLD"=C62,"3x3 FMC"=C62)=TRUE,"",
TRUE,MROUND((J62/N62),0.01))</f>
        <v/>
      </c>
      <c r="W62" s="68" t="str">
        <f>IFS(OR(COUNTIF(Info!$A$22:A88,C62)&gt;0,C62=""),"",
TRUE,L62/N62)</f>
        <v/>
      </c>
      <c r="X62" s="67" t="str">
        <f>IFS(OR(COUNTIF(Info!$A$22:A88,C62)&gt;0,C62=""),"",
OR("3x3 MBLD"=C62,"3x3 FMC"=C62)=TRUE,"",
OR(C62="4x4 BLD",C62="5x5 BLD",C62="4x4 / 5x5 BLD",AND(C62="3x3 BLD",H62&lt;&gt;""))=TRUE,MIN(V62,P62),
TRUE,MIN(P62,V62,MROUND(((V62*2/3)+((Y62-1.625)/2)),0.01)))</f>
        <v/>
      </c>
      <c r="Y62" s="68" t="str">
        <f>IFERROR(__xludf.DUMMYFUNCTION("IFS(OR(COUNTIF(Info!$A$22:A88,C62)&gt;0,C62=""""),"""",
FILTER(Info!$F$2:F88, Info!$A$2:A88 = C62) = ""Yes"",H62/AA62,
""3x3 FMC""=C62,Info!$B$9,""3x3 MBLD""=C62,Info!$B$18,
AND(E62=1,I62="""",H62="""",Q62=""No"",G62&gt;SUMIF(Info!$A$2:A88,C62,Info!$B$2:B88)*1."&amp;"5),
MIN(SUMIF(Info!$A$2:A88,C62,Info!$B$2:B88)*1.1,SUMIF(Info!$A$2:A88,C62,Info!$B$2:B88)*(1.15-(0.15*(SUMIF(Info!$A$2:A88,C62,Info!$B$2:B88)*1.5)/G62))),
AND(E62=1,I62="""",H62="""",Q62=""Yes"",G62&gt;SUMIF(Info!$A$2:A88,C62,Info!$C$2:C88)*1.5),
MIN(SUMIF(I"&amp;"nfo!$A$2:A88,C62,Info!$C$2:C88)*1.1,SUMIF(Info!$A$2:A88,C62,Info!$C$2:C88)*(1.15-(0.15*(SUMIF(Info!$A$2:A88,C62,Info!$C$2:C88)*1.5)/G62))),
Q62=""No"",SUMIF(Info!$A$2:A88,C62,Info!$B$2:B88),
Q62=""Yes"",SUMIF(Info!$A$2:A88,C62,Info!$C$2:C88))"),"")</f>
        <v/>
      </c>
      <c r="Z62" s="67" t="str">
        <f>IFS(OR(COUNTIF(Info!$A$22:A88,C62)&gt;0,C62=""),"",
AND(OR("3x3 FMC"=C62,"3x3 MBLD"=C62),I62&lt;&gt;""),1,
AND(OR(H62&lt;&gt;"",I62&lt;&gt;""),F62="Avg of 5"),2,
F62="Avg of 5",AA62,
AND(OR(H62&lt;&gt;"",I62&lt;&gt;""),F62="Mean of 3",C62="6x6 / 7x7"),2,
AND(OR(H62&lt;&gt;"",I62&lt;&gt;""),F62="Mean of 3"),1,
F62="Mean of 3",AA62,
AND(OR(H62&lt;&gt;"",I62&lt;&gt;""),F62="Best of 3",C62="4x4 / 5x5 BLD"),2,
AND(OR(H62&lt;&gt;"",I62&lt;&gt;""),F62="Best of 3"),1,
F62="Best of 2",AA62,
F62="Best of 1",AA62)</f>
        <v/>
      </c>
      <c r="AA62" s="67" t="str">
        <f>IFS(OR(COUNTIF(Info!$A$22:A88,C62)&gt;0,C62=""),"",
AND(OR("3x3 MBLD"=C62,"3x3 FMC"=C62),F62="Best of 1"=TRUE),1,
AND(OR("3x3 MBLD"=C62,"3x3 FMC"=C62),F62="Best of 2"=TRUE),2,
AND(OR("3x3 MBLD"=C62,"3x3 FMC"=C62),OR(F62="Best of 3",F62="Mean of 3")=TRUE),3,
AND(F62="Mean of 3",C62="6x6 / 7x7"),6,
AND(F62="Best of 3",C62="4x4 / 5x5 BLD"),6,
F62="Avg of 5",5,F62="Mean of 3",3,F62="Best of 3",3,F62="Best of 2",2,F62="Best of 1",1)</f>
        <v/>
      </c>
      <c r="AB62" s="69"/>
    </row>
    <row r="63" ht="15.75" customHeight="1">
      <c r="A63" s="62">
        <f>IFERROR(__xludf.DUMMYFUNCTION("IFS(indirect(""A""&amp;row()-1)=""Start"",TIME(indirect(""A""&amp;row()-2),indirect(""B""&amp;row()-2),0),
$O$2=""No"",TIME(0,($A$6*60+$B$6)+CEILING(SUM($L$7:indirect(""L""&amp;row()-1)),5),0),
D63=$E$2,TIME(0,($A$6*60+$B$6)+CEILING(SUM(IFERROR(FILTER($L$7:indirect(""L"""&amp;"&amp;row()-1),REGEXMATCH($D$7:indirect(""D""&amp;row()-1),$E$2)),0)),5),0),
TRUE,""=time(hh;mm;ss)"")"),0.3645833333333335)</f>
        <v>0.3645833333</v>
      </c>
      <c r="B63" s="63">
        <f>IFERROR(__xludf.DUMMYFUNCTION("IFS($O$2=""No"",TIME(0,($A$6*60+$B$6)+CEILING(SUM($L$7:indirect(""L""&amp;row())),5),0),
D63=$E$2,TIME(0,($A$6*60+$B$6)+CEILING(SUM(FILTER($L$7:indirect(""L""&amp;row()),REGEXMATCH($D$7:indirect(""D""&amp;row()),$E$2))),5),0),
A63=""=time(hh;mm;ss)"",CONCATENATE(""Sk"&amp;"riv tid i A""&amp;row()),
AND(A63&lt;&gt;"""",A63&lt;&gt;""=time(hh;mm;ss)""),A63+TIME(0,CEILING(indirect(""L""&amp;row()),5),0))"),0.3645833333333335)</f>
        <v>0.3645833333</v>
      </c>
      <c r="C63" s="37"/>
      <c r="D63" s="64" t="str">
        <f t="shared" si="7"/>
        <v>Stora salen</v>
      </c>
      <c r="E63" s="64" t="str">
        <f>IFERROR(__xludf.DUMMYFUNCTION("IFS(COUNTIF(Info!$A$22:A89,C63)&gt;0,"""",
AND(OR(""3x3 FMC""=C63,""3x3 MBLD""=C63),COUNTIF($C$7:indirect(""C""&amp;row()),indirect(""C""&amp;row()))&gt;=13),""E - Error"",
AND(OR(""3x3 FMC""=C63,""3x3 MBLD""=C63),COUNTIF($C$7:indirect(""C""&amp;row()),indirect(""C""&amp;row()"&amp;"))=12),""Final - A3"",
AND(OR(""3x3 FMC""=C63,""3x3 MBLD""=C63),COUNTIF($C$7:indirect(""C""&amp;row()),indirect(""C""&amp;row()))=11),""Final - A2"",
AND(OR(""3x3 FMC""=C63,""3x3 MBLD""=C63),COUNTIF($C$7:indirect(""C""&amp;row()),indirect(""C""&amp;row()))=10),""Final - "&amp;"A1"",
AND(OR(""3x3 FMC""=C63,""3x3 MBLD""=C63),COUNTIF($C$7:indirect(""C""&amp;row()),indirect(""C""&amp;row()))=9,
COUNTIF($C$7:$C$102,indirect(""C""&amp;row()))&gt;9),""R3 - A3"",
AND(OR(""3x3 FMC""=C63,""3x3 MBLD""=C63),COUNTIF($C$7:indirect(""C""&amp;row()),indirect(""C"&amp;"""&amp;row()))=9,
COUNTIF($C$7:$C$102,indirect(""C""&amp;row()))&lt;=9),""Final - A3"",
AND(OR(""3x3 FMC""=C63,""3x3 MBLD""=C63),COUNTIF($C$7:indirect(""C""&amp;row()),indirect(""C""&amp;row()))=8,
COUNTIF($C$7:$C$102,indirect(""C""&amp;row()))&gt;9),""R3 - A2"",
AND(OR(""3x3 FMC"&amp;"""=C63,""3x3 MBLD""=C63),COUNTIF($C$7:indirect(""C""&amp;row()),indirect(""C""&amp;row()))=8,
COUNTIF($C$7:$C$102,indirect(""C""&amp;row()))&lt;=9),""Final - A2"",
AND(OR(""3x3 FMC""=C63,""3x3 MBLD""=C63),COUNTIF($C$7:indirect(""C""&amp;row()),indirect(""C""&amp;row()))=7,
COUN"&amp;"TIF($C$7:$C$102,indirect(""C""&amp;row()))&gt;9),""R3 - A1"",
AND(OR(""3x3 FMC""=C63,""3x3 MBLD""=C63),COUNTIF($C$7:indirect(""C""&amp;row()),indirect(""C""&amp;row()))=7,
COUNTIF($C$7:$C$102,indirect(""C""&amp;row()))&lt;=9),""Final - A1"",
AND(OR(""3x3 FMC""=C63,""3x3 MBLD"""&amp;"=C63),COUNTIF($C$7:indirect(""C""&amp;row()),indirect(""C""&amp;row()))=6,
COUNTIF($C$7:$C$102,indirect(""C""&amp;row()))&gt;6),""R2 - A3"",
AND(OR(""3x3 FMC""=C63,""3x3 MBLD""=C63),COUNTIF($C$7:indirect(""C""&amp;row()),indirect(""C""&amp;row()))=6,
COUNTIF($C$7:$C$102,indirec"&amp;"t(""C""&amp;row()))&lt;=6),""Final - A3"",
AND(OR(""3x3 FMC""=C63,""3x3 MBLD""=C63),COUNTIF($C$7:indirect(""C""&amp;row()),indirect(""C""&amp;row()))=5,
COUNTIF($C$7:$C$102,indirect(""C""&amp;row()))&gt;6),""R2 - A2"",
AND(OR(""3x3 FMC""=C63,""3x3 MBLD""=C63),COUNTIF($C$7:indi"&amp;"rect(""C""&amp;row()),indirect(""C""&amp;row()))=5,
COUNTIF($C$7:$C$102,indirect(""C""&amp;row()))&lt;=6),""Final - A2"",
AND(OR(""3x3 FMC""=C63,""3x3 MBLD""=C63),COUNTIF($C$7:indirect(""C""&amp;row()),indirect(""C""&amp;row()))=4,
COUNTIF($C$7:$C$102,indirect(""C""&amp;row()))&gt;6),"&amp;"""R2 - A1"",
AND(OR(""3x3 FMC""=C63,""3x3 MBLD""=C63),COUNTIF($C$7:indirect(""C""&amp;row()),indirect(""C""&amp;row()))=4,
COUNTIF($C$7:$C$102,indirect(""C""&amp;row()))&lt;=6),""Final - A1"",
AND(OR(""3x3 FMC""=C63,""3x3 MBLD""=C63),COUNTIF($C$7:indirect(""C""&amp;row()),i"&amp;"ndirect(""C""&amp;row()))=3),""R1 - A3"",
AND(OR(""3x3 FMC""=C63,""3x3 MBLD""=C63),COUNTIF($C$7:indirect(""C""&amp;row()),indirect(""C""&amp;row()))=2),""R1 - A2"",
AND(OR(""3x3 FMC""=C63,""3x3 MBLD""=C63),COUNTIF($C$7:indirect(""C""&amp;row()),indirect(""C""&amp;row()))=1),"&amp;"""R1 -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89, Info!$A$2:A89 = C63),ROUNDUP((FILTER(Info!$H$2:H89,Info!$A$2:A89=C63)/FILTER(Info!$H$2:H89,Info!$A$2:A89=$K$2))*$I$2)&gt;99),3,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89, Info!$A$2:A89 = C63),ROUNDUP((FILTER(Info!$H$2:H89,Info!$A$2:A89=C63)/FILTER(Info!$H$2:H89,Info!$A$2:A89=$K$2))*$I$2)&gt;15),2,
AND(COUNTIF($C$7:indirect(""C""&amp;row()),indirect(""C""&amp;row()))=2,COUNTIF($C$7:$C$102,indirect(""C""&amp;row()))=COUNTIF($"&amp;"C$7:indirect(""C""&amp;row()),indirect(""C""&amp;row()))),""Final"",
COUNTIF($C$7:indirect(""C""&amp;row()),indirect(""C""&amp;row()))=1,1,
COUNTIF($C$7:indirect(""C""&amp;row()),indirect(""C""&amp;row()))=0,"""")"),"")</f>
        <v/>
      </c>
      <c r="F63" s="64" t="str">
        <f>IFERROR(__xludf.DUMMYFUNCTION("IFS(C63="""","""",
AND(C63=""3x3 FMC"",MOD(COUNTIF($C$7:indirect(""C""&amp;row()),indirect(""C""&amp;row())),3)=0),""Mean of 3"",
AND(C63=""3x3 MBLD"",MOD(COUNTIF($C$7:indirect(""C""&amp;row()),indirect(""C""&amp;row())),3)=0),""Best of 3"",
AND(C63=""3x3 FMC"",MOD(COUNT"&amp;"IF($C$7:indirect(""C""&amp;row()),indirect(""C""&amp;row())),3)=2,
COUNTIF($C$7:$C$102,indirect(""C""&amp;row()))&lt;=COUNTIF($C$7:indirect(""C""&amp;row()),indirect(""C""&amp;row()))),""Best of 2"",
AND(C63=""3x3 FMC"",MOD(COUNTIF($C$7:indirect(""C""&amp;row()),indirect(""C""&amp;row("&amp;"))),3)=2,
COUNTIF($C$7:$C$102,indirect(""C""&amp;row()))&gt;COUNTIF($C$7:indirect(""C""&amp;row()),indirect(""C""&amp;row()))),""Mean of 3"",
AND(C63=""3x3 MBLD"",MOD(COUNTIF($C$7:indirect(""C""&amp;row()),indirect(""C""&amp;row())),3)=2,
COUNTIF($C$7:$C$102,indirect(""C""&amp;row("&amp;")))&lt;=COUNTIF($C$7:indirect(""C""&amp;row()),indirect(""C""&amp;row()))),""Best of 2"",
AND(C63=""3x3 MBLD"",MOD(COUNTIF($C$7:indirect(""C""&amp;row()),indirect(""C""&amp;row())),3)=2,
COUNTIF($C$7:$C$102,indirect(""C""&amp;row()))&gt;COUNTIF($C$7:indirect(""C""&amp;row()),indirect("&amp;"""C""&amp;row()))),""Best of 3"",
AND(C63=""3x3 FMC"",MOD(COUNTIF($C$7:indirect(""C""&amp;row()),indirect(""C""&amp;row())),3)=1,
COUNTIF($C$7:$C$102,indirect(""C""&amp;row()))&lt;=COUNTIF($C$7:indirect(""C""&amp;row()),indirect(""C""&amp;row()))),""Best of 1"",
AND(C63=""3x3 FMC"""&amp;",MOD(COUNTIF($C$7:indirect(""C""&amp;row()),indirect(""C""&amp;row())),3)=1,
COUNTIF($C$7:$C$102,indirect(""C""&amp;row()))=COUNTIF($C$7:indirect(""C""&amp;row()),indirect(""C""&amp;row()))+1),""Best of 2"",
AND(C63=""3x3 FMC"",MOD(COUNTIF($C$7:indirect(""C""&amp;row()),indirect"&amp;"(""C""&amp;row())),3)=1,
COUNTIF($C$7:$C$102,indirect(""C""&amp;row()))&gt;COUNTIF($C$7:indirect(""C""&amp;row()),indirect(""C""&amp;row()))),""Mean of 3"",
AND(C63=""3x3 MBLD"",MOD(COUNTIF($C$7:indirect(""C""&amp;row()),indirect(""C""&amp;row())),3)=1,
COUNTIF($C$7:$C$102,indirect"&amp;"(""C""&amp;row()))&lt;=COUNTIF($C$7:indirect(""C""&amp;row()),indirect(""C""&amp;row()))),""Best of 1"",
AND(C63=""3x3 MBLD"",MOD(COUNTIF($C$7:indirect(""C""&amp;row()),indirect(""C""&amp;row())),3)=1,
COUNTIF($C$7:$C$102,indirect(""C""&amp;row()))=COUNTIF($C$7:indirect(""C""&amp;row()"&amp;"),indirect(""C""&amp;row()))+1),""Best of 2"",
AND(C63=""3x3 MBLD"",MOD(COUNTIF($C$7:indirect(""C""&amp;row()),indirect(""C""&amp;row())),3)=1,
COUNTIF($C$7:$C$102,indirect(""C""&amp;row()))&gt;COUNTIF($C$7:indirect(""C""&amp;row()),indirect(""C""&amp;row()))),""Best of 3"",
TRUE,("&amp;"IFERROR(FILTER(Info!$D$2:D89, Info!$A$2:A89 = C63), """")))"),"")</f>
        <v/>
      </c>
      <c r="G63" s="64" t="str">
        <f>IFERROR(__xludf.DUMMYFUNCTION("IFS(OR(COUNTIF(Info!$A$22:A89,C63)&gt;0,C63=""""),"""",
OR(""3x3 MBLD""=C63,""3x3 FMC""=C63),60,
AND(E63=1,FILTER(Info!$F$2:F89, Info!$A$2:A89 = C63) = ""No""),FILTER(Info!$P$2:P89, Info!$A$2:A89 = C63),
AND(E63=2,FILTER(Info!$F$2:F89, Info!$A$2:A89 = C63) ="&amp;" ""No""),FILTER(Info!$Q$2:Q89, Info!$A$2:A89 = C63),
AND(E63=3,FILTER(Info!$F$2:F89, Info!$A$2:A89 = C63) = ""No""),FILTER(Info!$R$2:R89, Info!$A$2:A89 = C63),
AND(E63=""Final"",FILTER(Info!$F$2:F89, Info!$A$2:A89 = C63) = ""No""),FILTER(Info!$S$2:S89, In"&amp;"fo!$A$2:A89 = C63),
FILTER(Info!$F$2:F89, Info!$A$2:A89 = C63) = ""Yes"","""")"),"")</f>
        <v/>
      </c>
      <c r="H63" s="64" t="str">
        <f>IFERROR(__xludf.DUMMYFUNCTION("IFS(OR(COUNTIF(Info!$A$22:A89,C63)&gt;0,C63=""""),"""",
OR(""3x3 MBLD""=C63,""3x3 FMC""=C63)=TRUE,"""",
FILTER(Info!$F$2:F89, Info!$A$2:A89 = C63) = ""Yes"",FILTER(Info!$O$2:O89, Info!$A$2:A89 = C63),
FILTER(Info!$F$2:F89, Info!$A$2:A89 = C63) = ""No"",IF(G6"&amp;"3="""",FILTER(Info!$O$2:O89, Info!$A$2:A89 = C63),""""))"),"")</f>
        <v/>
      </c>
      <c r="I63" s="64" t="str">
        <f>IFERROR(__xludf.DUMMYFUNCTION("IFS(OR(COUNTIF(Info!$A$22:A89,C63)&gt;0,C63="""",H63&lt;&gt;""""),"""",
AND(E63&lt;&gt;1,E63&lt;&gt;""R1 - A1"",E63&lt;&gt;""R1 - A2"",E63&lt;&gt;""R1 - A3""),"""",
FILTER(Info!$E$2:E89, Info!$A$2:A89 = C63) = ""Yes"",IF(H63="""",FILTER(Info!$L$2:L89, Info!$A$2:A89 = C63),""""),
FILTER(I"&amp;"nfo!$E$2:E89, Info!$A$2:A89 = C63) = ""No"","""")"),"")</f>
        <v/>
      </c>
      <c r="J63" s="64" t="str">
        <f>IFERROR(__xludf.DUMMYFUNCTION("IFS(OR(COUNTIF(Info!$A$22:A89,C63)&gt;0,C63="""",""3x3 MBLD""=C63,""3x3 FMC""=C63),"""",
AND(E63=1,FILTER(Info!$H$2:H89,Info!$A$2:A89 = C63)&lt;=FILTER(Info!$H$2:H89,Info!$A$2:A89=$K$2)),
ROUNDUP((FILTER(Info!$H$2:H89,Info!$A$2:A89 = C63)/FILTER(Info!$H$2:H89,I"&amp;"nfo!$A$2:A89=$K$2))*$I$2),
AND(E63=1,FILTER(Info!$H$2:H89,Info!$A$2:A89 = C63)&gt;FILTER(Info!$H$2:H89,Info!$A$2:A89=$K$2)),""K2 - Error"",
AND(E63=2,FILTER($J$7:indirect(""J""&amp;row()-1),$C$7:indirect(""C""&amp;row()-1)=C63)&lt;=7),""J - Error"",
E63=2,FLOOR(FILTER("&amp;"$J$7:indirect(""J""&amp;row()-1),$C$7:indirect(""C""&amp;row()-1)=C63)*Info!$T$32),
AND(E63=3,FILTER($J$7:indirect(""J""&amp;row()-1),$C$7:indirect(""C""&amp;row()-1)=C63)&lt;=15),""J - Error"",
E63=3,FLOOR(Info!$T$32*FLOOR(FILTER($J$7:indirect(""J""&amp;row()-1),$C$7:indirect("&amp;"""C""&amp;row()-1)=C63)*Info!$T$32)),
AND(E63=""Final"",COUNTIF($C$7:$C$102,C63)=2,FILTER($J$7:indirect(""J""&amp;row()-1),$C$7:indirect(""C""&amp;row()-1)=C63)&lt;=7),""J - Error"",
AND(E63=""Final"",COUNTIF($C$7:$C$102,C63)=2),
MIN(P63,FLOOR(FILTER($J$7:indirect(""J"""&amp;"&amp;row()-1),$C$7:indirect(""C""&amp;row()-1)=C63)*Info!$T$32)),
AND(E63=""Final"",COUNTIF($C$7:$C$102,C63)=3,FILTER($J$7:indirect(""J""&amp;row()-1),$C$7:indirect(""C""&amp;row()-1)=C63)&lt;=15),""J - Error"",
AND(E63=""Final"",COUNTIF($C$7:$C$102,C63)=3),
MIN(P63,FLOOR(I"&amp;"nfo!$T$32*FLOOR(FILTER($J$7:indirect(""J""&amp;row()-1),$C$7:indirect(""C""&amp;row()-1)=C63)*Info!$T$32))),
AND(E63=""Final"",COUNTIF($C$7:$C$102,C63)&gt;=4,FILTER($J$7:indirect(""J""&amp;row()-1),$C$7:indirect(""C""&amp;row()-1)=C63)&lt;=99),""J - Error"",
AND(E63=""Final"","&amp;"COUNTIF($C$7:$C$102,C63)&gt;=4),
MIN(P63,FLOOR(Info!$T$32*FLOOR(Info!$T$32*FLOOR(FILTER($J$7:indirect(""J""&amp;row()-1),$C$7:indirect(""C""&amp;row()-1)=C63)*Info!$T$32)))))"),"")</f>
        <v/>
      </c>
      <c r="K63" s="41" t="str">
        <f>IFERROR(__xludf.DUMMYFUNCTION("IFS(AND(indirect(""D""&amp;row()+2)&lt;&gt;$E$2,indirect(""D""&amp;row()+1)=""""),CONCATENATE(""Tom rad! Kopiera hela rad ""&amp;row()&amp;"" dit""),
AND(indirect(""D""&amp;row()-1)&lt;&gt;""Rum"",indirect(""D""&amp;row()-1)=""""),CONCATENATE(""Tom rad! Kopiera hela rad ""&amp;row()&amp;"" dit""),
"&amp;"C63="""","""",
COUNTIF(Info!$A$22:A89,$K$2)&gt;0,""Det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OR(AND(D63&lt;&gt;$E$2,D63&lt;&gt;$E$4,D63&lt;&gt;$K$4,D63&lt;&gt;$Q$4),D63="&amp;"""""),CONCATENATE(""Rum: ""&amp;D63&amp;"" finns ej, byt i D""&amp;row()),
AND(indirect(""D""&amp;row()-1)=""Rum"",C63=""""),CONCATENATE(""För att börja: skriv i cell C""&amp;row()),
AND(C63=""Paus"",M63&lt;=0),CONCATENATE(""Skriv pausens längd i M""&amp;row()),
OR(COUNTIF(Info!$A$"&amp;"22:A89,C63)&gt;0,C63=""""),"""",
AND(D63&lt;&gt;$E$2,$O$2=""Yes"",A63=""=time(hh;mm;ss)""),CONCATENATE(""Skriv starttid för ""&amp;C63&amp;"" i A""&amp;row()),
E63=""E - Error"",CONCATENATE(""För många ""&amp;C63&amp;"" rundor!""),
AND(C63&lt;&gt;""3x3 FMC"",C63&lt;&gt;""3x3 MBLD"",E63&lt;&gt;1,E63&lt;&gt;"&amp;"""Final"",IFERROR(FILTER($E$7:indirect(""E""&amp;row()-1),
$E$7:indirect(""E""&amp;row()-1)=E63-1,$C$7:indirect(""C""&amp;row()-1)=C63))=FALSE),CONCATENATE(""Kan ej vara R""&amp;E63&amp;"", saknar R""&amp;(E63-1)),
AND(indirect(""E""&amp;row()-1)&lt;&gt;""Omgång"",IFERROR(FILTER($E$7:indi"&amp;"rect(""E""&amp;row()-1),
$E$7:indirect(""E""&amp;row()-1)=E63,$C$7:indirect(""C""&amp;row()-1)=C63)=E63)=TRUE),CONCATENATE(""Runda ""&amp;E63&amp;"" i ""&amp;C63&amp;"" finns redan""),
AND(C63&lt;&gt;""3x3 BLD"",C63&lt;&gt;""4x4 BLD"",C63&lt;&gt;""5x5 BLD"",C63&lt;&gt;""4x4 / 5x5 BLD"",OR(E63=2,E63=3,E63="&amp;"""Final""),H63&lt;&gt;""""),CONCATENATE(E63&amp;""-rundor brukar ej ha c.t.l.""),
AND(OR(E63=2,E63=3,E63=""Final""),I63&lt;&gt;""""),CONCATENATE(E63&amp;""-rundor brukar ej ha cutoff""),
AND(OR(C63=""3x3 FMC"",C63=""3x3 MBLD""),OR(E63=1,E63=2,E63=3,E63=""Final"")),CONCATENAT"&amp;"E(C63&amp;""s omgång är Rx - Ax""),
AND(C63&lt;&gt;""3x3 MBLD"",C63&lt;&gt;""3x3 FMC"",FILTER(Info!$D$2:D89, Info!$A$2:A89 = C63)&lt;&gt;F63),CONCATENATE(C63&amp;"" måste ha formatet ""&amp;FILTER(Info!$D$2:D89, Info!$A$2:A89 = C63)),
AND(C63=""3x3 MBLD"",OR(F63=""Avg of 5"",F63=""Mea"&amp;"n of 3"")),CONCATENATE(""Ogiltigt format för ""&amp;C63),
AND(C63=""3x3 FMC"",OR(F63=""Avg of 5"",F63=""Best of 3"")),CONCATENATE(""Ogiltigt format för ""&amp;C63),
AND(OR(F63=""Best of 1"",F63=""Best of 2"",F63=""Best of 3""),I63&lt;&gt;""""),CONCATENATE(F63&amp;""-rundor"&amp;" får ej ha cutoff""),
AND(OR(C63=""3x3 FMC"",C63=""3x3 MBLD""),G63&lt;&gt;60),CONCATENATE(C63&amp;"" måste ha time limit: 60""),
AND(OR(C63=""3x3 FMC"",C63=""3x3 MBLD""),H63&lt;&gt;""""),CONCATENATE(C63&amp;"" kan inte ha c.t.l.""),
AND(G63&lt;&gt;"""",H63&lt;&gt;""""),""Välj time limit"&amp;" ELLER c.t.l"",
AND(C63=""6x6 / 7x7"",G63="""",H63=""""),""Sätt time limit (x / y) eller c.t.l (z)"",
AND(G63="""",H63=""""),""Sätt en time limit eller c.t.l"",
AND(OR(C63=""6x6 / 7x7"",C63=""4x4 / 5x5 BLD""),G63&lt;&gt;"""",REGEXMATCH(TO_TEXT(G63),"" / "")=FAL"&amp;"SE),CONCATENATE(""Time limit måste vara x / y""),
AND(H63&lt;&gt;"""",I63&lt;&gt;""""),CONCATENATE(C63&amp;"" brukar ej ha cutoff OCH c.t.l""),
AND(E63=1,H63="""",I63="""",OR(FILTER(Info!$E$2:E89, Info!$A$2:A89 = C63) = ""Yes"",FILTER(Info!$F$2:F89, Info!$A$2:A89 = C63) "&amp;"= ""Yes""),OR(F63=""Avg of 5"",F63=""Mean of 3"")),CONCATENATE(C63&amp;"" bör ha cutoff eller c.t.l""),
AND(C63=""6x6 / 7x7"",I63&lt;&gt;"""",REGEXMATCH(TO_TEXT(I63),"" / "")=FALSE),CONCATENATE(""Cutoff måste vara x / y""),
AND(H63&lt;&gt;"""",ISNUMBER(H63)=FALSE),""C.t."&amp;"l. måste vara positivt tal (x)"",
AND(C63&lt;&gt;""6x6 / 7x7"",I63&lt;&gt;"""",ISNUMBER(I63)=FALSE),""Cutoff måste vara positivt tal (x)"",
AND(H63&lt;&gt;"""",FILTER(Info!$E$2:E89, Info!$A$2:A89 = C63) = ""No"",FILTER(Info!$F$2:F89, Info!$A$2:A89 = C63) = ""No""),CONCATEN"&amp;"ATE(C63&amp;"" brukar inte ha c.t.l.""),
AND(I63&lt;&gt;"""",FILTER(Info!$E$2:E89, Info!$A$2:A89 = C63) = ""No"",FILTER(Info!$F$2:F89, Info!$A$2:A89 = C63) = ""No""),CONCATENATE(C63&amp;"" brukar inte ha cutoff""),
AND(H63="""",FILTER(Info!$F$2:F89, Info!$A$2:A89 = C63"&amp;") = ""Yes""),CONCATENATE(C63&amp;"" brukar ha c.t.l.""),
AND(C63&lt;&gt;""6x6 / 7x7"",C63&lt;&gt;""4x4 / 5x5 BLD"",G63&lt;&gt;"""",ISNUMBER(G63)=FALSE),""Time limit måste vara positivt tal (x)"",
J63=""J - Error"",CONCATENATE(""För få deltagare i R1 för ""&amp;COUNTIF($C$7:$C$102,"&amp;"indirect(""C""&amp;row()))&amp;"" rundor""),
J63=""K2 - Error"",CONCATENATE(C63&amp;"" är mer populär - byt i K2!""),
AND(C63&lt;&gt;""6x6 / 7x7"",C63&lt;&gt;""4x4 / 5x5 BLD"",G63&lt;&gt;"""",I63&lt;&gt;"""",G63&lt;=I63),""Time limit måste vara &gt; cutoff"",
AND(C63&lt;&gt;""6x6 / 7x7"",C63&lt;&gt;""4x4 / 5"&amp;"x5 BLD"",H63&lt;&gt;"""",I63&lt;&gt;"""",H63&lt;=I63),""C.t.l. måste vara &gt; cutoff"",
AND(C63&lt;&gt;""3x3 FMC"",C63&lt;&gt;""3x3 MBLD"",J63=""""),CONCATENATE(""Fyll i antal deltagare i J""&amp;row()),
AND(C63="""",OR(E63&lt;&gt;"""",F63&lt;&gt;"""",G63&lt;&gt;"""",H63&lt;&gt;"""",I63&lt;&gt;"""",J63&lt;&gt;"""")),""Skri"&amp;"v ALLTID gren / aktivitet först"",
AND(I63="""",H63="""",J63&lt;&gt;""""),J63,
OR(""3x3 FMC""=C63,""3x3 MBLD""=C63),J63,
AND(I63&lt;&gt;"""",""6x6 / 7x7""=C63),
IFS(ArrayFormula(SUM(IFERROR(SPLIT(I63,"" / ""))))&lt;(Info!$J$6+Info!$J$7)*2/3,CONCATENATE(""Höj helst cutof"&amp;"fs i ""&amp;C63),
ArrayFormula(SUM(IFERROR(SPLIT(I63,"" / ""))))&lt;=(Info!$J$6+Info!$J$7),ROUNDUP(J63*Info!$J$22),
ArrayFormula(SUM(IFERROR(SPLIT(I63,"" / ""))))&lt;=Info!$J$6+Info!$J$7,ROUNDUP(J63*Info!$K$22),
ArrayFormula(SUM(IFERROR(SPLIT(I63,"" / ""))))&lt;=Info!"&amp;"$K$6+Info!$K$7,ROUNDUP(J63*Info!L$22),
ArrayFormula(SUM(IFERROR(SPLIT(I63,"" / ""))))&lt;=Info!$L$6+Info!$L$7,ROUNDUP(J63*Info!$M$22),
ArrayFormula(SUM(IFERROR(SPLIT(I63,"" / ""))))&lt;=Info!$M$6+Info!$M$7,ROUNDUP(J63*Info!$N$22),
ArrayFormula(SUM(IFERROR(SPLIT"&amp;"(I63,"" / ""))))&lt;=(Info!$N$6+Info!$N$7)*3/2,ROUNDUP(J63*Info!$J$26),
ArrayFormula(SUM(IFERROR(SPLIT(I63,"" / ""))))&gt;(Info!$N$6+Info!$N$7)*3/2,CONCATENATE(""Sänk helst cutoffs i ""&amp;C63)),
AND(I63&lt;&gt;"""",FILTER(Info!$E$2:E89, Info!$A$2:A89 = C63) = ""Yes""),"&amp;"
IFS(I63&lt;FILTER(Info!$J$2:J89, Info!$A$2:A89 = C63)*2/3,CONCATENATE(""Höj helst cutoff i ""&amp;C63),
I63&lt;=FILTER(Info!$J$2:J89, Info!$A$2:A89 = C63),ROUNDUP(J63*Info!$J$22),
I63&lt;=FILTER(Info!$K$2:K89, Info!$A$2:A89 = C63),ROUNDUP(J63*Info!$K$22),
I63&lt;=FILTER"&amp;"(Info!$L$2:L89, Info!$A$2:A89 = C63),ROUNDUP(J63*Info!L$22),
I63&lt;=FILTER(Info!$M$2:M89, Info!$A$2:A89 = C63),ROUNDUP(J63*Info!$M$22),
I63&lt;=FILTER(Info!$N$2:N89, Info!$A$2:A89 = C63),ROUNDUP(J63*Info!$N$22),
I63&lt;=FILTER(Info!$N$2:N89, Info!$A$2:A89 = C63)*"&amp;"3/2,ROUNDUP(J63*Info!$J$26),
I63&gt;FILTER(Info!$N$2:N89, Info!$A$2:A89 = C63)*3/2,CONCATENATE(""Sänk helst cutoff i ""&amp;C63)),
AND(H63&lt;&gt;"""",""6x6 / 7x7""=C63),
IFS(H63/3&lt;=(Info!$J$6+Info!$J$7)*2/3,""Höj helst cumulative time limit"",
H63/3&lt;=Info!$J$6+Info!$"&amp;"J$7,ROUNDUP(J63*Info!$J$24),
H63/3&lt;=Info!$K$6+Info!$K$7,ROUNDUP(J63*Info!$K$24),
H63/3&lt;=Info!$L$6+Info!$L$7,ROUNDUP(J63*Info!L$24),
H63/3&lt;=Info!$M$6+Info!$M$7,ROUNDUP(J63*Info!$M$24),
H63/3&lt;=Info!$N$6+Info!$N$7,ROUNDUP(J63*Info!$N$24),
H63/3&lt;=(Info!$N$6+I"&amp;"nfo!$N$7)*3/2,ROUNDUP(J63*Info!$L$26),
H63/3&gt;(Info!$J$6+Info!$J$7)*3/2,""Sänk helst cumulative time limit""),
AND(H63&lt;&gt;"""",FILTER(Info!$F$2:F89, Info!$A$2:A89 = C63) = ""Yes""),
IFS(H63&lt;=FILTER(Info!$J$2:J89, Info!$A$2:A89 = C63)*2/3,CONCATENATE(""Höj he"&amp;"lst c.t.l. i ""&amp;C63),
H63&lt;=FILTER(Info!$J$2:J89, Info!$A$2:A89 = C63),ROUNDUP(J63*Info!$J$24),
H63&lt;=FILTER(Info!$K$2:K89, Info!$A$2:A89 = C63),ROUNDUP(J63*Info!$K$24),
H63&lt;=FILTER(Info!$L$2:L89, Info!$A$2:A89 = C63),ROUNDUP(J63*Info!L$24),
H63&lt;=FILTER(Inf"&amp;"o!$M$2:M89, Info!$A$2:A89 = C63),ROUNDUP(J63*Info!$M$24),
H63&lt;=FILTER(Info!$N$2:N89, Info!$A$2:A89 = C63),ROUNDUP(J63*Info!$N$24),
H63&lt;=FILTER(Info!$N$2:N89, Info!$A$2:A89 = C63)*3/2,ROUNDUP(J63*Info!$L$26),
H63&gt;FILTER(Info!$N$2:N89, Info!$A$2:A89 = C63)*"&amp;"3/2,CONCATENATE(""Sänk helst c.t.l. i ""&amp;C63)),
AND(H63&lt;&gt;"""",FILTER(Info!$F$2:F89, Info!$A$2:A89 = C63) = ""No""),
IFS(H63/AA63&lt;=FILTER(Info!$J$2:J89, Info!$A$2:A89 = C63)*2/3,CONCATENATE(""Höj helst c.t.l. i ""&amp;C63),
H63/AA63&lt;=FILTER(Info!$J$2:J89, Info"&amp;"!$A$2:A89 = C63),ROUNDUP(J63*Info!$J$24),
H63/AA63&lt;=FILTER(Info!$K$2:K89, Info!$A$2:A89 = C63),ROUNDUP(J63*Info!$K$24),
H63/AA63&lt;=FILTER(Info!$L$2:L89, Info!$A$2:A89 = C63),ROUNDUP(J63*Info!L$24),
H63/AA63&lt;=FILTER(Info!$M$2:M89, Info!$A$2:A89 = C63),ROUND"&amp;"UP(J63*Info!$M$24),
H63/AA63&lt;=FILTER(Info!$N$2:N89, Info!$A$2:A89 = C63),ROUNDUP(J63*Info!$N$24),
H63/AA63&lt;=FILTER(Info!$N$2:N89, Info!$A$2:A89 = C63)*3/2,ROUNDUP(J63*Info!$L$26),
H63/AA63&gt;FILTER(Info!$N$2:N89, Info!$A$2:A89 = C63)*3/2,CONCATENATE(""Sänk "&amp;"helst c.t.l. i ""&amp;C63)),
AND(I63="""",H63&lt;&gt;"""",J63&lt;&gt;""""),ROUNDUP(J63*Info!$T$29),
AND(I63&lt;&gt;"""",H63="""",J63&lt;&gt;""""),ROUNDUP(J63*Info!$T$26))"),"")</f>
        <v/>
      </c>
      <c r="L63" s="42">
        <f>IFERROR(__xludf.DUMMYFUNCTION("IFS(C63="""",0,
C63=""3x3 FMC"",Info!$B$9*N63+M63, C63=""3x3 MBLD"",Info!$B$18*N63+M63,
COUNTIF(Info!$A$22:A89,C63)&gt;0,FILTER(Info!$B$22:B89,Info!$A$22:A89=C63)+M63,
AND(C63&lt;&gt;"""",E63=""""),CONCATENATE(""Fyll i E""&amp;row()),
AND(C63&lt;&gt;"""",E63&lt;&gt;"""",E63&lt;&gt;1,E6"&amp;"3&lt;&gt;2,E63&lt;&gt;3,E63&lt;&gt;""Final""),CONCATENATE(""Fel format på E""&amp;row()),
K63=CONCATENATE(""Runda ""&amp;E63&amp;"" i ""&amp;C63&amp;"" finns redan""),CONCATENATE(""Fel i E""&amp;row()),
AND(C63&lt;&gt;"""",F63=""""),CONCATENATE(""Fyll i F""&amp;row()),
K63=CONCATENATE(C63&amp;"" måste ha forma"&amp;"tet ""&amp;FILTER(Info!$D$2:D89, Info!$A$2:A89 = C63)),CONCATENATE(""Fel format på F""&amp;row()),
AND(C63&lt;&gt;"""",D63=1,H63="""",FILTER(Info!$F$2:F89, Info!$A$2:A89 = C63) = ""Yes""),CONCATENATE(""Fyll i H""&amp;row()),
AND(C63&lt;&gt;"""",D63=1,I63="""",FILTER(Info!$E$2:E8"&amp;"9, Info!$A$2:A89 = C63) = ""Yes""),CONCATENATE(""Fyll i I""&amp;row()),
AND(C63&lt;&gt;"""",J63=""""),CONCATENATE(""Fyll i J""&amp;row()),
AND(C63&lt;&gt;"""",K63="""",OR(H63&lt;&gt;"""",I63&lt;&gt;"""")),CONCATENATE(""Fyll i K""&amp;row()),
AND(C63&lt;&gt;"""",K63=""""),CONCATENATE(""Skriv samma"&amp;" i K""&amp;row()&amp;"" som i J""&amp;row()),
AND(OR(C63=""4x4 BLD"",C63=""5x5 BLD"",C63=""4x4 / 5x5 BLD"")=TRUE,V63&lt;=P63),
MROUND(H63*(Info!$T$20-((Info!$T$20-1)/2)*(1-V63/P63))*(1+((J63/K63)-1)*(1-Info!$J$24))*N63+(Info!$T$11/2)+(N63*Info!$T$11)+(N63*Info!$T$14*(O6"&amp;"3-1)),0.01)+M63,
AND(OR(C63=""4x4 BLD"",C63=""5x5 BLD"",C63=""4x4 / 5x5 BLD"")=TRUE,V63&gt;P63),
MROUND((((J63*Z63+K63*(AA63-Z63))*(H63*Info!$T$20/AA63))/X63)*(1+((J63/K63)-1)*(1-Info!$J$24))*(1+(X63-Info!$T$8)/100)+(Info!$T$11/2)+(N63*Info!$T$11)+(N63*Info!"&amp;"$T$14*(O63-1)),0.01)+M63,
AND(C63=""3x3 BLD"",V63&lt;=P63),
MROUND(H63*(Info!$T$23-((Info!$T$23-1)/2)*(1-V63/P63))*(1+((J63/K63)-1)*(1-Info!$J$24))*N63+(Info!$T$11/2)+(N63*Info!$T$11)+(N63*Info!$T$14*(O63-1)),0.01)+M63,
AND(C63=""3x3 BLD"",V63&gt;P63),
MROUND(("&amp;"((J63*Z63+K63*(AA63-Z63))*(H63*Info!$T$23/AA63))/X63)*(1+((J63/K63)-1)*(1-Info!$J$24))*(1+(X63-Info!$T$8)/100)+(Info!$T$11/2)+(N63*Info!$T$11)+(N63*Info!$T$14*(O63-1)),0.01)+M63,
E63=1,MROUND((((J63*Z63+K63*(AA63-Z63))*Y63)/X63)*(1+(X63-Info!$T$8)/100)+(N"&amp;"63*Info!$T$11)+(N63*Info!$T$14*(O63-1)),0.01)+M63,
AND(E63=""Final"",N63=1,FILTER(Info!$G$2:$G$20,Info!$A$2:$A$20=C63)=""Mycket svår""),
MROUND((((J63*Z63+K63*(AA63-Z63))*(Y63*Info!$T$38))/X63)*(1+(X63-Info!$T$8)/100)+(N63*Info!$T$11)+(N63*Info!$T$14*(O63"&amp;"-1)),0.01)+M63,
AND(E63=""Final"",N63=1,FILTER(Info!$G$2:$G$20,Info!$A$2:$A$20=C63)=""Svår""),
MROUND((((J63*Z63+K63*(AA63-Z63))*(Y63*Info!$T$35))/X63)*(1+(X63-Info!$T$8)/100)+(N63*Info!$T$11)+(N63*Info!$T$14*(O63-1)),0.01)+M63,
E63=""Final"",MROUND((((J6"&amp;"3*Z63+K63*(AA63-Z63))*(Y63*Info!$T$5))/X63)*(1+(X63-Info!$T$8)/100)+(N63*Info!$T$11)+(N63*Info!$T$14*(O63-1)),0.01)+M63,
OR(E63=2,E63=3),MROUND((((J63*Z63+K63*(AA63-Z63))*(Y63*Info!$T$2))/X63)*(1+(X63-Info!$T$8)/100)+(N63*Info!$T$11)+(N63*Info!$T$14*(O63-"&amp;"1)),0.01)+M63)"),0.0)</f>
        <v>0</v>
      </c>
      <c r="M63" s="43">
        <f t="shared" si="6"/>
        <v>0</v>
      </c>
      <c r="N63" s="43" t="str">
        <f>IFS(OR(COUNTIF(Info!$A$22:A89,C63)&gt;0,C63=""),"",
OR(C63="4x4 BLD",C63="5x5 BLD",C63="3x3 MBLD",C63="3x3 FMC",C63="4x4 / 5x5 BLD"),1,
AND(E63="Final",Q63="Yes",MAX(1,ROUNDUP(J63/P63))&gt;1),MAX(2,ROUNDUP(J63/P63)),
AND(E63="Final",Q63="No",MAX(1,ROUNDUP(J63/((P63*2)+2.625-Y63*1.5)))&gt;1),MAX(2,ROUNDUP(J63/((P63*2)+2.625-Y63*1.5))),
E63="Final",1,
Q63="Yes",MAX(2,ROUNDUP(J63/P63)),
TRUE,MAX(2,ROUNDUP(J63/((P63*2)+2.625-Y63*1.5))))</f>
        <v/>
      </c>
      <c r="O63" s="43" t="str">
        <f>IFS(OR(COUNTIF(Info!$A$22:A89,C63)&gt;0,C63=""),"",
OR("3x3 MBLD"=C63,"3x3 FMC"=C63)=TRUE,"",
D63=$E$4,$G$6,D63=$K$4,$M$6,D63=$Q$4,$S$6,D63=$W$4,$Y$6,
TRUE,$S$2)</f>
        <v/>
      </c>
      <c r="P63" s="43" t="str">
        <f>IFS(OR(COUNTIF(Info!$A$22:A89,C63)&gt;0,C63=""),"",
OR("3x3 MBLD"=C63,"3x3 FMC"=C63)=TRUE,"",
D63=$E$4,$E$6,D63=$K$4,$K$6,D63=$Q$4,$Q$6,D63=$W$4,$W$6,
TRUE,$Q$2)</f>
        <v/>
      </c>
      <c r="Q63" s="44" t="str">
        <f>IFS(OR(COUNTIF(Info!$A$22:A89,C63)&gt;0,C63=""),"",
OR("3x3 MBLD"=C63,"3x3 FMC"=C63)=TRUE,"",
D63=$E$4,$I$6,D63=$K$4,$O$6,D63=$Q$4,$U$6,D63=$W$4,$AA$6,
TRUE,$U$2)</f>
        <v/>
      </c>
      <c r="R63" s="65" t="str">
        <f>IFERROR(__xludf.DUMMYFUNCTION("IF(C63="""","""",IFERROR(FILTER(Info!$B$22:B89,Info!$A$22:A89=C63)+M63,""?""))"),"")</f>
        <v/>
      </c>
      <c r="S63" s="66" t="str">
        <f>IFS(OR(COUNTIF(Info!$A$22:A89,C63)&gt;0,C63=""),"",
AND(H63="",I63=""),J63,
TRUE,"?")</f>
        <v/>
      </c>
      <c r="T63" s="65" t="str">
        <f>IFS(OR(COUNTIF(Info!$A$22:A89,C63)&gt;0,C63=""),"",
AND(L63&lt;&gt;0,OR(R63="?",R63="")),"Fyll i R-kolumnen",
OR(C63="3x3 FMC",C63="3x3 MBLD"),R63,
AND(L63&lt;&gt;0,OR(S63="?",S63="")),"Fyll i S-kolumnen",
OR(COUNTIF(Info!$A$22:A89,C63)&gt;0,C63=""),"",
TRUE,Y63*R63/L63)</f>
        <v/>
      </c>
      <c r="U63" s="65"/>
      <c r="V63" s="67" t="str">
        <f>IFS(OR(COUNTIF(Info!$A$22:A89,C63)&gt;0,C63=""),"",
OR("3x3 MBLD"=C63,"3x3 FMC"=C63)=TRUE,"",
TRUE,MROUND((J63/N63),0.01))</f>
        <v/>
      </c>
      <c r="W63" s="68" t="str">
        <f>IFS(OR(COUNTIF(Info!$A$22:A89,C63)&gt;0,C63=""),"",
TRUE,L63/N63)</f>
        <v/>
      </c>
      <c r="X63" s="67" t="str">
        <f>IFS(OR(COUNTIF(Info!$A$22:A89,C63)&gt;0,C63=""),"",
OR("3x3 MBLD"=C63,"3x3 FMC"=C63)=TRUE,"",
OR(C63="4x4 BLD",C63="5x5 BLD",C63="4x4 / 5x5 BLD",AND(C63="3x3 BLD",H63&lt;&gt;""))=TRUE,MIN(V63,P63),
TRUE,MIN(P63,V63,MROUND(((V63*2/3)+((Y63-1.625)/2)),0.01)))</f>
        <v/>
      </c>
      <c r="Y63" s="68" t="str">
        <f>IFERROR(__xludf.DUMMYFUNCTION("IFS(OR(COUNTIF(Info!$A$22:A89,C63)&gt;0,C63=""""),"""",
FILTER(Info!$F$2:F89, Info!$A$2:A89 = C63) = ""Yes"",H63/AA63,
""3x3 FMC""=C63,Info!$B$9,""3x3 MBLD""=C63,Info!$B$18,
AND(E63=1,I63="""",H63="""",Q63=""No"",G63&gt;SUMIF(Info!$A$2:A89,C63,Info!$B$2:B89)*1."&amp;"5),
MIN(SUMIF(Info!$A$2:A89,C63,Info!$B$2:B89)*1.1,SUMIF(Info!$A$2:A89,C63,Info!$B$2:B89)*(1.15-(0.15*(SUMIF(Info!$A$2:A89,C63,Info!$B$2:B89)*1.5)/G63))),
AND(E63=1,I63="""",H63="""",Q63=""Yes"",G63&gt;SUMIF(Info!$A$2:A89,C63,Info!$C$2:C89)*1.5),
MIN(SUMIF(I"&amp;"nfo!$A$2:A89,C63,Info!$C$2:C89)*1.1,SUMIF(Info!$A$2:A89,C63,Info!$C$2:C89)*(1.15-(0.15*(SUMIF(Info!$A$2:A89,C63,Info!$C$2:C89)*1.5)/G63))),
Q63=""No"",SUMIF(Info!$A$2:A89,C63,Info!$B$2:B89),
Q63=""Yes"",SUMIF(Info!$A$2:A89,C63,Info!$C$2:C89))"),"")</f>
        <v/>
      </c>
      <c r="Z63" s="67" t="str">
        <f>IFS(OR(COUNTIF(Info!$A$22:A89,C63)&gt;0,C63=""),"",
AND(OR("3x3 FMC"=C63,"3x3 MBLD"=C63),I63&lt;&gt;""),1,
AND(OR(H63&lt;&gt;"",I63&lt;&gt;""),F63="Avg of 5"),2,
F63="Avg of 5",AA63,
AND(OR(H63&lt;&gt;"",I63&lt;&gt;""),F63="Mean of 3",C63="6x6 / 7x7"),2,
AND(OR(H63&lt;&gt;"",I63&lt;&gt;""),F63="Mean of 3"),1,
F63="Mean of 3",AA63,
AND(OR(H63&lt;&gt;"",I63&lt;&gt;""),F63="Best of 3",C63="4x4 / 5x5 BLD"),2,
AND(OR(H63&lt;&gt;"",I63&lt;&gt;""),F63="Best of 3"),1,
F63="Best of 2",AA63,
F63="Best of 1",AA63)</f>
        <v/>
      </c>
      <c r="AA63" s="67" t="str">
        <f>IFS(OR(COUNTIF(Info!$A$22:A89,C63)&gt;0,C63=""),"",
AND(OR("3x3 MBLD"=C63,"3x3 FMC"=C63),F63="Best of 1"=TRUE),1,
AND(OR("3x3 MBLD"=C63,"3x3 FMC"=C63),F63="Best of 2"=TRUE),2,
AND(OR("3x3 MBLD"=C63,"3x3 FMC"=C63),OR(F63="Best of 3",F63="Mean of 3")=TRUE),3,
AND(F63="Mean of 3",C63="6x6 / 7x7"),6,
AND(F63="Best of 3",C63="4x4 / 5x5 BLD"),6,
F63="Avg of 5",5,F63="Mean of 3",3,F63="Best of 3",3,F63="Best of 2",2,F63="Best of 1",1)</f>
        <v/>
      </c>
      <c r="AB63" s="69"/>
    </row>
    <row r="64" ht="15.75" customHeight="1">
      <c r="A64" s="62">
        <f>IFERROR(__xludf.DUMMYFUNCTION("IFS(indirect(""A""&amp;row()-1)=""Start"",TIME(indirect(""A""&amp;row()-2),indirect(""B""&amp;row()-2),0),
$O$2=""No"",TIME(0,($A$6*60+$B$6)+CEILING(SUM($L$7:indirect(""L""&amp;row()-1)),5),0),
D64=$E$2,TIME(0,($A$6*60+$B$6)+CEILING(SUM(IFERROR(FILTER($L$7:indirect(""L"""&amp;"&amp;row()-1),REGEXMATCH($D$7:indirect(""D""&amp;row()-1),$E$2)),0)),5),0),
TRUE,""=time(hh;mm;ss)"")"),0.3645833333333335)</f>
        <v>0.3645833333</v>
      </c>
      <c r="B64" s="63">
        <f>IFERROR(__xludf.DUMMYFUNCTION("IFS($O$2=""No"",TIME(0,($A$6*60+$B$6)+CEILING(SUM($L$7:indirect(""L""&amp;row())),5),0),
D64=$E$2,TIME(0,($A$6*60+$B$6)+CEILING(SUM(FILTER($L$7:indirect(""L""&amp;row()),REGEXMATCH($D$7:indirect(""D""&amp;row()),$E$2))),5),0),
A64=""=time(hh;mm;ss)"",CONCATENATE(""Sk"&amp;"riv tid i A""&amp;row()),
AND(A64&lt;&gt;"""",A64&lt;&gt;""=time(hh;mm;ss)""),A64+TIME(0,CEILING(indirect(""L""&amp;row()),5),0))"),0.3645833333333335)</f>
        <v>0.3645833333</v>
      </c>
      <c r="C64" s="37"/>
      <c r="D64" s="64" t="str">
        <f t="shared" si="7"/>
        <v>Stora salen</v>
      </c>
      <c r="E64" s="64" t="str">
        <f>IFERROR(__xludf.DUMMYFUNCTION("IFS(COUNTIF(Info!$A$22:A90,C64)&gt;0,"""",
AND(OR(""3x3 FMC""=C64,""3x3 MBLD""=C64),COUNTIF($C$7:indirect(""C""&amp;row()),indirect(""C""&amp;row()))&gt;=13),""E - Error"",
AND(OR(""3x3 FMC""=C64,""3x3 MBLD""=C64),COUNTIF($C$7:indirect(""C""&amp;row()),indirect(""C""&amp;row()"&amp;"))=12),""Final - A3"",
AND(OR(""3x3 FMC""=C64,""3x3 MBLD""=C64),COUNTIF($C$7:indirect(""C""&amp;row()),indirect(""C""&amp;row()))=11),""Final - A2"",
AND(OR(""3x3 FMC""=C64,""3x3 MBLD""=C64),COUNTIF($C$7:indirect(""C""&amp;row()),indirect(""C""&amp;row()))=10),""Final - "&amp;"A1"",
AND(OR(""3x3 FMC""=C64,""3x3 MBLD""=C64),COUNTIF($C$7:indirect(""C""&amp;row()),indirect(""C""&amp;row()))=9,
COUNTIF($C$7:$C$102,indirect(""C""&amp;row()))&gt;9),""R3 - A3"",
AND(OR(""3x3 FMC""=C64,""3x3 MBLD""=C64),COUNTIF($C$7:indirect(""C""&amp;row()),indirect(""C"&amp;"""&amp;row()))=9,
COUNTIF($C$7:$C$102,indirect(""C""&amp;row()))&lt;=9),""Final - A3"",
AND(OR(""3x3 FMC""=C64,""3x3 MBLD""=C64),COUNTIF($C$7:indirect(""C""&amp;row()),indirect(""C""&amp;row()))=8,
COUNTIF($C$7:$C$102,indirect(""C""&amp;row()))&gt;9),""R3 - A2"",
AND(OR(""3x3 FMC"&amp;"""=C64,""3x3 MBLD""=C64),COUNTIF($C$7:indirect(""C""&amp;row()),indirect(""C""&amp;row()))=8,
COUNTIF($C$7:$C$102,indirect(""C""&amp;row()))&lt;=9),""Final - A2"",
AND(OR(""3x3 FMC""=C64,""3x3 MBLD""=C64),COUNTIF($C$7:indirect(""C""&amp;row()),indirect(""C""&amp;row()))=7,
COUN"&amp;"TIF($C$7:$C$102,indirect(""C""&amp;row()))&gt;9),""R3 - A1"",
AND(OR(""3x3 FMC""=C64,""3x3 MBLD""=C64),COUNTIF($C$7:indirect(""C""&amp;row()),indirect(""C""&amp;row()))=7,
COUNTIF($C$7:$C$102,indirect(""C""&amp;row()))&lt;=9),""Final - A1"",
AND(OR(""3x3 FMC""=C64,""3x3 MBLD"""&amp;"=C64),COUNTIF($C$7:indirect(""C""&amp;row()),indirect(""C""&amp;row()))=6,
COUNTIF($C$7:$C$102,indirect(""C""&amp;row()))&gt;6),""R2 - A3"",
AND(OR(""3x3 FMC""=C64,""3x3 MBLD""=C64),COUNTIF($C$7:indirect(""C""&amp;row()),indirect(""C""&amp;row()))=6,
COUNTIF($C$7:$C$102,indirec"&amp;"t(""C""&amp;row()))&lt;=6),""Final - A3"",
AND(OR(""3x3 FMC""=C64,""3x3 MBLD""=C64),COUNTIF($C$7:indirect(""C""&amp;row()),indirect(""C""&amp;row()))=5,
COUNTIF($C$7:$C$102,indirect(""C""&amp;row()))&gt;6),""R2 - A2"",
AND(OR(""3x3 FMC""=C64,""3x3 MBLD""=C64),COUNTIF($C$7:indi"&amp;"rect(""C""&amp;row()),indirect(""C""&amp;row()))=5,
COUNTIF($C$7:$C$102,indirect(""C""&amp;row()))&lt;=6),""Final - A2"",
AND(OR(""3x3 FMC""=C64,""3x3 MBLD""=C64),COUNTIF($C$7:indirect(""C""&amp;row()),indirect(""C""&amp;row()))=4,
COUNTIF($C$7:$C$102,indirect(""C""&amp;row()))&gt;6),"&amp;"""R2 - A1"",
AND(OR(""3x3 FMC""=C64,""3x3 MBLD""=C64),COUNTIF($C$7:indirect(""C""&amp;row()),indirect(""C""&amp;row()))=4,
COUNTIF($C$7:$C$102,indirect(""C""&amp;row()))&lt;=6),""Final - A1"",
AND(OR(""3x3 FMC""=C64,""3x3 MBLD""=C64),COUNTIF($C$7:indirect(""C""&amp;row()),i"&amp;"ndirect(""C""&amp;row()))=3),""R1 - A3"",
AND(OR(""3x3 FMC""=C64,""3x3 MBLD""=C64),COUNTIF($C$7:indirect(""C""&amp;row()),indirect(""C""&amp;row()))=2),""R1 - A2"",
AND(OR(""3x3 FMC""=C64,""3x3 MBLD""=C64),COUNTIF($C$7:indirect(""C""&amp;row()),indirect(""C""&amp;row()))=1),"&amp;"""R1 -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90, Info!$A$2:A90 = C64),ROUNDUP((FILTER(Info!$H$2:H90,Info!$A$2:A90=C64)/FILTER(Info!$H$2:H90,Info!$A$2:A90=$K$2))*$I$2)&gt;99),3,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90, Info!$A$2:A90 = C64),ROUNDUP((FILTER(Info!$H$2:H90,Info!$A$2:A90=C64)/FILTER(Info!$H$2:H90,Info!$A$2:A90=$K$2))*$I$2)&gt;15),2,
AND(COUNTIF($C$7:indirect(""C""&amp;row()),indirect(""C""&amp;row()))=2,COUNTIF($C$7:$C$102,indirect(""C""&amp;row()))=COUNTIF($"&amp;"C$7:indirect(""C""&amp;row()),indirect(""C""&amp;row()))),""Final"",
COUNTIF($C$7:indirect(""C""&amp;row()),indirect(""C""&amp;row()))=1,1,
COUNTIF($C$7:indirect(""C""&amp;row()),indirect(""C""&amp;row()))=0,"""")"),"")</f>
        <v/>
      </c>
      <c r="F64" s="64" t="str">
        <f>IFERROR(__xludf.DUMMYFUNCTION("IFS(C64="""","""",
AND(C64=""3x3 FMC"",MOD(COUNTIF($C$7:indirect(""C""&amp;row()),indirect(""C""&amp;row())),3)=0),""Mean of 3"",
AND(C64=""3x3 MBLD"",MOD(COUNTIF($C$7:indirect(""C""&amp;row()),indirect(""C""&amp;row())),3)=0),""Best of 3"",
AND(C64=""3x3 FMC"",MOD(COUNT"&amp;"IF($C$7:indirect(""C""&amp;row()),indirect(""C""&amp;row())),3)=2,
COUNTIF($C$7:$C$102,indirect(""C""&amp;row()))&lt;=COUNTIF($C$7:indirect(""C""&amp;row()),indirect(""C""&amp;row()))),""Best of 2"",
AND(C64=""3x3 FMC"",MOD(COUNTIF($C$7:indirect(""C""&amp;row()),indirect(""C""&amp;row("&amp;"))),3)=2,
COUNTIF($C$7:$C$102,indirect(""C""&amp;row()))&gt;COUNTIF($C$7:indirect(""C""&amp;row()),indirect(""C""&amp;row()))),""Mean of 3"",
AND(C64=""3x3 MBLD"",MOD(COUNTIF($C$7:indirect(""C""&amp;row()),indirect(""C""&amp;row())),3)=2,
COUNTIF($C$7:$C$102,indirect(""C""&amp;row("&amp;")))&lt;=COUNTIF($C$7:indirect(""C""&amp;row()),indirect(""C""&amp;row()))),""Best of 2"",
AND(C64=""3x3 MBLD"",MOD(COUNTIF($C$7:indirect(""C""&amp;row()),indirect(""C""&amp;row())),3)=2,
COUNTIF($C$7:$C$102,indirect(""C""&amp;row()))&gt;COUNTIF($C$7:indirect(""C""&amp;row()),indirect("&amp;"""C""&amp;row()))),""Best of 3"",
AND(C64=""3x3 FMC"",MOD(COUNTIF($C$7:indirect(""C""&amp;row()),indirect(""C""&amp;row())),3)=1,
COUNTIF($C$7:$C$102,indirect(""C""&amp;row()))&lt;=COUNTIF($C$7:indirect(""C""&amp;row()),indirect(""C""&amp;row()))),""Best of 1"",
AND(C64=""3x3 FMC"""&amp;",MOD(COUNTIF($C$7:indirect(""C""&amp;row()),indirect(""C""&amp;row())),3)=1,
COUNTIF($C$7:$C$102,indirect(""C""&amp;row()))=COUNTIF($C$7:indirect(""C""&amp;row()),indirect(""C""&amp;row()))+1),""Best of 2"",
AND(C64=""3x3 FMC"",MOD(COUNTIF($C$7:indirect(""C""&amp;row()),indirect"&amp;"(""C""&amp;row())),3)=1,
COUNTIF($C$7:$C$102,indirect(""C""&amp;row()))&gt;COUNTIF($C$7:indirect(""C""&amp;row()),indirect(""C""&amp;row()))),""Mean of 3"",
AND(C64=""3x3 MBLD"",MOD(COUNTIF($C$7:indirect(""C""&amp;row()),indirect(""C""&amp;row())),3)=1,
COUNTIF($C$7:$C$102,indirect"&amp;"(""C""&amp;row()))&lt;=COUNTIF($C$7:indirect(""C""&amp;row()),indirect(""C""&amp;row()))),""Best of 1"",
AND(C64=""3x3 MBLD"",MOD(COUNTIF($C$7:indirect(""C""&amp;row()),indirect(""C""&amp;row())),3)=1,
COUNTIF($C$7:$C$102,indirect(""C""&amp;row()))=COUNTIF($C$7:indirect(""C""&amp;row()"&amp;"),indirect(""C""&amp;row()))+1),""Best of 2"",
AND(C64=""3x3 MBLD"",MOD(COUNTIF($C$7:indirect(""C""&amp;row()),indirect(""C""&amp;row())),3)=1,
COUNTIF($C$7:$C$102,indirect(""C""&amp;row()))&gt;COUNTIF($C$7:indirect(""C""&amp;row()),indirect(""C""&amp;row()))),""Best of 3"",
TRUE,("&amp;"IFERROR(FILTER(Info!$D$2:D90, Info!$A$2:A90 = C64), """")))"),"")</f>
        <v/>
      </c>
      <c r="G64" s="64" t="str">
        <f>IFERROR(__xludf.DUMMYFUNCTION("IFS(OR(COUNTIF(Info!$A$22:A90,C64)&gt;0,C64=""""),"""",
OR(""3x3 MBLD""=C64,""3x3 FMC""=C64),60,
AND(E64=1,FILTER(Info!$F$2:F90, Info!$A$2:A90 = C64) = ""No""),FILTER(Info!$P$2:P90, Info!$A$2:A90 = C64),
AND(E64=2,FILTER(Info!$F$2:F90, Info!$A$2:A90 = C64) ="&amp;" ""No""),FILTER(Info!$Q$2:Q90, Info!$A$2:A90 = C64),
AND(E64=3,FILTER(Info!$F$2:F90, Info!$A$2:A90 = C64) = ""No""),FILTER(Info!$R$2:R90, Info!$A$2:A90 = C64),
AND(E64=""Final"",FILTER(Info!$F$2:F90, Info!$A$2:A90 = C64) = ""No""),FILTER(Info!$S$2:S90, In"&amp;"fo!$A$2:A90 = C64),
FILTER(Info!$F$2:F90, Info!$A$2:A90 = C64) = ""Yes"","""")"),"")</f>
        <v/>
      </c>
      <c r="H64" s="64" t="str">
        <f>IFERROR(__xludf.DUMMYFUNCTION("IFS(OR(COUNTIF(Info!$A$22:A90,C64)&gt;0,C64=""""),"""",
OR(""3x3 MBLD""=C64,""3x3 FMC""=C64)=TRUE,"""",
FILTER(Info!$F$2:F90, Info!$A$2:A90 = C64) = ""Yes"",FILTER(Info!$O$2:O90, Info!$A$2:A90 = C64),
FILTER(Info!$F$2:F90, Info!$A$2:A90 = C64) = ""No"",IF(G6"&amp;"4="""",FILTER(Info!$O$2:O90, Info!$A$2:A90 = C64),""""))"),"")</f>
        <v/>
      </c>
      <c r="I64" s="64" t="str">
        <f>IFERROR(__xludf.DUMMYFUNCTION("IFS(OR(COUNTIF(Info!$A$22:A90,C64)&gt;0,C64="""",H64&lt;&gt;""""),"""",
AND(E64&lt;&gt;1,E64&lt;&gt;""R1 - A1"",E64&lt;&gt;""R1 - A2"",E64&lt;&gt;""R1 - A3""),"""",
FILTER(Info!$E$2:E90, Info!$A$2:A90 = C64) = ""Yes"",IF(H64="""",FILTER(Info!$L$2:L90, Info!$A$2:A90 = C64),""""),
FILTER(I"&amp;"nfo!$E$2:E90, Info!$A$2:A90 = C64) = ""No"","""")"),"")</f>
        <v/>
      </c>
      <c r="J64" s="64" t="str">
        <f>IFERROR(__xludf.DUMMYFUNCTION("IFS(OR(COUNTIF(Info!$A$22:A90,C64)&gt;0,C64="""",""3x3 MBLD""=C64,""3x3 FMC""=C64),"""",
AND(E64=1,FILTER(Info!$H$2:H90,Info!$A$2:A90 = C64)&lt;=FILTER(Info!$H$2:H90,Info!$A$2:A90=$K$2)),
ROUNDUP((FILTER(Info!$H$2:H90,Info!$A$2:A90 = C64)/FILTER(Info!$H$2:H90,I"&amp;"nfo!$A$2:A90=$K$2))*$I$2),
AND(E64=1,FILTER(Info!$H$2:H90,Info!$A$2:A90 = C64)&gt;FILTER(Info!$H$2:H90,Info!$A$2:A90=$K$2)),""K2 - Error"",
AND(E64=2,FILTER($J$7:indirect(""J""&amp;row()-1),$C$7:indirect(""C""&amp;row()-1)=C64)&lt;=7),""J - Error"",
E64=2,FLOOR(FILTER("&amp;"$J$7:indirect(""J""&amp;row()-1),$C$7:indirect(""C""&amp;row()-1)=C64)*Info!$T$32),
AND(E64=3,FILTER($J$7:indirect(""J""&amp;row()-1),$C$7:indirect(""C""&amp;row()-1)=C64)&lt;=15),""J - Error"",
E64=3,FLOOR(Info!$T$32*FLOOR(FILTER($J$7:indirect(""J""&amp;row()-1),$C$7:indirect("&amp;"""C""&amp;row()-1)=C64)*Info!$T$32)),
AND(E64=""Final"",COUNTIF($C$7:$C$102,C64)=2,FILTER($J$7:indirect(""J""&amp;row()-1),$C$7:indirect(""C""&amp;row()-1)=C64)&lt;=7),""J - Error"",
AND(E64=""Final"",COUNTIF($C$7:$C$102,C64)=2),
MIN(P64,FLOOR(FILTER($J$7:indirect(""J"""&amp;"&amp;row()-1),$C$7:indirect(""C""&amp;row()-1)=C64)*Info!$T$32)),
AND(E64=""Final"",COUNTIF($C$7:$C$102,C64)=3,FILTER($J$7:indirect(""J""&amp;row()-1),$C$7:indirect(""C""&amp;row()-1)=C64)&lt;=15),""J - Error"",
AND(E64=""Final"",COUNTIF($C$7:$C$102,C64)=3),
MIN(P64,FLOOR(I"&amp;"nfo!$T$32*FLOOR(FILTER($J$7:indirect(""J""&amp;row()-1),$C$7:indirect(""C""&amp;row()-1)=C64)*Info!$T$32))),
AND(E64=""Final"",COUNTIF($C$7:$C$102,C64)&gt;=4,FILTER($J$7:indirect(""J""&amp;row()-1),$C$7:indirect(""C""&amp;row()-1)=C64)&lt;=99),""J - Error"",
AND(E64=""Final"","&amp;"COUNTIF($C$7:$C$102,C64)&gt;=4),
MIN(P64,FLOOR(Info!$T$32*FLOOR(Info!$T$32*FLOOR(FILTER($J$7:indirect(""J""&amp;row()-1),$C$7:indirect(""C""&amp;row()-1)=C64)*Info!$T$32)))))"),"")</f>
        <v/>
      </c>
      <c r="K64" s="41" t="str">
        <f>IFERROR(__xludf.DUMMYFUNCTION("IFS(AND(indirect(""D""&amp;row()+2)&lt;&gt;$E$2,indirect(""D""&amp;row()+1)=""""),CONCATENATE(""Tom rad! Kopiera hela rad ""&amp;row()&amp;"" dit""),
AND(indirect(""D""&amp;row()-1)&lt;&gt;""Rum"",indirect(""D""&amp;row()-1)=""""),CONCATENATE(""Tom rad! Kopiera hela rad ""&amp;row()&amp;"" dit""),
"&amp;"C64="""","""",
COUNTIF(Info!$A$22:A90,$K$2)&gt;0,""Det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OR(AND(D64&lt;&gt;$E$2,D64&lt;&gt;$E$4,D64&lt;&gt;$K$4,D64&lt;&gt;$Q$4),D64="&amp;"""""),CONCATENATE(""Rum: ""&amp;D64&amp;"" finns ej, byt i D""&amp;row()),
AND(indirect(""D""&amp;row()-1)=""Rum"",C64=""""),CONCATENATE(""För att börja: skriv i cell C""&amp;row()),
AND(C64=""Paus"",M64&lt;=0),CONCATENATE(""Skriv pausens längd i M""&amp;row()),
OR(COUNTIF(Info!$A$"&amp;"22:A90,C64)&gt;0,C64=""""),"""",
AND(D64&lt;&gt;$E$2,$O$2=""Yes"",A64=""=time(hh;mm;ss)""),CONCATENATE(""Skriv starttid för ""&amp;C64&amp;"" i A""&amp;row()),
E64=""E - Error"",CONCATENATE(""För många ""&amp;C64&amp;"" rundor!""),
AND(C64&lt;&gt;""3x3 FMC"",C64&lt;&gt;""3x3 MBLD"",E64&lt;&gt;1,E64&lt;&gt;"&amp;"""Final"",IFERROR(FILTER($E$7:indirect(""E""&amp;row()-1),
$E$7:indirect(""E""&amp;row()-1)=E64-1,$C$7:indirect(""C""&amp;row()-1)=C64))=FALSE),CONCATENATE(""Kan ej vara R""&amp;E64&amp;"", saknar R""&amp;(E64-1)),
AND(indirect(""E""&amp;row()-1)&lt;&gt;""Omgång"",IFERROR(FILTER($E$7:indi"&amp;"rect(""E""&amp;row()-1),
$E$7:indirect(""E""&amp;row()-1)=E64,$C$7:indirect(""C""&amp;row()-1)=C64)=E64)=TRUE),CONCATENATE(""Runda ""&amp;E64&amp;"" i ""&amp;C64&amp;"" finns redan""),
AND(C64&lt;&gt;""3x3 BLD"",C64&lt;&gt;""4x4 BLD"",C64&lt;&gt;""5x5 BLD"",C64&lt;&gt;""4x4 / 5x5 BLD"",OR(E64=2,E64=3,E64="&amp;"""Final""),H64&lt;&gt;""""),CONCATENATE(E64&amp;""-rundor brukar ej ha c.t.l.""),
AND(OR(E64=2,E64=3,E64=""Final""),I64&lt;&gt;""""),CONCATENATE(E64&amp;""-rundor brukar ej ha cutoff""),
AND(OR(C64=""3x3 FMC"",C64=""3x3 MBLD""),OR(E64=1,E64=2,E64=3,E64=""Final"")),CONCATENAT"&amp;"E(C64&amp;""s omgång är Rx - Ax""),
AND(C64&lt;&gt;""3x3 MBLD"",C64&lt;&gt;""3x3 FMC"",FILTER(Info!$D$2:D90, Info!$A$2:A90 = C64)&lt;&gt;F64),CONCATENATE(C64&amp;"" måste ha formatet ""&amp;FILTER(Info!$D$2:D90, Info!$A$2:A90 = C64)),
AND(C64=""3x3 MBLD"",OR(F64=""Avg of 5"",F64=""Mea"&amp;"n of 3"")),CONCATENATE(""Ogiltigt format för ""&amp;C64),
AND(C64=""3x3 FMC"",OR(F64=""Avg of 5"",F64=""Best of 3"")),CONCATENATE(""Ogiltigt format för ""&amp;C64),
AND(OR(F64=""Best of 1"",F64=""Best of 2"",F64=""Best of 3""),I64&lt;&gt;""""),CONCATENATE(F64&amp;""-rundor"&amp;" får ej ha cutoff""),
AND(OR(C64=""3x3 FMC"",C64=""3x3 MBLD""),G64&lt;&gt;60),CONCATENATE(C64&amp;"" måste ha time limit: 60""),
AND(OR(C64=""3x3 FMC"",C64=""3x3 MBLD""),H64&lt;&gt;""""),CONCATENATE(C64&amp;"" kan inte ha c.t.l.""),
AND(G64&lt;&gt;"""",H64&lt;&gt;""""),""Välj time limit"&amp;" ELLER c.t.l"",
AND(C64=""6x6 / 7x7"",G64="""",H64=""""),""Sätt time limit (x / y) eller c.t.l (z)"",
AND(G64="""",H64=""""),""Sätt en time limit eller c.t.l"",
AND(OR(C64=""6x6 / 7x7"",C64=""4x4 / 5x5 BLD""),G64&lt;&gt;"""",REGEXMATCH(TO_TEXT(G64),"" / "")=FAL"&amp;"SE),CONCATENATE(""Time limit måste vara x / y""),
AND(H64&lt;&gt;"""",I64&lt;&gt;""""),CONCATENATE(C64&amp;"" brukar ej ha cutoff OCH c.t.l""),
AND(E64=1,H64="""",I64="""",OR(FILTER(Info!$E$2:E90, Info!$A$2:A90 = C64) = ""Yes"",FILTER(Info!$F$2:F90, Info!$A$2:A90 = C64) "&amp;"= ""Yes""),OR(F64=""Avg of 5"",F64=""Mean of 3"")),CONCATENATE(C64&amp;"" bör ha cutoff eller c.t.l""),
AND(C64=""6x6 / 7x7"",I64&lt;&gt;"""",REGEXMATCH(TO_TEXT(I64),"" / "")=FALSE),CONCATENATE(""Cutoff måste vara x / y""),
AND(H64&lt;&gt;"""",ISNUMBER(H64)=FALSE),""C.t."&amp;"l. måste vara positivt tal (x)"",
AND(C64&lt;&gt;""6x6 / 7x7"",I64&lt;&gt;"""",ISNUMBER(I64)=FALSE),""Cutoff måste vara positivt tal (x)"",
AND(H64&lt;&gt;"""",FILTER(Info!$E$2:E90, Info!$A$2:A90 = C64) = ""No"",FILTER(Info!$F$2:F90, Info!$A$2:A90 = C64) = ""No""),CONCATEN"&amp;"ATE(C64&amp;"" brukar inte ha c.t.l.""),
AND(I64&lt;&gt;"""",FILTER(Info!$E$2:E90, Info!$A$2:A90 = C64) = ""No"",FILTER(Info!$F$2:F90, Info!$A$2:A90 = C64) = ""No""),CONCATENATE(C64&amp;"" brukar inte ha cutoff""),
AND(H64="""",FILTER(Info!$F$2:F90, Info!$A$2:A90 = C64"&amp;") = ""Yes""),CONCATENATE(C64&amp;"" brukar ha c.t.l.""),
AND(C64&lt;&gt;""6x6 / 7x7"",C64&lt;&gt;""4x4 / 5x5 BLD"",G64&lt;&gt;"""",ISNUMBER(G64)=FALSE),""Time limit måste vara positivt tal (x)"",
J64=""J - Error"",CONCATENATE(""För få deltagare i R1 för ""&amp;COUNTIF($C$7:$C$102,"&amp;"indirect(""C""&amp;row()))&amp;"" rundor""),
J64=""K2 - Error"",CONCATENATE(C64&amp;"" är mer populär - byt i K2!""),
AND(C64&lt;&gt;""6x6 / 7x7"",C64&lt;&gt;""4x4 / 5x5 BLD"",G64&lt;&gt;"""",I64&lt;&gt;"""",G64&lt;=I64),""Time limit måste vara &gt; cutoff"",
AND(C64&lt;&gt;""6x6 / 7x7"",C64&lt;&gt;""4x4 / 5"&amp;"x5 BLD"",H64&lt;&gt;"""",I64&lt;&gt;"""",H64&lt;=I64),""C.t.l. måste vara &gt; cutoff"",
AND(C64&lt;&gt;""3x3 FMC"",C64&lt;&gt;""3x3 MBLD"",J64=""""),CONCATENATE(""Fyll i antal deltagare i J""&amp;row()),
AND(C64="""",OR(E64&lt;&gt;"""",F64&lt;&gt;"""",G64&lt;&gt;"""",H64&lt;&gt;"""",I64&lt;&gt;"""",J64&lt;&gt;"""")),""Skri"&amp;"v ALLTID gren / aktivitet först"",
AND(I64="""",H64="""",J64&lt;&gt;""""),J64,
OR(""3x3 FMC""=C64,""3x3 MBLD""=C64),J64,
AND(I64&lt;&gt;"""",""6x6 / 7x7""=C64),
IFS(ArrayFormula(SUM(IFERROR(SPLIT(I64,"" / ""))))&lt;(Info!$J$6+Info!$J$7)*2/3,CONCATENATE(""Höj helst cutof"&amp;"fs i ""&amp;C64),
ArrayFormula(SUM(IFERROR(SPLIT(I64,"" / ""))))&lt;=(Info!$J$6+Info!$J$7),ROUNDUP(J64*Info!$J$22),
ArrayFormula(SUM(IFERROR(SPLIT(I64,"" / ""))))&lt;=Info!$J$6+Info!$J$7,ROUNDUP(J64*Info!$K$22),
ArrayFormula(SUM(IFERROR(SPLIT(I64,"" / ""))))&lt;=Info!"&amp;"$K$6+Info!$K$7,ROUNDUP(J64*Info!L$22),
ArrayFormula(SUM(IFERROR(SPLIT(I64,"" / ""))))&lt;=Info!$L$6+Info!$L$7,ROUNDUP(J64*Info!$M$22),
ArrayFormula(SUM(IFERROR(SPLIT(I64,"" / ""))))&lt;=Info!$M$6+Info!$M$7,ROUNDUP(J64*Info!$N$22),
ArrayFormula(SUM(IFERROR(SPLIT"&amp;"(I64,"" / ""))))&lt;=(Info!$N$6+Info!$N$7)*3/2,ROUNDUP(J64*Info!$J$26),
ArrayFormula(SUM(IFERROR(SPLIT(I64,"" / ""))))&gt;(Info!$N$6+Info!$N$7)*3/2,CONCATENATE(""Sänk helst cutoffs i ""&amp;C64)),
AND(I64&lt;&gt;"""",FILTER(Info!$E$2:E90, Info!$A$2:A90 = C64) = ""Yes""),"&amp;"
IFS(I64&lt;FILTER(Info!$J$2:J90, Info!$A$2:A90 = C64)*2/3,CONCATENATE(""Höj helst cutoff i ""&amp;C64),
I64&lt;=FILTER(Info!$J$2:J90, Info!$A$2:A90 = C64),ROUNDUP(J64*Info!$J$22),
I64&lt;=FILTER(Info!$K$2:K90, Info!$A$2:A90 = C64),ROUNDUP(J64*Info!$K$22),
I64&lt;=FILTER"&amp;"(Info!$L$2:L90, Info!$A$2:A90 = C64),ROUNDUP(J64*Info!L$22),
I64&lt;=FILTER(Info!$M$2:M90, Info!$A$2:A90 = C64),ROUNDUP(J64*Info!$M$22),
I64&lt;=FILTER(Info!$N$2:N90, Info!$A$2:A90 = C64),ROUNDUP(J64*Info!$N$22),
I64&lt;=FILTER(Info!$N$2:N90, Info!$A$2:A90 = C64)*"&amp;"3/2,ROUNDUP(J64*Info!$J$26),
I64&gt;FILTER(Info!$N$2:N90, Info!$A$2:A90 = C64)*3/2,CONCATENATE(""Sänk helst cutoff i ""&amp;C64)),
AND(H64&lt;&gt;"""",""6x6 / 7x7""=C64),
IFS(H64/3&lt;=(Info!$J$6+Info!$J$7)*2/3,""Höj helst cumulative time limit"",
H64/3&lt;=Info!$J$6+Info!$"&amp;"J$7,ROUNDUP(J64*Info!$J$24),
H64/3&lt;=Info!$K$6+Info!$K$7,ROUNDUP(J64*Info!$K$24),
H64/3&lt;=Info!$L$6+Info!$L$7,ROUNDUP(J64*Info!L$24),
H64/3&lt;=Info!$M$6+Info!$M$7,ROUNDUP(J64*Info!$M$24),
H64/3&lt;=Info!$N$6+Info!$N$7,ROUNDUP(J64*Info!$N$24),
H64/3&lt;=(Info!$N$6+I"&amp;"nfo!$N$7)*3/2,ROUNDUP(J64*Info!$L$26),
H64/3&gt;(Info!$J$6+Info!$J$7)*3/2,""Sänk helst cumulative time limit""),
AND(H64&lt;&gt;"""",FILTER(Info!$F$2:F90, Info!$A$2:A90 = C64) = ""Yes""),
IFS(H64&lt;=FILTER(Info!$J$2:J90, Info!$A$2:A90 = C64)*2/3,CONCATENATE(""Höj he"&amp;"lst c.t.l. i ""&amp;C64),
H64&lt;=FILTER(Info!$J$2:J90, Info!$A$2:A90 = C64),ROUNDUP(J64*Info!$J$24),
H64&lt;=FILTER(Info!$K$2:K90, Info!$A$2:A90 = C64),ROUNDUP(J64*Info!$K$24),
H64&lt;=FILTER(Info!$L$2:L90, Info!$A$2:A90 = C64),ROUNDUP(J64*Info!L$24),
H64&lt;=FILTER(Inf"&amp;"o!$M$2:M90, Info!$A$2:A90 = C64),ROUNDUP(J64*Info!$M$24),
H64&lt;=FILTER(Info!$N$2:N90, Info!$A$2:A90 = C64),ROUNDUP(J64*Info!$N$24),
H64&lt;=FILTER(Info!$N$2:N90, Info!$A$2:A90 = C64)*3/2,ROUNDUP(J64*Info!$L$26),
H64&gt;FILTER(Info!$N$2:N90, Info!$A$2:A90 = C64)*"&amp;"3/2,CONCATENATE(""Sänk helst c.t.l. i ""&amp;C64)),
AND(H64&lt;&gt;"""",FILTER(Info!$F$2:F90, Info!$A$2:A90 = C64) = ""No""),
IFS(H64/AA64&lt;=FILTER(Info!$J$2:J90, Info!$A$2:A90 = C64)*2/3,CONCATENATE(""Höj helst c.t.l. i ""&amp;C64),
H64/AA64&lt;=FILTER(Info!$J$2:J90, Info"&amp;"!$A$2:A90 = C64),ROUNDUP(J64*Info!$J$24),
H64/AA64&lt;=FILTER(Info!$K$2:K90, Info!$A$2:A90 = C64),ROUNDUP(J64*Info!$K$24),
H64/AA64&lt;=FILTER(Info!$L$2:L90, Info!$A$2:A90 = C64),ROUNDUP(J64*Info!L$24),
H64/AA64&lt;=FILTER(Info!$M$2:M90, Info!$A$2:A90 = C64),ROUND"&amp;"UP(J64*Info!$M$24),
H64/AA64&lt;=FILTER(Info!$N$2:N90, Info!$A$2:A90 = C64),ROUNDUP(J64*Info!$N$24),
H64/AA64&lt;=FILTER(Info!$N$2:N90, Info!$A$2:A90 = C64)*3/2,ROUNDUP(J64*Info!$L$26),
H64/AA64&gt;FILTER(Info!$N$2:N90, Info!$A$2:A90 = C64)*3/2,CONCATENATE(""Sänk "&amp;"helst c.t.l. i ""&amp;C64)),
AND(I64="""",H64&lt;&gt;"""",J64&lt;&gt;""""),ROUNDUP(J64*Info!$T$29),
AND(I64&lt;&gt;"""",H64="""",J64&lt;&gt;""""),ROUNDUP(J64*Info!$T$26))"),"")</f>
        <v/>
      </c>
      <c r="L64" s="42">
        <f>IFERROR(__xludf.DUMMYFUNCTION("IFS(C64="""",0,
C64=""3x3 FMC"",Info!$B$9*N64+M64, C64=""3x3 MBLD"",Info!$B$18*N64+M64,
COUNTIF(Info!$A$22:A90,C64)&gt;0,FILTER(Info!$B$22:B90,Info!$A$22:A90=C64)+M64,
AND(C64&lt;&gt;"""",E64=""""),CONCATENATE(""Fyll i E""&amp;row()),
AND(C64&lt;&gt;"""",E64&lt;&gt;"""",E64&lt;&gt;1,E6"&amp;"4&lt;&gt;2,E64&lt;&gt;3,E64&lt;&gt;""Final""),CONCATENATE(""Fel format på E""&amp;row()),
K64=CONCATENATE(""Runda ""&amp;E64&amp;"" i ""&amp;C64&amp;"" finns redan""),CONCATENATE(""Fel i E""&amp;row()),
AND(C64&lt;&gt;"""",F64=""""),CONCATENATE(""Fyll i F""&amp;row()),
K64=CONCATENATE(C64&amp;"" måste ha forma"&amp;"tet ""&amp;FILTER(Info!$D$2:D90, Info!$A$2:A90 = C64)),CONCATENATE(""Fel format på F""&amp;row()),
AND(C64&lt;&gt;"""",D64=1,H64="""",FILTER(Info!$F$2:F90, Info!$A$2:A90 = C64) = ""Yes""),CONCATENATE(""Fyll i H""&amp;row()),
AND(C64&lt;&gt;"""",D64=1,I64="""",FILTER(Info!$E$2:E9"&amp;"0, Info!$A$2:A90 = C64) = ""Yes""),CONCATENATE(""Fyll i I""&amp;row()),
AND(C64&lt;&gt;"""",J64=""""),CONCATENATE(""Fyll i J""&amp;row()),
AND(C64&lt;&gt;"""",K64="""",OR(H64&lt;&gt;"""",I64&lt;&gt;"""")),CONCATENATE(""Fyll i K""&amp;row()),
AND(C64&lt;&gt;"""",K64=""""),CONCATENATE(""Skriv samma"&amp;" i K""&amp;row()&amp;"" som i J""&amp;row()),
AND(OR(C64=""4x4 BLD"",C64=""5x5 BLD"",C64=""4x4 / 5x5 BLD"")=TRUE,V64&lt;=P64),
MROUND(H64*(Info!$T$20-((Info!$T$20-1)/2)*(1-V64/P64))*(1+((J64/K64)-1)*(1-Info!$J$24))*N64+(Info!$T$11/2)+(N64*Info!$T$11)+(N64*Info!$T$14*(O6"&amp;"4-1)),0.01)+M64,
AND(OR(C64=""4x4 BLD"",C64=""5x5 BLD"",C64=""4x4 / 5x5 BLD"")=TRUE,V64&gt;P64),
MROUND((((J64*Z64+K64*(AA64-Z64))*(H64*Info!$T$20/AA64))/X64)*(1+((J64/K64)-1)*(1-Info!$J$24))*(1+(X64-Info!$T$8)/100)+(Info!$T$11/2)+(N64*Info!$T$11)+(N64*Info!"&amp;"$T$14*(O64-1)),0.01)+M64,
AND(C64=""3x3 BLD"",V64&lt;=P64),
MROUND(H64*(Info!$T$23-((Info!$T$23-1)/2)*(1-V64/P64))*(1+((J64/K64)-1)*(1-Info!$J$24))*N64+(Info!$T$11/2)+(N64*Info!$T$11)+(N64*Info!$T$14*(O64-1)),0.01)+M64,
AND(C64=""3x3 BLD"",V64&gt;P64),
MROUND(("&amp;"((J64*Z64+K64*(AA64-Z64))*(H64*Info!$T$23/AA64))/X64)*(1+((J64/K64)-1)*(1-Info!$J$24))*(1+(X64-Info!$T$8)/100)+(Info!$T$11/2)+(N64*Info!$T$11)+(N64*Info!$T$14*(O64-1)),0.01)+M64,
E64=1,MROUND((((J64*Z64+K64*(AA64-Z64))*Y64)/X64)*(1+(X64-Info!$T$8)/100)+(N"&amp;"64*Info!$T$11)+(N64*Info!$T$14*(O64-1)),0.01)+M64,
AND(E64=""Final"",N64=1,FILTER(Info!$G$2:$G$20,Info!$A$2:$A$20=C64)=""Mycket svår""),
MROUND((((J64*Z64+K64*(AA64-Z64))*(Y64*Info!$T$38))/X64)*(1+(X64-Info!$T$8)/100)+(N64*Info!$T$11)+(N64*Info!$T$14*(O64"&amp;"-1)),0.01)+M64,
AND(E64=""Final"",N64=1,FILTER(Info!$G$2:$G$20,Info!$A$2:$A$20=C64)=""Svår""),
MROUND((((J64*Z64+K64*(AA64-Z64))*(Y64*Info!$T$35))/X64)*(1+(X64-Info!$T$8)/100)+(N64*Info!$T$11)+(N64*Info!$T$14*(O64-1)),0.01)+M64,
E64=""Final"",MROUND((((J6"&amp;"4*Z64+K64*(AA64-Z64))*(Y64*Info!$T$5))/X64)*(1+(X64-Info!$T$8)/100)+(N64*Info!$T$11)+(N64*Info!$T$14*(O64-1)),0.01)+M64,
OR(E64=2,E64=3),MROUND((((J64*Z64+K64*(AA64-Z64))*(Y64*Info!$T$2))/X64)*(1+(X64-Info!$T$8)/100)+(N64*Info!$T$11)+(N64*Info!$T$14*(O64-"&amp;"1)),0.01)+M64)"),0.0)</f>
        <v>0</v>
      </c>
      <c r="M64" s="43">
        <f t="shared" si="6"/>
        <v>0</v>
      </c>
      <c r="N64" s="43" t="str">
        <f>IFS(OR(COUNTIF(Info!$A$22:A90,C64)&gt;0,C64=""),"",
OR(C64="4x4 BLD",C64="5x5 BLD",C64="3x3 MBLD",C64="3x3 FMC",C64="4x4 / 5x5 BLD"),1,
AND(E64="Final",Q64="Yes",MAX(1,ROUNDUP(J64/P64))&gt;1),MAX(2,ROUNDUP(J64/P64)),
AND(E64="Final",Q64="No",MAX(1,ROUNDUP(J64/((P64*2)+2.625-Y64*1.5)))&gt;1),MAX(2,ROUNDUP(J64/((P64*2)+2.625-Y64*1.5))),
E64="Final",1,
Q64="Yes",MAX(2,ROUNDUP(J64/P64)),
TRUE,MAX(2,ROUNDUP(J64/((P64*2)+2.625-Y64*1.5))))</f>
        <v/>
      </c>
      <c r="O64" s="43" t="str">
        <f>IFS(OR(COUNTIF(Info!$A$22:A90,C64)&gt;0,C64=""),"",
OR("3x3 MBLD"=C64,"3x3 FMC"=C64)=TRUE,"",
D64=$E$4,$G$6,D64=$K$4,$M$6,D64=$Q$4,$S$6,D64=$W$4,$Y$6,
TRUE,$S$2)</f>
        <v/>
      </c>
      <c r="P64" s="43" t="str">
        <f>IFS(OR(COUNTIF(Info!$A$22:A90,C64)&gt;0,C64=""),"",
OR("3x3 MBLD"=C64,"3x3 FMC"=C64)=TRUE,"",
D64=$E$4,$E$6,D64=$K$4,$K$6,D64=$Q$4,$Q$6,D64=$W$4,$W$6,
TRUE,$Q$2)</f>
        <v/>
      </c>
      <c r="Q64" s="44" t="str">
        <f>IFS(OR(COUNTIF(Info!$A$22:A90,C64)&gt;0,C64=""),"",
OR("3x3 MBLD"=C64,"3x3 FMC"=C64)=TRUE,"",
D64=$E$4,$I$6,D64=$K$4,$O$6,D64=$Q$4,$U$6,D64=$W$4,$AA$6,
TRUE,$U$2)</f>
        <v/>
      </c>
      <c r="R64" s="65" t="str">
        <f>IFERROR(__xludf.DUMMYFUNCTION("IF(C64="""","""",IFERROR(FILTER(Info!$B$22:B90,Info!$A$22:A90=C64)+M64,""?""))"),"")</f>
        <v/>
      </c>
      <c r="S64" s="66" t="str">
        <f>IFS(OR(COUNTIF(Info!$A$22:A90,C64)&gt;0,C64=""),"",
AND(H64="",I64=""),J64,
TRUE,"?")</f>
        <v/>
      </c>
      <c r="T64" s="65" t="str">
        <f>IFS(OR(COUNTIF(Info!$A$22:A90,C64)&gt;0,C64=""),"",
AND(L64&lt;&gt;0,OR(R64="?",R64="")),"Fyll i R-kolumnen",
OR(C64="3x3 FMC",C64="3x3 MBLD"),R64,
AND(L64&lt;&gt;0,OR(S64="?",S64="")),"Fyll i S-kolumnen",
OR(COUNTIF(Info!$A$22:A90,C64)&gt;0,C64=""),"",
TRUE,Y64*R64/L64)</f>
        <v/>
      </c>
      <c r="U64" s="65"/>
      <c r="V64" s="67" t="str">
        <f>IFS(OR(COUNTIF(Info!$A$22:A90,C64)&gt;0,C64=""),"",
OR("3x3 MBLD"=C64,"3x3 FMC"=C64)=TRUE,"",
TRUE,MROUND((J64/N64),0.01))</f>
        <v/>
      </c>
      <c r="W64" s="68" t="str">
        <f>IFS(OR(COUNTIF(Info!$A$22:A90,C64)&gt;0,C64=""),"",
TRUE,L64/N64)</f>
        <v/>
      </c>
      <c r="X64" s="67" t="str">
        <f>IFS(OR(COUNTIF(Info!$A$22:A90,C64)&gt;0,C64=""),"",
OR("3x3 MBLD"=C64,"3x3 FMC"=C64)=TRUE,"",
OR(C64="4x4 BLD",C64="5x5 BLD",C64="4x4 / 5x5 BLD",AND(C64="3x3 BLD",H64&lt;&gt;""))=TRUE,MIN(V64,P64),
TRUE,MIN(P64,V64,MROUND(((V64*2/3)+((Y64-1.625)/2)),0.01)))</f>
        <v/>
      </c>
      <c r="Y64" s="68" t="str">
        <f>IFERROR(__xludf.DUMMYFUNCTION("IFS(OR(COUNTIF(Info!$A$22:A90,C64)&gt;0,C64=""""),"""",
FILTER(Info!$F$2:F90, Info!$A$2:A90 = C64) = ""Yes"",H64/AA64,
""3x3 FMC""=C64,Info!$B$9,""3x3 MBLD""=C64,Info!$B$18,
AND(E64=1,I64="""",H64="""",Q64=""No"",G64&gt;SUMIF(Info!$A$2:A90,C64,Info!$B$2:B90)*1."&amp;"5),
MIN(SUMIF(Info!$A$2:A90,C64,Info!$B$2:B90)*1.1,SUMIF(Info!$A$2:A90,C64,Info!$B$2:B90)*(1.15-(0.15*(SUMIF(Info!$A$2:A90,C64,Info!$B$2:B90)*1.5)/G64))),
AND(E64=1,I64="""",H64="""",Q64=""Yes"",G64&gt;SUMIF(Info!$A$2:A90,C64,Info!$C$2:C90)*1.5),
MIN(SUMIF(I"&amp;"nfo!$A$2:A90,C64,Info!$C$2:C90)*1.1,SUMIF(Info!$A$2:A90,C64,Info!$C$2:C90)*(1.15-(0.15*(SUMIF(Info!$A$2:A90,C64,Info!$C$2:C90)*1.5)/G64))),
Q64=""No"",SUMIF(Info!$A$2:A90,C64,Info!$B$2:B90),
Q64=""Yes"",SUMIF(Info!$A$2:A90,C64,Info!$C$2:C90))"),"")</f>
        <v/>
      </c>
      <c r="Z64" s="67" t="str">
        <f>IFS(OR(COUNTIF(Info!$A$22:A90,C64)&gt;0,C64=""),"",
AND(OR("3x3 FMC"=C64,"3x3 MBLD"=C64),I64&lt;&gt;""),1,
AND(OR(H64&lt;&gt;"",I64&lt;&gt;""),F64="Avg of 5"),2,
F64="Avg of 5",AA64,
AND(OR(H64&lt;&gt;"",I64&lt;&gt;""),F64="Mean of 3",C64="6x6 / 7x7"),2,
AND(OR(H64&lt;&gt;"",I64&lt;&gt;""),F64="Mean of 3"),1,
F64="Mean of 3",AA64,
AND(OR(H64&lt;&gt;"",I64&lt;&gt;""),F64="Best of 3",C64="4x4 / 5x5 BLD"),2,
AND(OR(H64&lt;&gt;"",I64&lt;&gt;""),F64="Best of 3"),1,
F64="Best of 2",AA64,
F64="Best of 1",AA64)</f>
        <v/>
      </c>
      <c r="AA64" s="67" t="str">
        <f>IFS(OR(COUNTIF(Info!$A$22:A90,C64)&gt;0,C64=""),"",
AND(OR("3x3 MBLD"=C64,"3x3 FMC"=C64),F64="Best of 1"=TRUE),1,
AND(OR("3x3 MBLD"=C64,"3x3 FMC"=C64),F64="Best of 2"=TRUE),2,
AND(OR("3x3 MBLD"=C64,"3x3 FMC"=C64),OR(F64="Best of 3",F64="Mean of 3")=TRUE),3,
AND(F64="Mean of 3",C64="6x6 / 7x7"),6,
AND(F64="Best of 3",C64="4x4 / 5x5 BLD"),6,
F64="Avg of 5",5,F64="Mean of 3",3,F64="Best of 3",3,F64="Best of 2",2,F64="Best of 1",1)</f>
        <v/>
      </c>
      <c r="AB64" s="69"/>
    </row>
    <row r="65" ht="15.75" customHeight="1">
      <c r="A65" s="62">
        <f>IFERROR(__xludf.DUMMYFUNCTION("IFS(indirect(""A""&amp;row()-1)=""Start"",TIME(indirect(""A""&amp;row()-2),indirect(""B""&amp;row()-2),0),
$O$2=""No"",TIME(0,($A$6*60+$B$6)+CEILING(SUM($L$7:indirect(""L""&amp;row()-1)),5),0),
D65=$E$2,TIME(0,($A$6*60+$B$6)+CEILING(SUM(IFERROR(FILTER($L$7:indirect(""L"""&amp;"&amp;row()-1),REGEXMATCH($D$7:indirect(""D""&amp;row()-1),$E$2)),0)),5),0),
TRUE,""=time(hh;mm;ss)"")"),0.3645833333333335)</f>
        <v>0.3645833333</v>
      </c>
      <c r="B65" s="63">
        <f>IFERROR(__xludf.DUMMYFUNCTION("IFS($O$2=""No"",TIME(0,($A$6*60+$B$6)+CEILING(SUM($L$7:indirect(""L""&amp;row())),5),0),
D65=$E$2,TIME(0,($A$6*60+$B$6)+CEILING(SUM(FILTER($L$7:indirect(""L""&amp;row()),REGEXMATCH($D$7:indirect(""D""&amp;row()),$E$2))),5),0),
A65=""=time(hh;mm;ss)"",CONCATENATE(""Sk"&amp;"riv tid i A""&amp;row()),
AND(A65&lt;&gt;"""",A65&lt;&gt;""=time(hh;mm;ss)""),A65+TIME(0,CEILING(indirect(""L""&amp;row()),5),0))"),0.3645833333333335)</f>
        <v>0.3645833333</v>
      </c>
      <c r="C65" s="37"/>
      <c r="D65" s="64" t="str">
        <f t="shared" si="7"/>
        <v>Stora salen</v>
      </c>
      <c r="E65" s="64" t="str">
        <f>IFERROR(__xludf.DUMMYFUNCTION("IFS(COUNTIF(Info!$A$22:A91,C65)&gt;0,"""",
AND(OR(""3x3 FMC""=C65,""3x3 MBLD""=C65),COUNTIF($C$7:indirect(""C""&amp;row()),indirect(""C""&amp;row()))&gt;=13),""E - Error"",
AND(OR(""3x3 FMC""=C65,""3x3 MBLD""=C65),COUNTIF($C$7:indirect(""C""&amp;row()),indirect(""C""&amp;row()"&amp;"))=12),""Final - A3"",
AND(OR(""3x3 FMC""=C65,""3x3 MBLD""=C65),COUNTIF($C$7:indirect(""C""&amp;row()),indirect(""C""&amp;row()))=11),""Final - A2"",
AND(OR(""3x3 FMC""=C65,""3x3 MBLD""=C65),COUNTIF($C$7:indirect(""C""&amp;row()),indirect(""C""&amp;row()))=10),""Final - "&amp;"A1"",
AND(OR(""3x3 FMC""=C65,""3x3 MBLD""=C65),COUNTIF($C$7:indirect(""C""&amp;row()),indirect(""C""&amp;row()))=9,
COUNTIF($C$7:$C$102,indirect(""C""&amp;row()))&gt;9),""R3 - A3"",
AND(OR(""3x3 FMC""=C65,""3x3 MBLD""=C65),COUNTIF($C$7:indirect(""C""&amp;row()),indirect(""C"&amp;"""&amp;row()))=9,
COUNTIF($C$7:$C$102,indirect(""C""&amp;row()))&lt;=9),""Final - A3"",
AND(OR(""3x3 FMC""=C65,""3x3 MBLD""=C65),COUNTIF($C$7:indirect(""C""&amp;row()),indirect(""C""&amp;row()))=8,
COUNTIF($C$7:$C$102,indirect(""C""&amp;row()))&gt;9),""R3 - A2"",
AND(OR(""3x3 FMC"&amp;"""=C65,""3x3 MBLD""=C65),COUNTIF($C$7:indirect(""C""&amp;row()),indirect(""C""&amp;row()))=8,
COUNTIF($C$7:$C$102,indirect(""C""&amp;row()))&lt;=9),""Final - A2"",
AND(OR(""3x3 FMC""=C65,""3x3 MBLD""=C65),COUNTIF($C$7:indirect(""C""&amp;row()),indirect(""C""&amp;row()))=7,
COUN"&amp;"TIF($C$7:$C$102,indirect(""C""&amp;row()))&gt;9),""R3 - A1"",
AND(OR(""3x3 FMC""=C65,""3x3 MBLD""=C65),COUNTIF($C$7:indirect(""C""&amp;row()),indirect(""C""&amp;row()))=7,
COUNTIF($C$7:$C$102,indirect(""C""&amp;row()))&lt;=9),""Final - A1"",
AND(OR(""3x3 FMC""=C65,""3x3 MBLD"""&amp;"=C65),COUNTIF($C$7:indirect(""C""&amp;row()),indirect(""C""&amp;row()))=6,
COUNTIF($C$7:$C$102,indirect(""C""&amp;row()))&gt;6),""R2 - A3"",
AND(OR(""3x3 FMC""=C65,""3x3 MBLD""=C65),COUNTIF($C$7:indirect(""C""&amp;row()),indirect(""C""&amp;row()))=6,
COUNTIF($C$7:$C$102,indirec"&amp;"t(""C""&amp;row()))&lt;=6),""Final - A3"",
AND(OR(""3x3 FMC""=C65,""3x3 MBLD""=C65),COUNTIF($C$7:indirect(""C""&amp;row()),indirect(""C""&amp;row()))=5,
COUNTIF($C$7:$C$102,indirect(""C""&amp;row()))&gt;6),""R2 - A2"",
AND(OR(""3x3 FMC""=C65,""3x3 MBLD""=C65),COUNTIF($C$7:indi"&amp;"rect(""C""&amp;row()),indirect(""C""&amp;row()))=5,
COUNTIF($C$7:$C$102,indirect(""C""&amp;row()))&lt;=6),""Final - A2"",
AND(OR(""3x3 FMC""=C65,""3x3 MBLD""=C65),COUNTIF($C$7:indirect(""C""&amp;row()),indirect(""C""&amp;row()))=4,
COUNTIF($C$7:$C$102,indirect(""C""&amp;row()))&gt;6),"&amp;"""R2 - A1"",
AND(OR(""3x3 FMC""=C65,""3x3 MBLD""=C65),COUNTIF($C$7:indirect(""C""&amp;row()),indirect(""C""&amp;row()))=4,
COUNTIF($C$7:$C$102,indirect(""C""&amp;row()))&lt;=6),""Final - A1"",
AND(OR(""3x3 FMC""=C65,""3x3 MBLD""=C65),COUNTIF($C$7:indirect(""C""&amp;row()),i"&amp;"ndirect(""C""&amp;row()))=3),""R1 - A3"",
AND(OR(""3x3 FMC""=C65,""3x3 MBLD""=C65),COUNTIF($C$7:indirect(""C""&amp;row()),indirect(""C""&amp;row()))=2),""R1 - A2"",
AND(OR(""3x3 FMC""=C65,""3x3 MBLD""=C65),COUNTIF($C$7:indirect(""C""&amp;row()),indirect(""C""&amp;row()))=1),"&amp;"""R1 -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91, Info!$A$2:A91 = C65),ROUNDUP((FILTER(Info!$H$2:H91,Info!$A$2:A91=C65)/FILTER(Info!$H$2:H91,Info!$A$2:A91=$K$2))*$I$2)&gt;99),3,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91, Info!$A$2:A91 = C65),ROUNDUP((FILTER(Info!$H$2:H91,Info!$A$2:A91=C65)/FILTER(Info!$H$2:H91,Info!$A$2:A91=$K$2))*$I$2)&gt;15),2,
AND(COUNTIF($C$7:indirect(""C""&amp;row()),indirect(""C""&amp;row()))=2,COUNTIF($C$7:$C$102,indirect(""C""&amp;row()))=COUNTIF($"&amp;"C$7:indirect(""C""&amp;row()),indirect(""C""&amp;row()))),""Final"",
COUNTIF($C$7:indirect(""C""&amp;row()),indirect(""C""&amp;row()))=1,1,
COUNTIF($C$7:indirect(""C""&amp;row()),indirect(""C""&amp;row()))=0,"""")"),"")</f>
        <v/>
      </c>
      <c r="F65" s="64" t="str">
        <f>IFERROR(__xludf.DUMMYFUNCTION("IFS(C65="""","""",
AND(C65=""3x3 FMC"",MOD(COUNTIF($C$7:indirect(""C""&amp;row()),indirect(""C""&amp;row())),3)=0),""Mean of 3"",
AND(C65=""3x3 MBLD"",MOD(COUNTIF($C$7:indirect(""C""&amp;row()),indirect(""C""&amp;row())),3)=0),""Best of 3"",
AND(C65=""3x3 FMC"",MOD(COUNT"&amp;"IF($C$7:indirect(""C""&amp;row()),indirect(""C""&amp;row())),3)=2,
COUNTIF($C$7:$C$102,indirect(""C""&amp;row()))&lt;=COUNTIF($C$7:indirect(""C""&amp;row()),indirect(""C""&amp;row()))),""Best of 2"",
AND(C65=""3x3 FMC"",MOD(COUNTIF($C$7:indirect(""C""&amp;row()),indirect(""C""&amp;row("&amp;"))),3)=2,
COUNTIF($C$7:$C$102,indirect(""C""&amp;row()))&gt;COUNTIF($C$7:indirect(""C""&amp;row()),indirect(""C""&amp;row()))),""Mean of 3"",
AND(C65=""3x3 MBLD"",MOD(COUNTIF($C$7:indirect(""C""&amp;row()),indirect(""C""&amp;row())),3)=2,
COUNTIF($C$7:$C$102,indirect(""C""&amp;row("&amp;")))&lt;=COUNTIF($C$7:indirect(""C""&amp;row()),indirect(""C""&amp;row()))),""Best of 2"",
AND(C65=""3x3 MBLD"",MOD(COUNTIF($C$7:indirect(""C""&amp;row()),indirect(""C""&amp;row())),3)=2,
COUNTIF($C$7:$C$102,indirect(""C""&amp;row()))&gt;COUNTIF($C$7:indirect(""C""&amp;row()),indirect("&amp;"""C""&amp;row()))),""Best of 3"",
AND(C65=""3x3 FMC"",MOD(COUNTIF($C$7:indirect(""C""&amp;row()),indirect(""C""&amp;row())),3)=1,
COUNTIF($C$7:$C$102,indirect(""C""&amp;row()))&lt;=COUNTIF($C$7:indirect(""C""&amp;row()),indirect(""C""&amp;row()))),""Best of 1"",
AND(C65=""3x3 FMC"""&amp;",MOD(COUNTIF($C$7:indirect(""C""&amp;row()),indirect(""C""&amp;row())),3)=1,
COUNTIF($C$7:$C$102,indirect(""C""&amp;row()))=COUNTIF($C$7:indirect(""C""&amp;row()),indirect(""C""&amp;row()))+1),""Best of 2"",
AND(C65=""3x3 FMC"",MOD(COUNTIF($C$7:indirect(""C""&amp;row()),indirect"&amp;"(""C""&amp;row())),3)=1,
COUNTIF($C$7:$C$102,indirect(""C""&amp;row()))&gt;COUNTIF($C$7:indirect(""C""&amp;row()),indirect(""C""&amp;row()))),""Mean of 3"",
AND(C65=""3x3 MBLD"",MOD(COUNTIF($C$7:indirect(""C""&amp;row()),indirect(""C""&amp;row())),3)=1,
COUNTIF($C$7:$C$102,indirect"&amp;"(""C""&amp;row()))&lt;=COUNTIF($C$7:indirect(""C""&amp;row()),indirect(""C""&amp;row()))),""Best of 1"",
AND(C65=""3x3 MBLD"",MOD(COUNTIF($C$7:indirect(""C""&amp;row()),indirect(""C""&amp;row())),3)=1,
COUNTIF($C$7:$C$102,indirect(""C""&amp;row()))=COUNTIF($C$7:indirect(""C""&amp;row()"&amp;"),indirect(""C""&amp;row()))+1),""Best of 2"",
AND(C65=""3x3 MBLD"",MOD(COUNTIF($C$7:indirect(""C""&amp;row()),indirect(""C""&amp;row())),3)=1,
COUNTIF($C$7:$C$102,indirect(""C""&amp;row()))&gt;COUNTIF($C$7:indirect(""C""&amp;row()),indirect(""C""&amp;row()))),""Best of 3"",
TRUE,("&amp;"IFERROR(FILTER(Info!$D$2:D91, Info!$A$2:A91 = C65), """")))"),"")</f>
        <v/>
      </c>
      <c r="G65" s="64" t="str">
        <f>IFERROR(__xludf.DUMMYFUNCTION("IFS(OR(COUNTIF(Info!$A$22:A91,C65)&gt;0,C65=""""),"""",
OR(""3x3 MBLD""=C65,""3x3 FMC""=C65),60,
AND(E65=1,FILTER(Info!$F$2:F91, Info!$A$2:A91 = C65) = ""No""),FILTER(Info!$P$2:P91, Info!$A$2:A91 = C65),
AND(E65=2,FILTER(Info!$F$2:F91, Info!$A$2:A91 = C65) ="&amp;" ""No""),FILTER(Info!$Q$2:Q91, Info!$A$2:A91 = C65),
AND(E65=3,FILTER(Info!$F$2:F91, Info!$A$2:A91 = C65) = ""No""),FILTER(Info!$R$2:R91, Info!$A$2:A91 = C65),
AND(E65=""Final"",FILTER(Info!$F$2:F91, Info!$A$2:A91 = C65) = ""No""),FILTER(Info!$S$2:S91, In"&amp;"fo!$A$2:A91 = C65),
FILTER(Info!$F$2:F91, Info!$A$2:A91 = C65) = ""Yes"","""")"),"")</f>
        <v/>
      </c>
      <c r="H65" s="64" t="str">
        <f>IFERROR(__xludf.DUMMYFUNCTION("IFS(OR(COUNTIF(Info!$A$22:A91,C65)&gt;0,C65=""""),"""",
OR(""3x3 MBLD""=C65,""3x3 FMC""=C65)=TRUE,"""",
FILTER(Info!$F$2:F91, Info!$A$2:A91 = C65) = ""Yes"",FILTER(Info!$O$2:O91, Info!$A$2:A91 = C65),
FILTER(Info!$F$2:F91, Info!$A$2:A91 = C65) = ""No"",IF(G6"&amp;"5="""",FILTER(Info!$O$2:O91, Info!$A$2:A91 = C65),""""))"),"")</f>
        <v/>
      </c>
      <c r="I65" s="64" t="str">
        <f>IFERROR(__xludf.DUMMYFUNCTION("IFS(OR(COUNTIF(Info!$A$22:A91,C65)&gt;0,C65="""",H65&lt;&gt;""""),"""",
AND(E65&lt;&gt;1,E65&lt;&gt;""R1 - A1"",E65&lt;&gt;""R1 - A2"",E65&lt;&gt;""R1 - A3""),"""",
FILTER(Info!$E$2:E91, Info!$A$2:A91 = C65) = ""Yes"",IF(H65="""",FILTER(Info!$L$2:L91, Info!$A$2:A91 = C65),""""),
FILTER(I"&amp;"nfo!$E$2:E91, Info!$A$2:A91 = C65) = ""No"","""")"),"")</f>
        <v/>
      </c>
      <c r="J65" s="64" t="str">
        <f>IFERROR(__xludf.DUMMYFUNCTION("IFS(OR(COUNTIF(Info!$A$22:A91,C65)&gt;0,C65="""",""3x3 MBLD""=C65,""3x3 FMC""=C65),"""",
AND(E65=1,FILTER(Info!$H$2:H91,Info!$A$2:A91 = C65)&lt;=FILTER(Info!$H$2:H91,Info!$A$2:A91=$K$2)),
ROUNDUP((FILTER(Info!$H$2:H91,Info!$A$2:A91 = C65)/FILTER(Info!$H$2:H91,I"&amp;"nfo!$A$2:A91=$K$2))*$I$2),
AND(E65=1,FILTER(Info!$H$2:H91,Info!$A$2:A91 = C65)&gt;FILTER(Info!$H$2:H91,Info!$A$2:A91=$K$2)),""K2 - Error"",
AND(E65=2,FILTER($J$7:indirect(""J""&amp;row()-1),$C$7:indirect(""C""&amp;row()-1)=C65)&lt;=7),""J - Error"",
E65=2,FLOOR(FILTER("&amp;"$J$7:indirect(""J""&amp;row()-1),$C$7:indirect(""C""&amp;row()-1)=C65)*Info!$T$32),
AND(E65=3,FILTER($J$7:indirect(""J""&amp;row()-1),$C$7:indirect(""C""&amp;row()-1)=C65)&lt;=15),""J - Error"",
E65=3,FLOOR(Info!$T$32*FLOOR(FILTER($J$7:indirect(""J""&amp;row()-1),$C$7:indirect("&amp;"""C""&amp;row()-1)=C65)*Info!$T$32)),
AND(E65=""Final"",COUNTIF($C$7:$C$102,C65)=2,FILTER($J$7:indirect(""J""&amp;row()-1),$C$7:indirect(""C""&amp;row()-1)=C65)&lt;=7),""J - Error"",
AND(E65=""Final"",COUNTIF($C$7:$C$102,C65)=2),
MIN(P65,FLOOR(FILTER($J$7:indirect(""J"""&amp;"&amp;row()-1),$C$7:indirect(""C""&amp;row()-1)=C65)*Info!$T$32)),
AND(E65=""Final"",COUNTIF($C$7:$C$102,C65)=3,FILTER($J$7:indirect(""J""&amp;row()-1),$C$7:indirect(""C""&amp;row()-1)=C65)&lt;=15),""J - Error"",
AND(E65=""Final"",COUNTIF($C$7:$C$102,C65)=3),
MIN(P65,FLOOR(I"&amp;"nfo!$T$32*FLOOR(FILTER($J$7:indirect(""J""&amp;row()-1),$C$7:indirect(""C""&amp;row()-1)=C65)*Info!$T$32))),
AND(E65=""Final"",COUNTIF($C$7:$C$102,C65)&gt;=4,FILTER($J$7:indirect(""J""&amp;row()-1),$C$7:indirect(""C""&amp;row()-1)=C65)&lt;=99),""J - Error"",
AND(E65=""Final"","&amp;"COUNTIF($C$7:$C$102,C65)&gt;=4),
MIN(P65,FLOOR(Info!$T$32*FLOOR(Info!$T$32*FLOOR(FILTER($J$7:indirect(""J""&amp;row()-1),$C$7:indirect(""C""&amp;row()-1)=C65)*Info!$T$32)))))"),"")</f>
        <v/>
      </c>
      <c r="K65" s="41" t="str">
        <f>IFERROR(__xludf.DUMMYFUNCTION("IFS(AND(indirect(""D""&amp;row()+2)&lt;&gt;$E$2,indirect(""D""&amp;row()+1)=""""),CONCATENATE(""Tom rad! Kopiera hela rad ""&amp;row()&amp;"" dit""),
AND(indirect(""D""&amp;row()-1)&lt;&gt;""Rum"",indirect(""D""&amp;row()-1)=""""),CONCATENATE(""Tom rad! Kopiera hela rad ""&amp;row()&amp;"" dit""),
"&amp;"C65="""","""",
COUNTIF(Info!$A$22:A91,$K$2)&gt;0,""Det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OR(AND(D65&lt;&gt;$E$2,D65&lt;&gt;$E$4,D65&lt;&gt;$K$4,D65&lt;&gt;$Q$4),D65="&amp;"""""),CONCATENATE(""Rum: ""&amp;D65&amp;"" finns ej, byt i D""&amp;row()),
AND(indirect(""D""&amp;row()-1)=""Rum"",C65=""""),CONCATENATE(""För att börja: skriv i cell C""&amp;row()),
AND(C65=""Paus"",M65&lt;=0),CONCATENATE(""Skriv pausens längd i M""&amp;row()),
OR(COUNTIF(Info!$A$"&amp;"22:A91,C65)&gt;0,C65=""""),"""",
AND(D65&lt;&gt;$E$2,$O$2=""Yes"",A65=""=time(hh;mm;ss)""),CONCATENATE(""Skriv starttid för ""&amp;C65&amp;"" i A""&amp;row()),
E65=""E - Error"",CONCATENATE(""För många ""&amp;C65&amp;"" rundor!""),
AND(C65&lt;&gt;""3x3 FMC"",C65&lt;&gt;""3x3 MBLD"",E65&lt;&gt;1,E65&lt;&gt;"&amp;"""Final"",IFERROR(FILTER($E$7:indirect(""E""&amp;row()-1),
$E$7:indirect(""E""&amp;row()-1)=E65-1,$C$7:indirect(""C""&amp;row()-1)=C65))=FALSE),CONCATENATE(""Kan ej vara R""&amp;E65&amp;"", saknar R""&amp;(E65-1)),
AND(indirect(""E""&amp;row()-1)&lt;&gt;""Omgång"",IFERROR(FILTER($E$7:indi"&amp;"rect(""E""&amp;row()-1),
$E$7:indirect(""E""&amp;row()-1)=E65,$C$7:indirect(""C""&amp;row()-1)=C65)=E65)=TRUE),CONCATENATE(""Runda ""&amp;E65&amp;"" i ""&amp;C65&amp;"" finns redan""),
AND(C65&lt;&gt;""3x3 BLD"",C65&lt;&gt;""4x4 BLD"",C65&lt;&gt;""5x5 BLD"",C65&lt;&gt;""4x4 / 5x5 BLD"",OR(E65=2,E65=3,E65="&amp;"""Final""),H65&lt;&gt;""""),CONCATENATE(E65&amp;""-rundor brukar ej ha c.t.l.""),
AND(OR(E65=2,E65=3,E65=""Final""),I65&lt;&gt;""""),CONCATENATE(E65&amp;""-rundor brukar ej ha cutoff""),
AND(OR(C65=""3x3 FMC"",C65=""3x3 MBLD""),OR(E65=1,E65=2,E65=3,E65=""Final"")),CONCATENAT"&amp;"E(C65&amp;""s omgång är Rx - Ax""),
AND(C65&lt;&gt;""3x3 MBLD"",C65&lt;&gt;""3x3 FMC"",FILTER(Info!$D$2:D91, Info!$A$2:A91 = C65)&lt;&gt;F65),CONCATENATE(C65&amp;"" måste ha formatet ""&amp;FILTER(Info!$D$2:D91, Info!$A$2:A91 = C65)),
AND(C65=""3x3 MBLD"",OR(F65=""Avg of 5"",F65=""Mea"&amp;"n of 3"")),CONCATENATE(""Ogiltigt format för ""&amp;C65),
AND(C65=""3x3 FMC"",OR(F65=""Avg of 5"",F65=""Best of 3"")),CONCATENATE(""Ogiltigt format för ""&amp;C65),
AND(OR(F65=""Best of 1"",F65=""Best of 2"",F65=""Best of 3""),I65&lt;&gt;""""),CONCATENATE(F65&amp;""-rundor"&amp;" får ej ha cutoff""),
AND(OR(C65=""3x3 FMC"",C65=""3x3 MBLD""),G65&lt;&gt;60),CONCATENATE(C65&amp;"" måste ha time limit: 60""),
AND(OR(C65=""3x3 FMC"",C65=""3x3 MBLD""),H65&lt;&gt;""""),CONCATENATE(C65&amp;"" kan inte ha c.t.l.""),
AND(G65&lt;&gt;"""",H65&lt;&gt;""""),""Välj time limit"&amp;" ELLER c.t.l"",
AND(C65=""6x6 / 7x7"",G65="""",H65=""""),""Sätt time limit (x / y) eller c.t.l (z)"",
AND(G65="""",H65=""""),""Sätt en time limit eller c.t.l"",
AND(OR(C65=""6x6 / 7x7"",C65=""4x4 / 5x5 BLD""),G65&lt;&gt;"""",REGEXMATCH(TO_TEXT(G65),"" / "")=FAL"&amp;"SE),CONCATENATE(""Time limit måste vara x / y""),
AND(H65&lt;&gt;"""",I65&lt;&gt;""""),CONCATENATE(C65&amp;"" brukar ej ha cutoff OCH c.t.l""),
AND(E65=1,H65="""",I65="""",OR(FILTER(Info!$E$2:E91, Info!$A$2:A91 = C65) = ""Yes"",FILTER(Info!$F$2:F91, Info!$A$2:A91 = C65) "&amp;"= ""Yes""),OR(F65=""Avg of 5"",F65=""Mean of 3"")),CONCATENATE(C65&amp;"" bör ha cutoff eller c.t.l""),
AND(C65=""6x6 / 7x7"",I65&lt;&gt;"""",REGEXMATCH(TO_TEXT(I65),"" / "")=FALSE),CONCATENATE(""Cutoff måste vara x / y""),
AND(H65&lt;&gt;"""",ISNUMBER(H65)=FALSE),""C.t."&amp;"l. måste vara positivt tal (x)"",
AND(C65&lt;&gt;""6x6 / 7x7"",I65&lt;&gt;"""",ISNUMBER(I65)=FALSE),""Cutoff måste vara positivt tal (x)"",
AND(H65&lt;&gt;"""",FILTER(Info!$E$2:E91, Info!$A$2:A91 = C65) = ""No"",FILTER(Info!$F$2:F91, Info!$A$2:A91 = C65) = ""No""),CONCATEN"&amp;"ATE(C65&amp;"" brukar inte ha c.t.l.""),
AND(I65&lt;&gt;"""",FILTER(Info!$E$2:E91, Info!$A$2:A91 = C65) = ""No"",FILTER(Info!$F$2:F91, Info!$A$2:A91 = C65) = ""No""),CONCATENATE(C65&amp;"" brukar inte ha cutoff""),
AND(H65="""",FILTER(Info!$F$2:F91, Info!$A$2:A91 = C65"&amp;") = ""Yes""),CONCATENATE(C65&amp;"" brukar ha c.t.l.""),
AND(C65&lt;&gt;""6x6 / 7x7"",C65&lt;&gt;""4x4 / 5x5 BLD"",G65&lt;&gt;"""",ISNUMBER(G65)=FALSE),""Time limit måste vara positivt tal (x)"",
J65=""J - Error"",CONCATENATE(""För få deltagare i R1 för ""&amp;COUNTIF($C$7:$C$102,"&amp;"indirect(""C""&amp;row()))&amp;"" rundor""),
J65=""K2 - Error"",CONCATENATE(C65&amp;"" är mer populär - byt i K2!""),
AND(C65&lt;&gt;""6x6 / 7x7"",C65&lt;&gt;""4x4 / 5x5 BLD"",G65&lt;&gt;"""",I65&lt;&gt;"""",G65&lt;=I65),""Time limit måste vara &gt; cutoff"",
AND(C65&lt;&gt;""6x6 / 7x7"",C65&lt;&gt;""4x4 / 5"&amp;"x5 BLD"",H65&lt;&gt;"""",I65&lt;&gt;"""",H65&lt;=I65),""C.t.l. måste vara &gt; cutoff"",
AND(C65&lt;&gt;""3x3 FMC"",C65&lt;&gt;""3x3 MBLD"",J65=""""),CONCATENATE(""Fyll i antal deltagare i J""&amp;row()),
AND(C65="""",OR(E65&lt;&gt;"""",F65&lt;&gt;"""",G65&lt;&gt;"""",H65&lt;&gt;"""",I65&lt;&gt;"""",J65&lt;&gt;"""")),""Skri"&amp;"v ALLTID gren / aktivitet först"",
AND(I65="""",H65="""",J65&lt;&gt;""""),J65,
OR(""3x3 FMC""=C65,""3x3 MBLD""=C65),J65,
AND(I65&lt;&gt;"""",""6x6 / 7x7""=C65),
IFS(ArrayFormula(SUM(IFERROR(SPLIT(I65,"" / ""))))&lt;(Info!$J$6+Info!$J$7)*2/3,CONCATENATE(""Höj helst cutof"&amp;"fs i ""&amp;C65),
ArrayFormula(SUM(IFERROR(SPLIT(I65,"" / ""))))&lt;=(Info!$J$6+Info!$J$7),ROUNDUP(J65*Info!$J$22),
ArrayFormula(SUM(IFERROR(SPLIT(I65,"" / ""))))&lt;=Info!$J$6+Info!$J$7,ROUNDUP(J65*Info!$K$22),
ArrayFormula(SUM(IFERROR(SPLIT(I65,"" / ""))))&lt;=Info!"&amp;"$K$6+Info!$K$7,ROUNDUP(J65*Info!L$22),
ArrayFormula(SUM(IFERROR(SPLIT(I65,"" / ""))))&lt;=Info!$L$6+Info!$L$7,ROUNDUP(J65*Info!$M$22),
ArrayFormula(SUM(IFERROR(SPLIT(I65,"" / ""))))&lt;=Info!$M$6+Info!$M$7,ROUNDUP(J65*Info!$N$22),
ArrayFormula(SUM(IFERROR(SPLIT"&amp;"(I65,"" / ""))))&lt;=(Info!$N$6+Info!$N$7)*3/2,ROUNDUP(J65*Info!$J$26),
ArrayFormula(SUM(IFERROR(SPLIT(I65,"" / ""))))&gt;(Info!$N$6+Info!$N$7)*3/2,CONCATENATE(""Sänk helst cutoffs i ""&amp;C65)),
AND(I65&lt;&gt;"""",FILTER(Info!$E$2:E91, Info!$A$2:A91 = C65) = ""Yes""),"&amp;"
IFS(I65&lt;FILTER(Info!$J$2:J91, Info!$A$2:A91 = C65)*2/3,CONCATENATE(""Höj helst cutoff i ""&amp;C65),
I65&lt;=FILTER(Info!$J$2:J91, Info!$A$2:A91 = C65),ROUNDUP(J65*Info!$J$22),
I65&lt;=FILTER(Info!$K$2:K91, Info!$A$2:A91 = C65),ROUNDUP(J65*Info!$K$22),
I65&lt;=FILTER"&amp;"(Info!$L$2:L91, Info!$A$2:A91 = C65),ROUNDUP(J65*Info!L$22),
I65&lt;=FILTER(Info!$M$2:M91, Info!$A$2:A91 = C65),ROUNDUP(J65*Info!$M$22),
I65&lt;=FILTER(Info!$N$2:N91, Info!$A$2:A91 = C65),ROUNDUP(J65*Info!$N$22),
I65&lt;=FILTER(Info!$N$2:N91, Info!$A$2:A91 = C65)*"&amp;"3/2,ROUNDUP(J65*Info!$J$26),
I65&gt;FILTER(Info!$N$2:N91, Info!$A$2:A91 = C65)*3/2,CONCATENATE(""Sänk helst cutoff i ""&amp;C65)),
AND(H65&lt;&gt;"""",""6x6 / 7x7""=C65),
IFS(H65/3&lt;=(Info!$J$6+Info!$J$7)*2/3,""Höj helst cumulative time limit"",
H65/3&lt;=Info!$J$6+Info!$"&amp;"J$7,ROUNDUP(J65*Info!$J$24),
H65/3&lt;=Info!$K$6+Info!$K$7,ROUNDUP(J65*Info!$K$24),
H65/3&lt;=Info!$L$6+Info!$L$7,ROUNDUP(J65*Info!L$24),
H65/3&lt;=Info!$M$6+Info!$M$7,ROUNDUP(J65*Info!$M$24),
H65/3&lt;=Info!$N$6+Info!$N$7,ROUNDUP(J65*Info!$N$24),
H65/3&lt;=(Info!$N$6+I"&amp;"nfo!$N$7)*3/2,ROUNDUP(J65*Info!$L$26),
H65/3&gt;(Info!$J$6+Info!$J$7)*3/2,""Sänk helst cumulative time limit""),
AND(H65&lt;&gt;"""",FILTER(Info!$F$2:F91, Info!$A$2:A91 = C65) = ""Yes""),
IFS(H65&lt;=FILTER(Info!$J$2:J91, Info!$A$2:A91 = C65)*2/3,CONCATENATE(""Höj he"&amp;"lst c.t.l. i ""&amp;C65),
H65&lt;=FILTER(Info!$J$2:J91, Info!$A$2:A91 = C65),ROUNDUP(J65*Info!$J$24),
H65&lt;=FILTER(Info!$K$2:K91, Info!$A$2:A91 = C65),ROUNDUP(J65*Info!$K$24),
H65&lt;=FILTER(Info!$L$2:L91, Info!$A$2:A91 = C65),ROUNDUP(J65*Info!L$24),
H65&lt;=FILTER(Inf"&amp;"o!$M$2:M91, Info!$A$2:A91 = C65),ROUNDUP(J65*Info!$M$24),
H65&lt;=FILTER(Info!$N$2:N91, Info!$A$2:A91 = C65),ROUNDUP(J65*Info!$N$24),
H65&lt;=FILTER(Info!$N$2:N91, Info!$A$2:A91 = C65)*3/2,ROUNDUP(J65*Info!$L$26),
H65&gt;FILTER(Info!$N$2:N91, Info!$A$2:A91 = C65)*"&amp;"3/2,CONCATENATE(""Sänk helst c.t.l. i ""&amp;C65)),
AND(H65&lt;&gt;"""",FILTER(Info!$F$2:F91, Info!$A$2:A91 = C65) = ""No""),
IFS(H65/AA65&lt;=FILTER(Info!$J$2:J91, Info!$A$2:A91 = C65)*2/3,CONCATENATE(""Höj helst c.t.l. i ""&amp;C65),
H65/AA65&lt;=FILTER(Info!$J$2:J91, Info"&amp;"!$A$2:A91 = C65),ROUNDUP(J65*Info!$J$24),
H65/AA65&lt;=FILTER(Info!$K$2:K91, Info!$A$2:A91 = C65),ROUNDUP(J65*Info!$K$24),
H65/AA65&lt;=FILTER(Info!$L$2:L91, Info!$A$2:A91 = C65),ROUNDUP(J65*Info!L$24),
H65/AA65&lt;=FILTER(Info!$M$2:M91, Info!$A$2:A91 = C65),ROUND"&amp;"UP(J65*Info!$M$24),
H65/AA65&lt;=FILTER(Info!$N$2:N91, Info!$A$2:A91 = C65),ROUNDUP(J65*Info!$N$24),
H65/AA65&lt;=FILTER(Info!$N$2:N91, Info!$A$2:A91 = C65)*3/2,ROUNDUP(J65*Info!$L$26),
H65/AA65&gt;FILTER(Info!$N$2:N91, Info!$A$2:A91 = C65)*3/2,CONCATENATE(""Sänk "&amp;"helst c.t.l. i ""&amp;C65)),
AND(I65="""",H65&lt;&gt;"""",J65&lt;&gt;""""),ROUNDUP(J65*Info!$T$29),
AND(I65&lt;&gt;"""",H65="""",J65&lt;&gt;""""),ROUNDUP(J65*Info!$T$26))"),"")</f>
        <v/>
      </c>
      <c r="L65" s="42">
        <f>IFERROR(__xludf.DUMMYFUNCTION("IFS(C65="""",0,
C65=""3x3 FMC"",Info!$B$9*N65+M65, C65=""3x3 MBLD"",Info!$B$18*N65+M65,
COUNTIF(Info!$A$22:A91,C65)&gt;0,FILTER(Info!$B$22:B91,Info!$A$22:A91=C65)+M65,
AND(C65&lt;&gt;"""",E65=""""),CONCATENATE(""Fyll i E""&amp;row()),
AND(C65&lt;&gt;"""",E65&lt;&gt;"""",E65&lt;&gt;1,E6"&amp;"5&lt;&gt;2,E65&lt;&gt;3,E65&lt;&gt;""Final""),CONCATENATE(""Fel format på E""&amp;row()),
K65=CONCATENATE(""Runda ""&amp;E65&amp;"" i ""&amp;C65&amp;"" finns redan""),CONCATENATE(""Fel i E""&amp;row()),
AND(C65&lt;&gt;"""",F65=""""),CONCATENATE(""Fyll i F""&amp;row()),
K65=CONCATENATE(C65&amp;"" måste ha forma"&amp;"tet ""&amp;FILTER(Info!$D$2:D91, Info!$A$2:A91 = C65)),CONCATENATE(""Fel format på F""&amp;row()),
AND(C65&lt;&gt;"""",D65=1,H65="""",FILTER(Info!$F$2:F91, Info!$A$2:A91 = C65) = ""Yes""),CONCATENATE(""Fyll i H""&amp;row()),
AND(C65&lt;&gt;"""",D65=1,I65="""",FILTER(Info!$E$2:E9"&amp;"1, Info!$A$2:A91 = C65) = ""Yes""),CONCATENATE(""Fyll i I""&amp;row()),
AND(C65&lt;&gt;"""",J65=""""),CONCATENATE(""Fyll i J""&amp;row()),
AND(C65&lt;&gt;"""",K65="""",OR(H65&lt;&gt;"""",I65&lt;&gt;"""")),CONCATENATE(""Fyll i K""&amp;row()),
AND(C65&lt;&gt;"""",K65=""""),CONCATENATE(""Skriv samma"&amp;" i K""&amp;row()&amp;"" som i J""&amp;row()),
AND(OR(C65=""4x4 BLD"",C65=""5x5 BLD"",C65=""4x4 / 5x5 BLD"")=TRUE,V65&lt;=P65),
MROUND(H65*(Info!$T$20-((Info!$T$20-1)/2)*(1-V65/P65))*(1+((J65/K65)-1)*(1-Info!$J$24))*N65+(Info!$T$11/2)+(N65*Info!$T$11)+(N65*Info!$T$14*(O6"&amp;"5-1)),0.01)+M65,
AND(OR(C65=""4x4 BLD"",C65=""5x5 BLD"",C65=""4x4 / 5x5 BLD"")=TRUE,V65&gt;P65),
MROUND((((J65*Z65+K65*(AA65-Z65))*(H65*Info!$T$20/AA65))/X65)*(1+((J65/K65)-1)*(1-Info!$J$24))*(1+(X65-Info!$T$8)/100)+(Info!$T$11/2)+(N65*Info!$T$11)+(N65*Info!"&amp;"$T$14*(O65-1)),0.01)+M65,
AND(C65=""3x3 BLD"",V65&lt;=P65),
MROUND(H65*(Info!$T$23-((Info!$T$23-1)/2)*(1-V65/P65))*(1+((J65/K65)-1)*(1-Info!$J$24))*N65+(Info!$T$11/2)+(N65*Info!$T$11)+(N65*Info!$T$14*(O65-1)),0.01)+M65,
AND(C65=""3x3 BLD"",V65&gt;P65),
MROUND(("&amp;"((J65*Z65+K65*(AA65-Z65))*(H65*Info!$T$23/AA65))/X65)*(1+((J65/K65)-1)*(1-Info!$J$24))*(1+(X65-Info!$T$8)/100)+(Info!$T$11/2)+(N65*Info!$T$11)+(N65*Info!$T$14*(O65-1)),0.01)+M65,
E65=1,MROUND((((J65*Z65+K65*(AA65-Z65))*Y65)/X65)*(1+(X65-Info!$T$8)/100)+(N"&amp;"65*Info!$T$11)+(N65*Info!$T$14*(O65-1)),0.01)+M65,
AND(E65=""Final"",N65=1,FILTER(Info!$G$2:$G$20,Info!$A$2:$A$20=C65)=""Mycket svår""),
MROUND((((J65*Z65+K65*(AA65-Z65))*(Y65*Info!$T$38))/X65)*(1+(X65-Info!$T$8)/100)+(N65*Info!$T$11)+(N65*Info!$T$14*(O65"&amp;"-1)),0.01)+M65,
AND(E65=""Final"",N65=1,FILTER(Info!$G$2:$G$20,Info!$A$2:$A$20=C65)=""Svår""),
MROUND((((J65*Z65+K65*(AA65-Z65))*(Y65*Info!$T$35))/X65)*(1+(X65-Info!$T$8)/100)+(N65*Info!$T$11)+(N65*Info!$T$14*(O65-1)),0.01)+M65,
E65=""Final"",MROUND((((J6"&amp;"5*Z65+K65*(AA65-Z65))*(Y65*Info!$T$5))/X65)*(1+(X65-Info!$T$8)/100)+(N65*Info!$T$11)+(N65*Info!$T$14*(O65-1)),0.01)+M65,
OR(E65=2,E65=3),MROUND((((J65*Z65+K65*(AA65-Z65))*(Y65*Info!$T$2))/X65)*(1+(X65-Info!$T$8)/100)+(N65*Info!$T$11)+(N65*Info!$T$14*(O65-"&amp;"1)),0.01)+M65)"),0.0)</f>
        <v>0</v>
      </c>
      <c r="M65" s="43">
        <f t="shared" si="6"/>
        <v>0</v>
      </c>
      <c r="N65" s="43" t="str">
        <f>IFS(OR(COUNTIF(Info!$A$22:A91,C65)&gt;0,C65=""),"",
OR(C65="4x4 BLD",C65="5x5 BLD",C65="3x3 MBLD",C65="3x3 FMC",C65="4x4 / 5x5 BLD"),1,
AND(E65="Final",Q65="Yes",MAX(1,ROUNDUP(J65/P65))&gt;1),MAX(2,ROUNDUP(J65/P65)),
AND(E65="Final",Q65="No",MAX(1,ROUNDUP(J65/((P65*2)+2.625-Y65*1.5)))&gt;1),MAX(2,ROUNDUP(J65/((P65*2)+2.625-Y65*1.5))),
E65="Final",1,
Q65="Yes",MAX(2,ROUNDUP(J65/P65)),
TRUE,MAX(2,ROUNDUP(J65/((P65*2)+2.625-Y65*1.5))))</f>
        <v/>
      </c>
      <c r="O65" s="43" t="str">
        <f>IFS(OR(COUNTIF(Info!$A$22:A91,C65)&gt;0,C65=""),"",
OR("3x3 MBLD"=C65,"3x3 FMC"=C65)=TRUE,"",
D65=$E$4,$G$6,D65=$K$4,$M$6,D65=$Q$4,$S$6,D65=$W$4,$Y$6,
TRUE,$S$2)</f>
        <v/>
      </c>
      <c r="P65" s="43" t="str">
        <f>IFS(OR(COUNTIF(Info!$A$22:A91,C65)&gt;0,C65=""),"",
OR("3x3 MBLD"=C65,"3x3 FMC"=C65)=TRUE,"",
D65=$E$4,$E$6,D65=$K$4,$K$6,D65=$Q$4,$Q$6,D65=$W$4,$W$6,
TRUE,$Q$2)</f>
        <v/>
      </c>
      <c r="Q65" s="44" t="str">
        <f>IFS(OR(COUNTIF(Info!$A$22:A91,C65)&gt;0,C65=""),"",
OR("3x3 MBLD"=C65,"3x3 FMC"=C65)=TRUE,"",
D65=$E$4,$I$6,D65=$K$4,$O$6,D65=$Q$4,$U$6,D65=$W$4,$AA$6,
TRUE,$U$2)</f>
        <v/>
      </c>
      <c r="R65" s="65" t="str">
        <f>IFERROR(__xludf.DUMMYFUNCTION("IF(C65="""","""",IFERROR(FILTER(Info!$B$22:B91,Info!$A$22:A91=C65)+M65,""?""))"),"")</f>
        <v/>
      </c>
      <c r="S65" s="66" t="str">
        <f>IFS(OR(COUNTIF(Info!$A$22:A91,C65)&gt;0,C65=""),"",
AND(H65="",I65=""),J65,
TRUE,"?")</f>
        <v/>
      </c>
      <c r="T65" s="65" t="str">
        <f>IFS(OR(COUNTIF(Info!$A$22:A91,C65)&gt;0,C65=""),"",
AND(L65&lt;&gt;0,OR(R65="?",R65="")),"Fyll i R-kolumnen",
OR(C65="3x3 FMC",C65="3x3 MBLD"),R65,
AND(L65&lt;&gt;0,OR(S65="?",S65="")),"Fyll i S-kolumnen",
OR(COUNTIF(Info!$A$22:A91,C65)&gt;0,C65=""),"",
TRUE,Y65*R65/L65)</f>
        <v/>
      </c>
      <c r="U65" s="65"/>
      <c r="V65" s="67" t="str">
        <f>IFS(OR(COUNTIF(Info!$A$22:A91,C65)&gt;0,C65=""),"",
OR("3x3 MBLD"=C65,"3x3 FMC"=C65)=TRUE,"",
TRUE,MROUND((J65/N65),0.01))</f>
        <v/>
      </c>
      <c r="W65" s="68" t="str">
        <f>IFS(OR(COUNTIF(Info!$A$22:A91,C65)&gt;0,C65=""),"",
TRUE,L65/N65)</f>
        <v/>
      </c>
      <c r="X65" s="67" t="str">
        <f>IFS(OR(COUNTIF(Info!$A$22:A91,C65)&gt;0,C65=""),"",
OR("3x3 MBLD"=C65,"3x3 FMC"=C65)=TRUE,"",
OR(C65="4x4 BLD",C65="5x5 BLD",C65="4x4 / 5x5 BLD",AND(C65="3x3 BLD",H65&lt;&gt;""))=TRUE,MIN(V65,P65),
TRUE,MIN(P65,V65,MROUND(((V65*2/3)+((Y65-1.625)/2)),0.01)))</f>
        <v/>
      </c>
      <c r="Y65" s="68" t="str">
        <f>IFERROR(__xludf.DUMMYFUNCTION("IFS(OR(COUNTIF(Info!$A$22:A91,C65)&gt;0,C65=""""),"""",
FILTER(Info!$F$2:F91, Info!$A$2:A91 = C65) = ""Yes"",H65/AA65,
""3x3 FMC""=C65,Info!$B$9,""3x3 MBLD""=C65,Info!$B$18,
AND(E65=1,I65="""",H65="""",Q65=""No"",G65&gt;SUMIF(Info!$A$2:A91,C65,Info!$B$2:B91)*1."&amp;"5),
MIN(SUMIF(Info!$A$2:A91,C65,Info!$B$2:B91)*1.1,SUMIF(Info!$A$2:A91,C65,Info!$B$2:B91)*(1.15-(0.15*(SUMIF(Info!$A$2:A91,C65,Info!$B$2:B91)*1.5)/G65))),
AND(E65=1,I65="""",H65="""",Q65=""Yes"",G65&gt;SUMIF(Info!$A$2:A91,C65,Info!$C$2:C91)*1.5),
MIN(SUMIF(I"&amp;"nfo!$A$2:A91,C65,Info!$C$2:C91)*1.1,SUMIF(Info!$A$2:A91,C65,Info!$C$2:C91)*(1.15-(0.15*(SUMIF(Info!$A$2:A91,C65,Info!$C$2:C91)*1.5)/G65))),
Q65=""No"",SUMIF(Info!$A$2:A91,C65,Info!$B$2:B91),
Q65=""Yes"",SUMIF(Info!$A$2:A91,C65,Info!$C$2:C91))"),"")</f>
        <v/>
      </c>
      <c r="Z65" s="67" t="str">
        <f>IFS(OR(COUNTIF(Info!$A$22:A91,C65)&gt;0,C65=""),"",
AND(OR("3x3 FMC"=C65,"3x3 MBLD"=C65),I65&lt;&gt;""),1,
AND(OR(H65&lt;&gt;"",I65&lt;&gt;""),F65="Avg of 5"),2,
F65="Avg of 5",AA65,
AND(OR(H65&lt;&gt;"",I65&lt;&gt;""),F65="Mean of 3",C65="6x6 / 7x7"),2,
AND(OR(H65&lt;&gt;"",I65&lt;&gt;""),F65="Mean of 3"),1,
F65="Mean of 3",AA65,
AND(OR(H65&lt;&gt;"",I65&lt;&gt;""),F65="Best of 3",C65="4x4 / 5x5 BLD"),2,
AND(OR(H65&lt;&gt;"",I65&lt;&gt;""),F65="Best of 3"),1,
F65="Best of 2",AA65,
F65="Best of 1",AA65)</f>
        <v/>
      </c>
      <c r="AA65" s="67" t="str">
        <f>IFS(OR(COUNTIF(Info!$A$22:A91,C65)&gt;0,C65=""),"",
AND(OR("3x3 MBLD"=C65,"3x3 FMC"=C65),F65="Best of 1"=TRUE),1,
AND(OR("3x3 MBLD"=C65,"3x3 FMC"=C65),F65="Best of 2"=TRUE),2,
AND(OR("3x3 MBLD"=C65,"3x3 FMC"=C65),OR(F65="Best of 3",F65="Mean of 3")=TRUE),3,
AND(F65="Mean of 3",C65="6x6 / 7x7"),6,
AND(F65="Best of 3",C65="4x4 / 5x5 BLD"),6,
F65="Avg of 5",5,F65="Mean of 3",3,F65="Best of 3",3,F65="Best of 2",2,F65="Best of 1",1)</f>
        <v/>
      </c>
      <c r="AB65" s="69"/>
    </row>
    <row r="66" ht="15.75" customHeight="1">
      <c r="A66" s="62">
        <f>IFERROR(__xludf.DUMMYFUNCTION("IFS(indirect(""A""&amp;row()-1)=""Start"",TIME(indirect(""A""&amp;row()-2),indirect(""B""&amp;row()-2),0),
$O$2=""No"",TIME(0,($A$6*60+$B$6)+CEILING(SUM($L$7:indirect(""L""&amp;row()-1)),5),0),
D66=$E$2,TIME(0,($A$6*60+$B$6)+CEILING(SUM(IFERROR(FILTER($L$7:indirect(""L"""&amp;"&amp;row()-1),REGEXMATCH($D$7:indirect(""D""&amp;row()-1),$E$2)),0)),5),0),
TRUE,""=time(hh;mm;ss)"")"),0.3645833333333335)</f>
        <v>0.3645833333</v>
      </c>
      <c r="B66" s="63">
        <f>IFERROR(__xludf.DUMMYFUNCTION("IFS($O$2=""No"",TIME(0,($A$6*60+$B$6)+CEILING(SUM($L$7:indirect(""L""&amp;row())),5),0),
D66=$E$2,TIME(0,($A$6*60+$B$6)+CEILING(SUM(FILTER($L$7:indirect(""L""&amp;row()),REGEXMATCH($D$7:indirect(""D""&amp;row()),$E$2))),5),0),
A66=""=time(hh;mm;ss)"",CONCATENATE(""Sk"&amp;"riv tid i A""&amp;row()),
AND(A66&lt;&gt;"""",A66&lt;&gt;""=time(hh;mm;ss)""),A66+TIME(0,CEILING(indirect(""L""&amp;row()),5),0))"),0.3645833333333335)</f>
        <v>0.3645833333</v>
      </c>
      <c r="C66" s="37"/>
      <c r="D66" s="64" t="str">
        <f t="shared" si="7"/>
        <v>Stora salen</v>
      </c>
      <c r="E66" s="64" t="str">
        <f>IFERROR(__xludf.DUMMYFUNCTION("IFS(COUNTIF(Info!$A$22:A92,C66)&gt;0,"""",
AND(OR(""3x3 FMC""=C66,""3x3 MBLD""=C66),COUNTIF($C$7:indirect(""C""&amp;row()),indirect(""C""&amp;row()))&gt;=13),""E - Error"",
AND(OR(""3x3 FMC""=C66,""3x3 MBLD""=C66),COUNTIF($C$7:indirect(""C""&amp;row()),indirect(""C""&amp;row()"&amp;"))=12),""Final - A3"",
AND(OR(""3x3 FMC""=C66,""3x3 MBLD""=C66),COUNTIF($C$7:indirect(""C""&amp;row()),indirect(""C""&amp;row()))=11),""Final - A2"",
AND(OR(""3x3 FMC""=C66,""3x3 MBLD""=C66),COUNTIF($C$7:indirect(""C""&amp;row()),indirect(""C""&amp;row()))=10),""Final - "&amp;"A1"",
AND(OR(""3x3 FMC""=C66,""3x3 MBLD""=C66),COUNTIF($C$7:indirect(""C""&amp;row()),indirect(""C""&amp;row()))=9,
COUNTIF($C$7:$C$102,indirect(""C""&amp;row()))&gt;9),""R3 - A3"",
AND(OR(""3x3 FMC""=C66,""3x3 MBLD""=C66),COUNTIF($C$7:indirect(""C""&amp;row()),indirect(""C"&amp;"""&amp;row()))=9,
COUNTIF($C$7:$C$102,indirect(""C""&amp;row()))&lt;=9),""Final - A3"",
AND(OR(""3x3 FMC""=C66,""3x3 MBLD""=C66),COUNTIF($C$7:indirect(""C""&amp;row()),indirect(""C""&amp;row()))=8,
COUNTIF($C$7:$C$102,indirect(""C""&amp;row()))&gt;9),""R3 - A2"",
AND(OR(""3x3 FMC"&amp;"""=C66,""3x3 MBLD""=C66),COUNTIF($C$7:indirect(""C""&amp;row()),indirect(""C""&amp;row()))=8,
COUNTIF($C$7:$C$102,indirect(""C""&amp;row()))&lt;=9),""Final - A2"",
AND(OR(""3x3 FMC""=C66,""3x3 MBLD""=C66),COUNTIF($C$7:indirect(""C""&amp;row()),indirect(""C""&amp;row()))=7,
COUN"&amp;"TIF($C$7:$C$102,indirect(""C""&amp;row()))&gt;9),""R3 - A1"",
AND(OR(""3x3 FMC""=C66,""3x3 MBLD""=C66),COUNTIF($C$7:indirect(""C""&amp;row()),indirect(""C""&amp;row()))=7,
COUNTIF($C$7:$C$102,indirect(""C""&amp;row()))&lt;=9),""Final - A1"",
AND(OR(""3x3 FMC""=C66,""3x3 MBLD"""&amp;"=C66),COUNTIF($C$7:indirect(""C""&amp;row()),indirect(""C""&amp;row()))=6,
COUNTIF($C$7:$C$102,indirect(""C""&amp;row()))&gt;6),""R2 - A3"",
AND(OR(""3x3 FMC""=C66,""3x3 MBLD""=C66),COUNTIF($C$7:indirect(""C""&amp;row()),indirect(""C""&amp;row()))=6,
COUNTIF($C$7:$C$102,indirec"&amp;"t(""C""&amp;row()))&lt;=6),""Final - A3"",
AND(OR(""3x3 FMC""=C66,""3x3 MBLD""=C66),COUNTIF($C$7:indirect(""C""&amp;row()),indirect(""C""&amp;row()))=5,
COUNTIF($C$7:$C$102,indirect(""C""&amp;row()))&gt;6),""R2 - A2"",
AND(OR(""3x3 FMC""=C66,""3x3 MBLD""=C66),COUNTIF($C$7:indi"&amp;"rect(""C""&amp;row()),indirect(""C""&amp;row()))=5,
COUNTIF($C$7:$C$102,indirect(""C""&amp;row()))&lt;=6),""Final - A2"",
AND(OR(""3x3 FMC""=C66,""3x3 MBLD""=C66),COUNTIF($C$7:indirect(""C""&amp;row()),indirect(""C""&amp;row()))=4,
COUNTIF($C$7:$C$102,indirect(""C""&amp;row()))&gt;6),"&amp;"""R2 - A1"",
AND(OR(""3x3 FMC""=C66,""3x3 MBLD""=C66),COUNTIF($C$7:indirect(""C""&amp;row()),indirect(""C""&amp;row()))=4,
COUNTIF($C$7:$C$102,indirect(""C""&amp;row()))&lt;=6),""Final - A1"",
AND(OR(""3x3 FMC""=C66,""3x3 MBLD""=C66),COUNTIF($C$7:indirect(""C""&amp;row()),i"&amp;"ndirect(""C""&amp;row()))=3),""R1 - A3"",
AND(OR(""3x3 FMC""=C66,""3x3 MBLD""=C66),COUNTIF($C$7:indirect(""C""&amp;row()),indirect(""C""&amp;row()))=2),""R1 - A2"",
AND(OR(""3x3 FMC""=C66,""3x3 MBLD""=C66),COUNTIF($C$7:indirect(""C""&amp;row()),indirect(""C""&amp;row()))=1),"&amp;"""R1 -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92, Info!$A$2:A92 = C66),ROUNDUP((FILTER(Info!$H$2:H92,Info!$A$2:A92=C66)/FILTER(Info!$H$2:H92,Info!$A$2:A92=$K$2))*$I$2)&gt;99),3,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92, Info!$A$2:A92 = C66),ROUNDUP((FILTER(Info!$H$2:H92,Info!$A$2:A92=C66)/FILTER(Info!$H$2:H92,Info!$A$2:A92=$K$2))*$I$2)&gt;15),2,
AND(COUNTIF($C$7:indirect(""C""&amp;row()),indirect(""C""&amp;row()))=2,COUNTIF($C$7:$C$102,indirect(""C""&amp;row()))=COUNTIF($"&amp;"C$7:indirect(""C""&amp;row()),indirect(""C""&amp;row()))),""Final"",
COUNTIF($C$7:indirect(""C""&amp;row()),indirect(""C""&amp;row()))=1,1,
COUNTIF($C$7:indirect(""C""&amp;row()),indirect(""C""&amp;row()))=0,"""")"),"")</f>
        <v/>
      </c>
      <c r="F66" s="64" t="str">
        <f>IFERROR(__xludf.DUMMYFUNCTION("IFS(C66="""","""",
AND(C66=""3x3 FMC"",MOD(COUNTIF($C$7:indirect(""C""&amp;row()),indirect(""C""&amp;row())),3)=0),""Mean of 3"",
AND(C66=""3x3 MBLD"",MOD(COUNTIF($C$7:indirect(""C""&amp;row()),indirect(""C""&amp;row())),3)=0),""Best of 3"",
AND(C66=""3x3 FMC"",MOD(COUNT"&amp;"IF($C$7:indirect(""C""&amp;row()),indirect(""C""&amp;row())),3)=2,
COUNTIF($C$7:$C$102,indirect(""C""&amp;row()))&lt;=COUNTIF($C$7:indirect(""C""&amp;row()),indirect(""C""&amp;row()))),""Best of 2"",
AND(C66=""3x3 FMC"",MOD(COUNTIF($C$7:indirect(""C""&amp;row()),indirect(""C""&amp;row("&amp;"))),3)=2,
COUNTIF($C$7:$C$102,indirect(""C""&amp;row()))&gt;COUNTIF($C$7:indirect(""C""&amp;row()),indirect(""C""&amp;row()))),""Mean of 3"",
AND(C66=""3x3 MBLD"",MOD(COUNTIF($C$7:indirect(""C""&amp;row()),indirect(""C""&amp;row())),3)=2,
COUNTIF($C$7:$C$102,indirect(""C""&amp;row("&amp;")))&lt;=COUNTIF($C$7:indirect(""C""&amp;row()),indirect(""C""&amp;row()))),""Best of 2"",
AND(C66=""3x3 MBLD"",MOD(COUNTIF($C$7:indirect(""C""&amp;row()),indirect(""C""&amp;row())),3)=2,
COUNTIF($C$7:$C$102,indirect(""C""&amp;row()))&gt;COUNTIF($C$7:indirect(""C""&amp;row()),indirect("&amp;"""C""&amp;row()))),""Best of 3"",
AND(C66=""3x3 FMC"",MOD(COUNTIF($C$7:indirect(""C""&amp;row()),indirect(""C""&amp;row())),3)=1,
COUNTIF($C$7:$C$102,indirect(""C""&amp;row()))&lt;=COUNTIF($C$7:indirect(""C""&amp;row()),indirect(""C""&amp;row()))),""Best of 1"",
AND(C66=""3x3 FMC"""&amp;",MOD(COUNTIF($C$7:indirect(""C""&amp;row()),indirect(""C""&amp;row())),3)=1,
COUNTIF($C$7:$C$102,indirect(""C""&amp;row()))=COUNTIF($C$7:indirect(""C""&amp;row()),indirect(""C""&amp;row()))+1),""Best of 2"",
AND(C66=""3x3 FMC"",MOD(COUNTIF($C$7:indirect(""C""&amp;row()),indirect"&amp;"(""C""&amp;row())),3)=1,
COUNTIF($C$7:$C$102,indirect(""C""&amp;row()))&gt;COUNTIF($C$7:indirect(""C""&amp;row()),indirect(""C""&amp;row()))),""Mean of 3"",
AND(C66=""3x3 MBLD"",MOD(COUNTIF($C$7:indirect(""C""&amp;row()),indirect(""C""&amp;row())),3)=1,
COUNTIF($C$7:$C$102,indirect"&amp;"(""C""&amp;row()))&lt;=COUNTIF($C$7:indirect(""C""&amp;row()),indirect(""C""&amp;row()))),""Best of 1"",
AND(C66=""3x3 MBLD"",MOD(COUNTIF($C$7:indirect(""C""&amp;row()),indirect(""C""&amp;row())),3)=1,
COUNTIF($C$7:$C$102,indirect(""C""&amp;row()))=COUNTIF($C$7:indirect(""C""&amp;row()"&amp;"),indirect(""C""&amp;row()))+1),""Best of 2"",
AND(C66=""3x3 MBLD"",MOD(COUNTIF($C$7:indirect(""C""&amp;row()),indirect(""C""&amp;row())),3)=1,
COUNTIF($C$7:$C$102,indirect(""C""&amp;row()))&gt;COUNTIF($C$7:indirect(""C""&amp;row()),indirect(""C""&amp;row()))),""Best of 3"",
TRUE,("&amp;"IFERROR(FILTER(Info!$D$2:D92, Info!$A$2:A92 = C66), """")))"),"")</f>
        <v/>
      </c>
      <c r="G66" s="64" t="str">
        <f>IFERROR(__xludf.DUMMYFUNCTION("IFS(OR(COUNTIF(Info!$A$22:A92,C66)&gt;0,C66=""""),"""",
OR(""3x3 MBLD""=C66,""3x3 FMC""=C66),60,
AND(E66=1,FILTER(Info!$F$2:F92, Info!$A$2:A92 = C66) = ""No""),FILTER(Info!$P$2:P92, Info!$A$2:A92 = C66),
AND(E66=2,FILTER(Info!$F$2:F92, Info!$A$2:A92 = C66) ="&amp;" ""No""),FILTER(Info!$Q$2:Q92, Info!$A$2:A92 = C66),
AND(E66=3,FILTER(Info!$F$2:F92, Info!$A$2:A92 = C66) = ""No""),FILTER(Info!$R$2:R92, Info!$A$2:A92 = C66),
AND(E66=""Final"",FILTER(Info!$F$2:F92, Info!$A$2:A92 = C66) = ""No""),FILTER(Info!$S$2:S92, In"&amp;"fo!$A$2:A92 = C66),
FILTER(Info!$F$2:F92, Info!$A$2:A92 = C66) = ""Yes"","""")"),"")</f>
        <v/>
      </c>
      <c r="H66" s="64" t="str">
        <f>IFERROR(__xludf.DUMMYFUNCTION("IFS(OR(COUNTIF(Info!$A$22:A92,C66)&gt;0,C66=""""),"""",
OR(""3x3 MBLD""=C66,""3x3 FMC""=C66)=TRUE,"""",
FILTER(Info!$F$2:F92, Info!$A$2:A92 = C66) = ""Yes"",FILTER(Info!$O$2:O92, Info!$A$2:A92 = C66),
FILTER(Info!$F$2:F92, Info!$A$2:A92 = C66) = ""No"",IF(G6"&amp;"6="""",FILTER(Info!$O$2:O92, Info!$A$2:A92 = C66),""""))"),"")</f>
        <v/>
      </c>
      <c r="I66" s="64" t="str">
        <f>IFERROR(__xludf.DUMMYFUNCTION("IFS(OR(COUNTIF(Info!$A$22:A92,C66)&gt;0,C66="""",H66&lt;&gt;""""),"""",
AND(E66&lt;&gt;1,E66&lt;&gt;""R1 - A1"",E66&lt;&gt;""R1 - A2"",E66&lt;&gt;""R1 - A3""),"""",
FILTER(Info!$E$2:E92, Info!$A$2:A92 = C66) = ""Yes"",IF(H66="""",FILTER(Info!$L$2:L92, Info!$A$2:A92 = C66),""""),
FILTER(I"&amp;"nfo!$E$2:E92, Info!$A$2:A92 = C66) = ""No"","""")"),"")</f>
        <v/>
      </c>
      <c r="J66" s="64" t="str">
        <f>IFERROR(__xludf.DUMMYFUNCTION("IFS(OR(COUNTIF(Info!$A$22:A92,C66)&gt;0,C66="""",""3x3 MBLD""=C66,""3x3 FMC""=C66),"""",
AND(E66=1,FILTER(Info!$H$2:H92,Info!$A$2:A92 = C66)&lt;=FILTER(Info!$H$2:H92,Info!$A$2:A92=$K$2)),
ROUNDUP((FILTER(Info!$H$2:H92,Info!$A$2:A92 = C66)/FILTER(Info!$H$2:H92,I"&amp;"nfo!$A$2:A92=$K$2))*$I$2),
AND(E66=1,FILTER(Info!$H$2:H92,Info!$A$2:A92 = C66)&gt;FILTER(Info!$H$2:H92,Info!$A$2:A92=$K$2)),""K2 - Error"",
AND(E66=2,FILTER($J$7:indirect(""J""&amp;row()-1),$C$7:indirect(""C""&amp;row()-1)=C66)&lt;=7),""J - Error"",
E66=2,FLOOR(FILTER("&amp;"$J$7:indirect(""J""&amp;row()-1),$C$7:indirect(""C""&amp;row()-1)=C66)*Info!$T$32),
AND(E66=3,FILTER($J$7:indirect(""J""&amp;row()-1),$C$7:indirect(""C""&amp;row()-1)=C66)&lt;=15),""J - Error"",
E66=3,FLOOR(Info!$T$32*FLOOR(FILTER($J$7:indirect(""J""&amp;row()-1),$C$7:indirect("&amp;"""C""&amp;row()-1)=C66)*Info!$T$32)),
AND(E66=""Final"",COUNTIF($C$7:$C$102,C66)=2,FILTER($J$7:indirect(""J""&amp;row()-1),$C$7:indirect(""C""&amp;row()-1)=C66)&lt;=7),""J - Error"",
AND(E66=""Final"",COUNTIF($C$7:$C$102,C66)=2),
MIN(P66,FLOOR(FILTER($J$7:indirect(""J"""&amp;"&amp;row()-1),$C$7:indirect(""C""&amp;row()-1)=C66)*Info!$T$32)),
AND(E66=""Final"",COUNTIF($C$7:$C$102,C66)=3,FILTER($J$7:indirect(""J""&amp;row()-1),$C$7:indirect(""C""&amp;row()-1)=C66)&lt;=15),""J - Error"",
AND(E66=""Final"",COUNTIF($C$7:$C$102,C66)=3),
MIN(P66,FLOOR(I"&amp;"nfo!$T$32*FLOOR(FILTER($J$7:indirect(""J""&amp;row()-1),$C$7:indirect(""C""&amp;row()-1)=C66)*Info!$T$32))),
AND(E66=""Final"",COUNTIF($C$7:$C$102,C66)&gt;=4,FILTER($J$7:indirect(""J""&amp;row()-1),$C$7:indirect(""C""&amp;row()-1)=C66)&lt;=99),""J - Error"",
AND(E66=""Final"","&amp;"COUNTIF($C$7:$C$102,C66)&gt;=4),
MIN(P66,FLOOR(Info!$T$32*FLOOR(Info!$T$32*FLOOR(FILTER($J$7:indirect(""J""&amp;row()-1),$C$7:indirect(""C""&amp;row()-1)=C66)*Info!$T$32)))))"),"")</f>
        <v/>
      </c>
      <c r="K66" s="41" t="str">
        <f>IFERROR(__xludf.DUMMYFUNCTION("IFS(AND(indirect(""D""&amp;row()+2)&lt;&gt;$E$2,indirect(""D""&amp;row()+1)=""""),CONCATENATE(""Tom rad! Kopiera hela rad ""&amp;row()&amp;"" dit""),
AND(indirect(""D""&amp;row()-1)&lt;&gt;""Rum"",indirect(""D""&amp;row()-1)=""""),CONCATENATE(""Tom rad! Kopiera hela rad ""&amp;row()&amp;"" dit""),
"&amp;"C66="""","""",
COUNTIF(Info!$A$22:A92,$K$2)&gt;0,""Det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OR(AND(D66&lt;&gt;$E$2,D66&lt;&gt;$E$4,D66&lt;&gt;$K$4,D66&lt;&gt;$Q$4),D66="&amp;"""""),CONCATENATE(""Rum: ""&amp;D66&amp;"" finns ej, byt i D""&amp;row()),
AND(indirect(""D""&amp;row()-1)=""Rum"",C66=""""),CONCATENATE(""För att börja: skriv i cell C""&amp;row()),
AND(C66=""Paus"",M66&lt;=0),CONCATENATE(""Skriv pausens längd i M""&amp;row()),
OR(COUNTIF(Info!$A$"&amp;"22:A92,C66)&gt;0,C66=""""),"""",
AND(D66&lt;&gt;$E$2,$O$2=""Yes"",A66=""=time(hh;mm;ss)""),CONCATENATE(""Skriv starttid för ""&amp;C66&amp;"" i A""&amp;row()),
E66=""E - Error"",CONCATENATE(""För många ""&amp;C66&amp;"" rundor!""),
AND(C66&lt;&gt;""3x3 FMC"",C66&lt;&gt;""3x3 MBLD"",E66&lt;&gt;1,E66&lt;&gt;"&amp;"""Final"",IFERROR(FILTER($E$7:indirect(""E""&amp;row()-1),
$E$7:indirect(""E""&amp;row()-1)=E66-1,$C$7:indirect(""C""&amp;row()-1)=C66))=FALSE),CONCATENATE(""Kan ej vara R""&amp;E66&amp;"", saknar R""&amp;(E66-1)),
AND(indirect(""E""&amp;row()-1)&lt;&gt;""Omgång"",IFERROR(FILTER($E$7:indi"&amp;"rect(""E""&amp;row()-1),
$E$7:indirect(""E""&amp;row()-1)=E66,$C$7:indirect(""C""&amp;row()-1)=C66)=E66)=TRUE),CONCATENATE(""Runda ""&amp;E66&amp;"" i ""&amp;C66&amp;"" finns redan""),
AND(C66&lt;&gt;""3x3 BLD"",C66&lt;&gt;""4x4 BLD"",C66&lt;&gt;""5x5 BLD"",C66&lt;&gt;""4x4 / 5x5 BLD"",OR(E66=2,E66=3,E66="&amp;"""Final""),H66&lt;&gt;""""),CONCATENATE(E66&amp;""-rundor brukar ej ha c.t.l.""),
AND(OR(E66=2,E66=3,E66=""Final""),I66&lt;&gt;""""),CONCATENATE(E66&amp;""-rundor brukar ej ha cutoff""),
AND(OR(C66=""3x3 FMC"",C66=""3x3 MBLD""),OR(E66=1,E66=2,E66=3,E66=""Final"")),CONCATENAT"&amp;"E(C66&amp;""s omgång är Rx - Ax""),
AND(C66&lt;&gt;""3x3 MBLD"",C66&lt;&gt;""3x3 FMC"",FILTER(Info!$D$2:D92, Info!$A$2:A92 = C66)&lt;&gt;F66),CONCATENATE(C66&amp;"" måste ha formatet ""&amp;FILTER(Info!$D$2:D92, Info!$A$2:A92 = C66)),
AND(C66=""3x3 MBLD"",OR(F66=""Avg of 5"",F66=""Mea"&amp;"n of 3"")),CONCATENATE(""Ogiltigt format för ""&amp;C66),
AND(C66=""3x3 FMC"",OR(F66=""Avg of 5"",F66=""Best of 3"")),CONCATENATE(""Ogiltigt format för ""&amp;C66),
AND(OR(F66=""Best of 1"",F66=""Best of 2"",F66=""Best of 3""),I66&lt;&gt;""""),CONCATENATE(F66&amp;""-rundor"&amp;" får ej ha cutoff""),
AND(OR(C66=""3x3 FMC"",C66=""3x3 MBLD""),G66&lt;&gt;60),CONCATENATE(C66&amp;"" måste ha time limit: 60""),
AND(OR(C66=""3x3 FMC"",C66=""3x3 MBLD""),H66&lt;&gt;""""),CONCATENATE(C66&amp;"" kan inte ha c.t.l.""),
AND(G66&lt;&gt;"""",H66&lt;&gt;""""),""Välj time limit"&amp;" ELLER c.t.l"",
AND(C66=""6x6 / 7x7"",G66="""",H66=""""),""Sätt time limit (x / y) eller c.t.l (z)"",
AND(G66="""",H66=""""),""Sätt en time limit eller c.t.l"",
AND(OR(C66=""6x6 / 7x7"",C66=""4x4 / 5x5 BLD""),G66&lt;&gt;"""",REGEXMATCH(TO_TEXT(G66),"" / "")=FAL"&amp;"SE),CONCATENATE(""Time limit måste vara x / y""),
AND(H66&lt;&gt;"""",I66&lt;&gt;""""),CONCATENATE(C66&amp;"" brukar ej ha cutoff OCH c.t.l""),
AND(E66=1,H66="""",I66="""",OR(FILTER(Info!$E$2:E92, Info!$A$2:A92 = C66) = ""Yes"",FILTER(Info!$F$2:F92, Info!$A$2:A92 = C66) "&amp;"= ""Yes""),OR(F66=""Avg of 5"",F66=""Mean of 3"")),CONCATENATE(C66&amp;"" bör ha cutoff eller c.t.l""),
AND(C66=""6x6 / 7x7"",I66&lt;&gt;"""",REGEXMATCH(TO_TEXT(I66),"" / "")=FALSE),CONCATENATE(""Cutoff måste vara x / y""),
AND(H66&lt;&gt;"""",ISNUMBER(H66)=FALSE),""C.t."&amp;"l. måste vara positivt tal (x)"",
AND(C66&lt;&gt;""6x6 / 7x7"",I66&lt;&gt;"""",ISNUMBER(I66)=FALSE),""Cutoff måste vara positivt tal (x)"",
AND(H66&lt;&gt;"""",FILTER(Info!$E$2:E92, Info!$A$2:A92 = C66) = ""No"",FILTER(Info!$F$2:F92, Info!$A$2:A92 = C66) = ""No""),CONCATEN"&amp;"ATE(C66&amp;"" brukar inte ha c.t.l.""),
AND(I66&lt;&gt;"""",FILTER(Info!$E$2:E92, Info!$A$2:A92 = C66) = ""No"",FILTER(Info!$F$2:F92, Info!$A$2:A92 = C66) = ""No""),CONCATENATE(C66&amp;"" brukar inte ha cutoff""),
AND(H66="""",FILTER(Info!$F$2:F92, Info!$A$2:A92 = C66"&amp;") = ""Yes""),CONCATENATE(C66&amp;"" brukar ha c.t.l.""),
AND(C66&lt;&gt;""6x6 / 7x7"",C66&lt;&gt;""4x4 / 5x5 BLD"",G66&lt;&gt;"""",ISNUMBER(G66)=FALSE),""Time limit måste vara positivt tal (x)"",
J66=""J - Error"",CONCATENATE(""För få deltagare i R1 för ""&amp;COUNTIF($C$7:$C$102,"&amp;"indirect(""C""&amp;row()))&amp;"" rundor""),
J66=""K2 - Error"",CONCATENATE(C66&amp;"" är mer populär - byt i K2!""),
AND(C66&lt;&gt;""6x6 / 7x7"",C66&lt;&gt;""4x4 / 5x5 BLD"",G66&lt;&gt;"""",I66&lt;&gt;"""",G66&lt;=I66),""Time limit måste vara &gt; cutoff"",
AND(C66&lt;&gt;""6x6 / 7x7"",C66&lt;&gt;""4x4 / 5"&amp;"x5 BLD"",H66&lt;&gt;"""",I66&lt;&gt;"""",H66&lt;=I66),""C.t.l. måste vara &gt; cutoff"",
AND(C66&lt;&gt;""3x3 FMC"",C66&lt;&gt;""3x3 MBLD"",J66=""""),CONCATENATE(""Fyll i antal deltagare i J""&amp;row()),
AND(C66="""",OR(E66&lt;&gt;"""",F66&lt;&gt;"""",G66&lt;&gt;"""",H66&lt;&gt;"""",I66&lt;&gt;"""",J66&lt;&gt;"""")),""Skri"&amp;"v ALLTID gren / aktivitet först"",
AND(I66="""",H66="""",J66&lt;&gt;""""),J66,
OR(""3x3 FMC""=C66,""3x3 MBLD""=C66),J66,
AND(I66&lt;&gt;"""",""6x6 / 7x7""=C66),
IFS(ArrayFormula(SUM(IFERROR(SPLIT(I66,"" / ""))))&lt;(Info!$J$6+Info!$J$7)*2/3,CONCATENATE(""Höj helst cutof"&amp;"fs i ""&amp;C66),
ArrayFormula(SUM(IFERROR(SPLIT(I66,"" / ""))))&lt;=(Info!$J$6+Info!$J$7),ROUNDUP(J66*Info!$J$22),
ArrayFormula(SUM(IFERROR(SPLIT(I66,"" / ""))))&lt;=Info!$J$6+Info!$J$7,ROUNDUP(J66*Info!$K$22),
ArrayFormula(SUM(IFERROR(SPLIT(I66,"" / ""))))&lt;=Info!"&amp;"$K$6+Info!$K$7,ROUNDUP(J66*Info!L$22),
ArrayFormula(SUM(IFERROR(SPLIT(I66,"" / ""))))&lt;=Info!$L$6+Info!$L$7,ROUNDUP(J66*Info!$M$22),
ArrayFormula(SUM(IFERROR(SPLIT(I66,"" / ""))))&lt;=Info!$M$6+Info!$M$7,ROUNDUP(J66*Info!$N$22),
ArrayFormula(SUM(IFERROR(SPLIT"&amp;"(I66,"" / ""))))&lt;=(Info!$N$6+Info!$N$7)*3/2,ROUNDUP(J66*Info!$J$26),
ArrayFormula(SUM(IFERROR(SPLIT(I66,"" / ""))))&gt;(Info!$N$6+Info!$N$7)*3/2,CONCATENATE(""Sänk helst cutoffs i ""&amp;C66)),
AND(I66&lt;&gt;"""",FILTER(Info!$E$2:E92, Info!$A$2:A92 = C66) = ""Yes""),"&amp;"
IFS(I66&lt;FILTER(Info!$J$2:J92, Info!$A$2:A92 = C66)*2/3,CONCATENATE(""Höj helst cutoff i ""&amp;C66),
I66&lt;=FILTER(Info!$J$2:J92, Info!$A$2:A92 = C66),ROUNDUP(J66*Info!$J$22),
I66&lt;=FILTER(Info!$K$2:K92, Info!$A$2:A92 = C66),ROUNDUP(J66*Info!$K$22),
I66&lt;=FILTER"&amp;"(Info!$L$2:L92, Info!$A$2:A92 = C66),ROUNDUP(J66*Info!L$22),
I66&lt;=FILTER(Info!$M$2:M92, Info!$A$2:A92 = C66),ROUNDUP(J66*Info!$M$22),
I66&lt;=FILTER(Info!$N$2:N92, Info!$A$2:A92 = C66),ROUNDUP(J66*Info!$N$22),
I66&lt;=FILTER(Info!$N$2:N92, Info!$A$2:A92 = C66)*"&amp;"3/2,ROUNDUP(J66*Info!$J$26),
I66&gt;FILTER(Info!$N$2:N92, Info!$A$2:A92 = C66)*3/2,CONCATENATE(""Sänk helst cutoff i ""&amp;C66)),
AND(H66&lt;&gt;"""",""6x6 / 7x7""=C66),
IFS(H66/3&lt;=(Info!$J$6+Info!$J$7)*2/3,""Höj helst cumulative time limit"",
H66/3&lt;=Info!$J$6+Info!$"&amp;"J$7,ROUNDUP(J66*Info!$J$24),
H66/3&lt;=Info!$K$6+Info!$K$7,ROUNDUP(J66*Info!$K$24),
H66/3&lt;=Info!$L$6+Info!$L$7,ROUNDUP(J66*Info!L$24),
H66/3&lt;=Info!$M$6+Info!$M$7,ROUNDUP(J66*Info!$M$24),
H66/3&lt;=Info!$N$6+Info!$N$7,ROUNDUP(J66*Info!$N$24),
H66/3&lt;=(Info!$N$6+I"&amp;"nfo!$N$7)*3/2,ROUNDUP(J66*Info!$L$26),
H66/3&gt;(Info!$J$6+Info!$J$7)*3/2,""Sänk helst cumulative time limit""),
AND(H66&lt;&gt;"""",FILTER(Info!$F$2:F92, Info!$A$2:A92 = C66) = ""Yes""),
IFS(H66&lt;=FILTER(Info!$J$2:J92, Info!$A$2:A92 = C66)*2/3,CONCATENATE(""Höj he"&amp;"lst c.t.l. i ""&amp;C66),
H66&lt;=FILTER(Info!$J$2:J92, Info!$A$2:A92 = C66),ROUNDUP(J66*Info!$J$24),
H66&lt;=FILTER(Info!$K$2:K92, Info!$A$2:A92 = C66),ROUNDUP(J66*Info!$K$24),
H66&lt;=FILTER(Info!$L$2:L92, Info!$A$2:A92 = C66),ROUNDUP(J66*Info!L$24),
H66&lt;=FILTER(Inf"&amp;"o!$M$2:M92, Info!$A$2:A92 = C66),ROUNDUP(J66*Info!$M$24),
H66&lt;=FILTER(Info!$N$2:N92, Info!$A$2:A92 = C66),ROUNDUP(J66*Info!$N$24),
H66&lt;=FILTER(Info!$N$2:N92, Info!$A$2:A92 = C66)*3/2,ROUNDUP(J66*Info!$L$26),
H66&gt;FILTER(Info!$N$2:N92, Info!$A$2:A92 = C66)*"&amp;"3/2,CONCATENATE(""Sänk helst c.t.l. i ""&amp;C66)),
AND(H66&lt;&gt;"""",FILTER(Info!$F$2:F92, Info!$A$2:A92 = C66) = ""No""),
IFS(H66/AA66&lt;=FILTER(Info!$J$2:J92, Info!$A$2:A92 = C66)*2/3,CONCATENATE(""Höj helst c.t.l. i ""&amp;C66),
H66/AA66&lt;=FILTER(Info!$J$2:J92, Info"&amp;"!$A$2:A92 = C66),ROUNDUP(J66*Info!$J$24),
H66/AA66&lt;=FILTER(Info!$K$2:K92, Info!$A$2:A92 = C66),ROUNDUP(J66*Info!$K$24),
H66/AA66&lt;=FILTER(Info!$L$2:L92, Info!$A$2:A92 = C66),ROUNDUP(J66*Info!L$24),
H66/AA66&lt;=FILTER(Info!$M$2:M92, Info!$A$2:A92 = C66),ROUND"&amp;"UP(J66*Info!$M$24),
H66/AA66&lt;=FILTER(Info!$N$2:N92, Info!$A$2:A92 = C66),ROUNDUP(J66*Info!$N$24),
H66/AA66&lt;=FILTER(Info!$N$2:N92, Info!$A$2:A92 = C66)*3/2,ROUNDUP(J66*Info!$L$26),
H66/AA66&gt;FILTER(Info!$N$2:N92, Info!$A$2:A92 = C66)*3/2,CONCATENATE(""Sänk "&amp;"helst c.t.l. i ""&amp;C66)),
AND(I66="""",H66&lt;&gt;"""",J66&lt;&gt;""""),ROUNDUP(J66*Info!$T$29),
AND(I66&lt;&gt;"""",H66="""",J66&lt;&gt;""""),ROUNDUP(J66*Info!$T$26))"),"")</f>
        <v/>
      </c>
      <c r="L66" s="42">
        <f>IFERROR(__xludf.DUMMYFUNCTION("IFS(C66="""",0,
C66=""3x3 FMC"",Info!$B$9*N66+M66, C66=""3x3 MBLD"",Info!$B$18*N66+M66,
COUNTIF(Info!$A$22:A92,C66)&gt;0,FILTER(Info!$B$22:B92,Info!$A$22:A92=C66)+M66,
AND(C66&lt;&gt;"""",E66=""""),CONCATENATE(""Fyll i E""&amp;row()),
AND(C66&lt;&gt;"""",E66&lt;&gt;"""",E66&lt;&gt;1,E6"&amp;"6&lt;&gt;2,E66&lt;&gt;3,E66&lt;&gt;""Final""),CONCATENATE(""Fel format på E""&amp;row()),
K66=CONCATENATE(""Runda ""&amp;E66&amp;"" i ""&amp;C66&amp;"" finns redan""),CONCATENATE(""Fel i E""&amp;row()),
AND(C66&lt;&gt;"""",F66=""""),CONCATENATE(""Fyll i F""&amp;row()),
K66=CONCATENATE(C66&amp;"" måste ha forma"&amp;"tet ""&amp;FILTER(Info!$D$2:D92, Info!$A$2:A92 = C66)),CONCATENATE(""Fel format på F""&amp;row()),
AND(C66&lt;&gt;"""",D66=1,H66="""",FILTER(Info!$F$2:F92, Info!$A$2:A92 = C66) = ""Yes""),CONCATENATE(""Fyll i H""&amp;row()),
AND(C66&lt;&gt;"""",D66=1,I66="""",FILTER(Info!$E$2:E9"&amp;"2, Info!$A$2:A92 = C66) = ""Yes""),CONCATENATE(""Fyll i I""&amp;row()),
AND(C66&lt;&gt;"""",J66=""""),CONCATENATE(""Fyll i J""&amp;row()),
AND(C66&lt;&gt;"""",K66="""",OR(H66&lt;&gt;"""",I66&lt;&gt;"""")),CONCATENATE(""Fyll i K""&amp;row()),
AND(C66&lt;&gt;"""",K66=""""),CONCATENATE(""Skriv samma"&amp;" i K""&amp;row()&amp;"" som i J""&amp;row()),
AND(OR(C66=""4x4 BLD"",C66=""5x5 BLD"",C66=""4x4 / 5x5 BLD"")=TRUE,V66&lt;=P66),
MROUND(H66*(Info!$T$20-((Info!$T$20-1)/2)*(1-V66/P66))*(1+((J66/K66)-1)*(1-Info!$J$24))*N66+(Info!$T$11/2)+(N66*Info!$T$11)+(N66*Info!$T$14*(O6"&amp;"6-1)),0.01)+M66,
AND(OR(C66=""4x4 BLD"",C66=""5x5 BLD"",C66=""4x4 / 5x5 BLD"")=TRUE,V66&gt;P66),
MROUND((((J66*Z66+K66*(AA66-Z66))*(H66*Info!$T$20/AA66))/X66)*(1+((J66/K66)-1)*(1-Info!$J$24))*(1+(X66-Info!$T$8)/100)+(Info!$T$11/2)+(N66*Info!$T$11)+(N66*Info!"&amp;"$T$14*(O66-1)),0.01)+M66,
AND(C66=""3x3 BLD"",V66&lt;=P66),
MROUND(H66*(Info!$T$23-((Info!$T$23-1)/2)*(1-V66/P66))*(1+((J66/K66)-1)*(1-Info!$J$24))*N66+(Info!$T$11/2)+(N66*Info!$T$11)+(N66*Info!$T$14*(O66-1)),0.01)+M66,
AND(C66=""3x3 BLD"",V66&gt;P66),
MROUND(("&amp;"((J66*Z66+K66*(AA66-Z66))*(H66*Info!$T$23/AA66))/X66)*(1+((J66/K66)-1)*(1-Info!$J$24))*(1+(X66-Info!$T$8)/100)+(Info!$T$11/2)+(N66*Info!$T$11)+(N66*Info!$T$14*(O66-1)),0.01)+M66,
E66=1,MROUND((((J66*Z66+K66*(AA66-Z66))*Y66)/X66)*(1+(X66-Info!$T$8)/100)+(N"&amp;"66*Info!$T$11)+(N66*Info!$T$14*(O66-1)),0.01)+M66,
AND(E66=""Final"",N66=1,FILTER(Info!$G$2:$G$20,Info!$A$2:$A$20=C66)=""Mycket svår""),
MROUND((((J66*Z66+K66*(AA66-Z66))*(Y66*Info!$T$38))/X66)*(1+(X66-Info!$T$8)/100)+(N66*Info!$T$11)+(N66*Info!$T$14*(O66"&amp;"-1)),0.01)+M66,
AND(E66=""Final"",N66=1,FILTER(Info!$G$2:$G$20,Info!$A$2:$A$20=C66)=""Svår""),
MROUND((((J66*Z66+K66*(AA66-Z66))*(Y66*Info!$T$35))/X66)*(1+(X66-Info!$T$8)/100)+(N66*Info!$T$11)+(N66*Info!$T$14*(O66-1)),0.01)+M66,
E66=""Final"",MROUND((((J6"&amp;"6*Z66+K66*(AA66-Z66))*(Y66*Info!$T$5))/X66)*(1+(X66-Info!$T$8)/100)+(N66*Info!$T$11)+(N66*Info!$T$14*(O66-1)),0.01)+M66,
OR(E66=2,E66=3),MROUND((((J66*Z66+K66*(AA66-Z66))*(Y66*Info!$T$2))/X66)*(1+(X66-Info!$T$8)/100)+(N66*Info!$T$11)+(N66*Info!$T$14*(O66-"&amp;"1)),0.01)+M66)"),0.0)</f>
        <v>0</v>
      </c>
      <c r="M66" s="43">
        <f t="shared" si="6"/>
        <v>0</v>
      </c>
      <c r="N66" s="43" t="str">
        <f>IFS(OR(COUNTIF(Info!$A$22:A92,C66)&gt;0,C66=""),"",
OR(C66="4x4 BLD",C66="5x5 BLD",C66="3x3 MBLD",C66="3x3 FMC",C66="4x4 / 5x5 BLD"),1,
AND(E66="Final",Q66="Yes",MAX(1,ROUNDUP(J66/P66))&gt;1),MAX(2,ROUNDUP(J66/P66)),
AND(E66="Final",Q66="No",MAX(1,ROUNDUP(J66/((P66*2)+2.625-Y66*1.5)))&gt;1),MAX(2,ROUNDUP(J66/((P66*2)+2.625-Y66*1.5))),
E66="Final",1,
Q66="Yes",MAX(2,ROUNDUP(J66/P66)),
TRUE,MAX(2,ROUNDUP(J66/((P66*2)+2.625-Y66*1.5))))</f>
        <v/>
      </c>
      <c r="O66" s="43" t="str">
        <f>IFS(OR(COUNTIF(Info!$A$22:A92,C66)&gt;0,C66=""),"",
OR("3x3 MBLD"=C66,"3x3 FMC"=C66)=TRUE,"",
D66=$E$4,$G$6,D66=$K$4,$M$6,D66=$Q$4,$S$6,D66=$W$4,$Y$6,
TRUE,$S$2)</f>
        <v/>
      </c>
      <c r="P66" s="43" t="str">
        <f>IFS(OR(COUNTIF(Info!$A$22:A92,C66)&gt;0,C66=""),"",
OR("3x3 MBLD"=C66,"3x3 FMC"=C66)=TRUE,"",
D66=$E$4,$E$6,D66=$K$4,$K$6,D66=$Q$4,$Q$6,D66=$W$4,$W$6,
TRUE,$Q$2)</f>
        <v/>
      </c>
      <c r="Q66" s="44" t="str">
        <f>IFS(OR(COUNTIF(Info!$A$22:A92,C66)&gt;0,C66=""),"",
OR("3x3 MBLD"=C66,"3x3 FMC"=C66)=TRUE,"",
D66=$E$4,$I$6,D66=$K$4,$O$6,D66=$Q$4,$U$6,D66=$W$4,$AA$6,
TRUE,$U$2)</f>
        <v/>
      </c>
      <c r="R66" s="65" t="str">
        <f>IFERROR(__xludf.DUMMYFUNCTION("IF(C66="""","""",IFERROR(FILTER(Info!$B$22:B92,Info!$A$22:A92=C66)+M66,""?""))"),"")</f>
        <v/>
      </c>
      <c r="S66" s="66" t="str">
        <f>IFS(OR(COUNTIF(Info!$A$22:A92,C66)&gt;0,C66=""),"",
AND(H66="",I66=""),J66,
TRUE,"?")</f>
        <v/>
      </c>
      <c r="T66" s="65" t="str">
        <f>IFS(OR(COUNTIF(Info!$A$22:A92,C66)&gt;0,C66=""),"",
AND(L66&lt;&gt;0,OR(R66="?",R66="")),"Fyll i R-kolumnen",
OR(C66="3x3 FMC",C66="3x3 MBLD"),R66,
AND(L66&lt;&gt;0,OR(S66="?",S66="")),"Fyll i S-kolumnen",
OR(COUNTIF(Info!$A$22:A92,C66)&gt;0,C66=""),"",
TRUE,Y66*R66/L66)</f>
        <v/>
      </c>
      <c r="U66" s="65"/>
      <c r="V66" s="67" t="str">
        <f>IFS(OR(COUNTIF(Info!$A$22:A92,C66)&gt;0,C66=""),"",
OR("3x3 MBLD"=C66,"3x3 FMC"=C66)=TRUE,"",
TRUE,MROUND((J66/N66),0.01))</f>
        <v/>
      </c>
      <c r="W66" s="68" t="str">
        <f>IFS(OR(COUNTIF(Info!$A$22:A92,C66)&gt;0,C66=""),"",
TRUE,L66/N66)</f>
        <v/>
      </c>
      <c r="X66" s="67" t="str">
        <f>IFS(OR(COUNTIF(Info!$A$22:A92,C66)&gt;0,C66=""),"",
OR("3x3 MBLD"=C66,"3x3 FMC"=C66)=TRUE,"",
OR(C66="4x4 BLD",C66="5x5 BLD",C66="4x4 / 5x5 BLD",AND(C66="3x3 BLD",H66&lt;&gt;""))=TRUE,MIN(V66,P66),
TRUE,MIN(P66,V66,MROUND(((V66*2/3)+((Y66-1.625)/2)),0.01)))</f>
        <v/>
      </c>
      <c r="Y66" s="68" t="str">
        <f>IFERROR(__xludf.DUMMYFUNCTION("IFS(OR(COUNTIF(Info!$A$22:A92,C66)&gt;0,C66=""""),"""",
FILTER(Info!$F$2:F92, Info!$A$2:A92 = C66) = ""Yes"",H66/AA66,
""3x3 FMC""=C66,Info!$B$9,""3x3 MBLD""=C66,Info!$B$18,
AND(E66=1,I66="""",H66="""",Q66=""No"",G66&gt;SUMIF(Info!$A$2:A92,C66,Info!$B$2:B92)*1."&amp;"5),
MIN(SUMIF(Info!$A$2:A92,C66,Info!$B$2:B92)*1.1,SUMIF(Info!$A$2:A92,C66,Info!$B$2:B92)*(1.15-(0.15*(SUMIF(Info!$A$2:A92,C66,Info!$B$2:B92)*1.5)/G66))),
AND(E66=1,I66="""",H66="""",Q66=""Yes"",G66&gt;SUMIF(Info!$A$2:A92,C66,Info!$C$2:C92)*1.5),
MIN(SUMIF(I"&amp;"nfo!$A$2:A92,C66,Info!$C$2:C92)*1.1,SUMIF(Info!$A$2:A92,C66,Info!$C$2:C92)*(1.15-(0.15*(SUMIF(Info!$A$2:A92,C66,Info!$C$2:C92)*1.5)/G66))),
Q66=""No"",SUMIF(Info!$A$2:A92,C66,Info!$B$2:B92),
Q66=""Yes"",SUMIF(Info!$A$2:A92,C66,Info!$C$2:C92))"),"")</f>
        <v/>
      </c>
      <c r="Z66" s="67" t="str">
        <f>IFS(OR(COUNTIF(Info!$A$22:A92,C66)&gt;0,C66=""),"",
AND(OR("3x3 FMC"=C66,"3x3 MBLD"=C66),I66&lt;&gt;""),1,
AND(OR(H66&lt;&gt;"",I66&lt;&gt;""),F66="Avg of 5"),2,
F66="Avg of 5",AA66,
AND(OR(H66&lt;&gt;"",I66&lt;&gt;""),F66="Mean of 3",C66="6x6 / 7x7"),2,
AND(OR(H66&lt;&gt;"",I66&lt;&gt;""),F66="Mean of 3"),1,
F66="Mean of 3",AA66,
AND(OR(H66&lt;&gt;"",I66&lt;&gt;""),F66="Best of 3",C66="4x4 / 5x5 BLD"),2,
AND(OR(H66&lt;&gt;"",I66&lt;&gt;""),F66="Best of 3"),1,
F66="Best of 2",AA66,
F66="Best of 1",AA66)</f>
        <v/>
      </c>
      <c r="AA66" s="67" t="str">
        <f>IFS(OR(COUNTIF(Info!$A$22:A92,C66)&gt;0,C66=""),"",
AND(OR("3x3 MBLD"=C66,"3x3 FMC"=C66),F66="Best of 1"=TRUE),1,
AND(OR("3x3 MBLD"=C66,"3x3 FMC"=C66),F66="Best of 2"=TRUE),2,
AND(OR("3x3 MBLD"=C66,"3x3 FMC"=C66),OR(F66="Best of 3",F66="Mean of 3")=TRUE),3,
AND(F66="Mean of 3",C66="6x6 / 7x7"),6,
AND(F66="Best of 3",C66="4x4 / 5x5 BLD"),6,
F66="Avg of 5",5,F66="Mean of 3",3,F66="Best of 3",3,F66="Best of 2",2,F66="Best of 1",1)</f>
        <v/>
      </c>
      <c r="AB66" s="69"/>
    </row>
    <row r="67" ht="15.75" customHeight="1">
      <c r="A67" s="62">
        <f>IFERROR(__xludf.DUMMYFUNCTION("IFS(indirect(""A""&amp;row()-1)=""Start"",TIME(indirect(""A""&amp;row()-2),indirect(""B""&amp;row()-2),0),
$O$2=""No"",TIME(0,($A$6*60+$B$6)+CEILING(SUM($L$7:indirect(""L""&amp;row()-1)),5),0),
D67=$E$2,TIME(0,($A$6*60+$B$6)+CEILING(SUM(IFERROR(FILTER($L$7:indirect(""L"""&amp;"&amp;row()-1),REGEXMATCH($D$7:indirect(""D""&amp;row()-1),$E$2)),0)),5),0),
TRUE,""=time(hh;mm;ss)"")"),0.3645833333333335)</f>
        <v>0.3645833333</v>
      </c>
      <c r="B67" s="63">
        <f>IFERROR(__xludf.DUMMYFUNCTION("IFS($O$2=""No"",TIME(0,($A$6*60+$B$6)+CEILING(SUM($L$7:indirect(""L""&amp;row())),5),0),
D67=$E$2,TIME(0,($A$6*60+$B$6)+CEILING(SUM(FILTER($L$7:indirect(""L""&amp;row()),REGEXMATCH($D$7:indirect(""D""&amp;row()),$E$2))),5),0),
A67=""=time(hh;mm;ss)"",CONCATENATE(""Sk"&amp;"riv tid i A""&amp;row()),
AND(A67&lt;&gt;"""",A67&lt;&gt;""=time(hh;mm;ss)""),A67+TIME(0,CEILING(indirect(""L""&amp;row()),5),0))"),0.3645833333333335)</f>
        <v>0.3645833333</v>
      </c>
      <c r="C67" s="37"/>
      <c r="D67" s="64" t="str">
        <f t="shared" si="7"/>
        <v>Stora salen</v>
      </c>
      <c r="E67" s="64" t="str">
        <f>IFERROR(__xludf.DUMMYFUNCTION("IFS(COUNTIF(Info!$A$22:A93,C67)&gt;0,"""",
AND(OR(""3x3 FMC""=C67,""3x3 MBLD""=C67),COUNTIF($C$7:indirect(""C""&amp;row()),indirect(""C""&amp;row()))&gt;=13),""E - Error"",
AND(OR(""3x3 FMC""=C67,""3x3 MBLD""=C67),COUNTIF($C$7:indirect(""C""&amp;row()),indirect(""C""&amp;row()"&amp;"))=12),""Final - A3"",
AND(OR(""3x3 FMC""=C67,""3x3 MBLD""=C67),COUNTIF($C$7:indirect(""C""&amp;row()),indirect(""C""&amp;row()))=11),""Final - A2"",
AND(OR(""3x3 FMC""=C67,""3x3 MBLD""=C67),COUNTIF($C$7:indirect(""C""&amp;row()),indirect(""C""&amp;row()))=10),""Final - "&amp;"A1"",
AND(OR(""3x3 FMC""=C67,""3x3 MBLD""=C67),COUNTIF($C$7:indirect(""C""&amp;row()),indirect(""C""&amp;row()))=9,
COUNTIF($C$7:$C$102,indirect(""C""&amp;row()))&gt;9),""R3 - A3"",
AND(OR(""3x3 FMC""=C67,""3x3 MBLD""=C67),COUNTIF($C$7:indirect(""C""&amp;row()),indirect(""C"&amp;"""&amp;row()))=9,
COUNTIF($C$7:$C$102,indirect(""C""&amp;row()))&lt;=9),""Final - A3"",
AND(OR(""3x3 FMC""=C67,""3x3 MBLD""=C67),COUNTIF($C$7:indirect(""C""&amp;row()),indirect(""C""&amp;row()))=8,
COUNTIF($C$7:$C$102,indirect(""C""&amp;row()))&gt;9),""R3 - A2"",
AND(OR(""3x3 FMC"&amp;"""=C67,""3x3 MBLD""=C67),COUNTIF($C$7:indirect(""C""&amp;row()),indirect(""C""&amp;row()))=8,
COUNTIF($C$7:$C$102,indirect(""C""&amp;row()))&lt;=9),""Final - A2"",
AND(OR(""3x3 FMC""=C67,""3x3 MBLD""=C67),COUNTIF($C$7:indirect(""C""&amp;row()),indirect(""C""&amp;row()))=7,
COUN"&amp;"TIF($C$7:$C$102,indirect(""C""&amp;row()))&gt;9),""R3 - A1"",
AND(OR(""3x3 FMC""=C67,""3x3 MBLD""=C67),COUNTIF($C$7:indirect(""C""&amp;row()),indirect(""C""&amp;row()))=7,
COUNTIF($C$7:$C$102,indirect(""C""&amp;row()))&lt;=9),""Final - A1"",
AND(OR(""3x3 FMC""=C67,""3x3 MBLD"""&amp;"=C67),COUNTIF($C$7:indirect(""C""&amp;row()),indirect(""C""&amp;row()))=6,
COUNTIF($C$7:$C$102,indirect(""C""&amp;row()))&gt;6),""R2 - A3"",
AND(OR(""3x3 FMC""=C67,""3x3 MBLD""=C67),COUNTIF($C$7:indirect(""C""&amp;row()),indirect(""C""&amp;row()))=6,
COUNTIF($C$7:$C$102,indirec"&amp;"t(""C""&amp;row()))&lt;=6),""Final - A3"",
AND(OR(""3x3 FMC""=C67,""3x3 MBLD""=C67),COUNTIF($C$7:indirect(""C""&amp;row()),indirect(""C""&amp;row()))=5,
COUNTIF($C$7:$C$102,indirect(""C""&amp;row()))&gt;6),""R2 - A2"",
AND(OR(""3x3 FMC""=C67,""3x3 MBLD""=C67),COUNTIF($C$7:indi"&amp;"rect(""C""&amp;row()),indirect(""C""&amp;row()))=5,
COUNTIF($C$7:$C$102,indirect(""C""&amp;row()))&lt;=6),""Final - A2"",
AND(OR(""3x3 FMC""=C67,""3x3 MBLD""=C67),COUNTIF($C$7:indirect(""C""&amp;row()),indirect(""C""&amp;row()))=4,
COUNTIF($C$7:$C$102,indirect(""C""&amp;row()))&gt;6),"&amp;"""R2 - A1"",
AND(OR(""3x3 FMC""=C67,""3x3 MBLD""=C67),COUNTIF($C$7:indirect(""C""&amp;row()),indirect(""C""&amp;row()))=4,
COUNTIF($C$7:$C$102,indirect(""C""&amp;row()))&lt;=6),""Final - A1"",
AND(OR(""3x3 FMC""=C67,""3x3 MBLD""=C67),COUNTIF($C$7:indirect(""C""&amp;row()),i"&amp;"ndirect(""C""&amp;row()))=3),""R1 - A3"",
AND(OR(""3x3 FMC""=C67,""3x3 MBLD""=C67),COUNTIF($C$7:indirect(""C""&amp;row()),indirect(""C""&amp;row()))=2),""R1 - A2"",
AND(OR(""3x3 FMC""=C67,""3x3 MBLD""=C67),COUNTIF($C$7:indirect(""C""&amp;row()),indirect(""C""&amp;row()))=1),"&amp;"""R1 -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93, Info!$A$2:A93 = C67),ROUNDUP((FILTER(Info!$H$2:H93,Info!$A$2:A93=C67)/FILTER(Info!$H$2:H93,Info!$A$2:A93=$K$2))*$I$2)&gt;99),3,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93, Info!$A$2:A93 = C67),ROUNDUP((FILTER(Info!$H$2:H93,Info!$A$2:A93=C67)/FILTER(Info!$H$2:H93,Info!$A$2:A93=$K$2))*$I$2)&gt;15),2,
AND(COUNTIF($C$7:indirect(""C""&amp;row()),indirect(""C""&amp;row()))=2,COUNTIF($C$7:$C$102,indirect(""C""&amp;row()))=COUNTIF($"&amp;"C$7:indirect(""C""&amp;row()),indirect(""C""&amp;row()))),""Final"",
COUNTIF($C$7:indirect(""C""&amp;row()),indirect(""C""&amp;row()))=1,1,
COUNTIF($C$7:indirect(""C""&amp;row()),indirect(""C""&amp;row()))=0,"""")"),"")</f>
        <v/>
      </c>
      <c r="F67" s="64" t="str">
        <f>IFERROR(__xludf.DUMMYFUNCTION("IFS(C67="""","""",
AND(C67=""3x3 FMC"",MOD(COUNTIF($C$7:indirect(""C""&amp;row()),indirect(""C""&amp;row())),3)=0),""Mean of 3"",
AND(C67=""3x3 MBLD"",MOD(COUNTIF($C$7:indirect(""C""&amp;row()),indirect(""C""&amp;row())),3)=0),""Best of 3"",
AND(C67=""3x3 FMC"",MOD(COUNT"&amp;"IF($C$7:indirect(""C""&amp;row()),indirect(""C""&amp;row())),3)=2,
COUNTIF($C$7:$C$102,indirect(""C""&amp;row()))&lt;=COUNTIF($C$7:indirect(""C""&amp;row()),indirect(""C""&amp;row()))),""Best of 2"",
AND(C67=""3x3 FMC"",MOD(COUNTIF($C$7:indirect(""C""&amp;row()),indirect(""C""&amp;row("&amp;"))),3)=2,
COUNTIF($C$7:$C$102,indirect(""C""&amp;row()))&gt;COUNTIF($C$7:indirect(""C""&amp;row()),indirect(""C""&amp;row()))),""Mean of 3"",
AND(C67=""3x3 MBLD"",MOD(COUNTIF($C$7:indirect(""C""&amp;row()),indirect(""C""&amp;row())),3)=2,
COUNTIF($C$7:$C$102,indirect(""C""&amp;row("&amp;")))&lt;=COUNTIF($C$7:indirect(""C""&amp;row()),indirect(""C""&amp;row()))),""Best of 2"",
AND(C67=""3x3 MBLD"",MOD(COUNTIF($C$7:indirect(""C""&amp;row()),indirect(""C""&amp;row())),3)=2,
COUNTIF($C$7:$C$102,indirect(""C""&amp;row()))&gt;COUNTIF($C$7:indirect(""C""&amp;row()),indirect("&amp;"""C""&amp;row()))),""Best of 3"",
AND(C67=""3x3 FMC"",MOD(COUNTIF($C$7:indirect(""C""&amp;row()),indirect(""C""&amp;row())),3)=1,
COUNTIF($C$7:$C$102,indirect(""C""&amp;row()))&lt;=COUNTIF($C$7:indirect(""C""&amp;row()),indirect(""C""&amp;row()))),""Best of 1"",
AND(C67=""3x3 FMC"""&amp;",MOD(COUNTIF($C$7:indirect(""C""&amp;row()),indirect(""C""&amp;row())),3)=1,
COUNTIF($C$7:$C$102,indirect(""C""&amp;row()))=COUNTIF($C$7:indirect(""C""&amp;row()),indirect(""C""&amp;row()))+1),""Best of 2"",
AND(C67=""3x3 FMC"",MOD(COUNTIF($C$7:indirect(""C""&amp;row()),indirect"&amp;"(""C""&amp;row())),3)=1,
COUNTIF($C$7:$C$102,indirect(""C""&amp;row()))&gt;COUNTIF($C$7:indirect(""C""&amp;row()),indirect(""C""&amp;row()))),""Mean of 3"",
AND(C67=""3x3 MBLD"",MOD(COUNTIF($C$7:indirect(""C""&amp;row()),indirect(""C""&amp;row())),3)=1,
COUNTIF($C$7:$C$102,indirect"&amp;"(""C""&amp;row()))&lt;=COUNTIF($C$7:indirect(""C""&amp;row()),indirect(""C""&amp;row()))),""Best of 1"",
AND(C67=""3x3 MBLD"",MOD(COUNTIF($C$7:indirect(""C""&amp;row()),indirect(""C""&amp;row())),3)=1,
COUNTIF($C$7:$C$102,indirect(""C""&amp;row()))=COUNTIF($C$7:indirect(""C""&amp;row()"&amp;"),indirect(""C""&amp;row()))+1),""Best of 2"",
AND(C67=""3x3 MBLD"",MOD(COUNTIF($C$7:indirect(""C""&amp;row()),indirect(""C""&amp;row())),3)=1,
COUNTIF($C$7:$C$102,indirect(""C""&amp;row()))&gt;COUNTIF($C$7:indirect(""C""&amp;row()),indirect(""C""&amp;row()))),""Best of 3"",
TRUE,("&amp;"IFERROR(FILTER(Info!$D$2:D93, Info!$A$2:A93 = C67), """")))"),"")</f>
        <v/>
      </c>
      <c r="G67" s="64" t="str">
        <f>IFERROR(__xludf.DUMMYFUNCTION("IFS(OR(COUNTIF(Info!$A$22:A93,C67)&gt;0,C67=""""),"""",
OR(""3x3 MBLD""=C67,""3x3 FMC""=C67),60,
AND(E67=1,FILTER(Info!$F$2:F93, Info!$A$2:A93 = C67) = ""No""),FILTER(Info!$P$2:P93, Info!$A$2:A93 = C67),
AND(E67=2,FILTER(Info!$F$2:F93, Info!$A$2:A93 = C67) ="&amp;" ""No""),FILTER(Info!$Q$2:Q93, Info!$A$2:A93 = C67),
AND(E67=3,FILTER(Info!$F$2:F93, Info!$A$2:A93 = C67) = ""No""),FILTER(Info!$R$2:R93, Info!$A$2:A93 = C67),
AND(E67=""Final"",FILTER(Info!$F$2:F93, Info!$A$2:A93 = C67) = ""No""),FILTER(Info!$S$2:S93, In"&amp;"fo!$A$2:A93 = C67),
FILTER(Info!$F$2:F93, Info!$A$2:A93 = C67) = ""Yes"","""")"),"")</f>
        <v/>
      </c>
      <c r="H67" s="64" t="str">
        <f>IFERROR(__xludf.DUMMYFUNCTION("IFS(OR(COUNTIF(Info!$A$22:A93,C67)&gt;0,C67=""""),"""",
OR(""3x3 MBLD""=C67,""3x3 FMC""=C67)=TRUE,"""",
FILTER(Info!$F$2:F93, Info!$A$2:A93 = C67) = ""Yes"",FILTER(Info!$O$2:O93, Info!$A$2:A93 = C67),
FILTER(Info!$F$2:F93, Info!$A$2:A93 = C67) = ""No"",IF(G6"&amp;"7="""",FILTER(Info!$O$2:O93, Info!$A$2:A93 = C67),""""))"),"")</f>
        <v/>
      </c>
      <c r="I67" s="64" t="str">
        <f>IFERROR(__xludf.DUMMYFUNCTION("IFS(OR(COUNTIF(Info!$A$22:A93,C67)&gt;0,C67="""",H67&lt;&gt;""""),"""",
AND(E67&lt;&gt;1,E67&lt;&gt;""R1 - A1"",E67&lt;&gt;""R1 - A2"",E67&lt;&gt;""R1 - A3""),"""",
FILTER(Info!$E$2:E93, Info!$A$2:A93 = C67) = ""Yes"",IF(H67="""",FILTER(Info!$L$2:L93, Info!$A$2:A93 = C67),""""),
FILTER(I"&amp;"nfo!$E$2:E93, Info!$A$2:A93 = C67) = ""No"","""")"),"")</f>
        <v/>
      </c>
      <c r="J67" s="64" t="str">
        <f>IFERROR(__xludf.DUMMYFUNCTION("IFS(OR(COUNTIF(Info!$A$22:A93,C67)&gt;0,C67="""",""3x3 MBLD""=C67,""3x3 FMC""=C67),"""",
AND(E67=1,FILTER(Info!$H$2:H93,Info!$A$2:A93 = C67)&lt;=FILTER(Info!$H$2:H93,Info!$A$2:A93=$K$2)),
ROUNDUP((FILTER(Info!$H$2:H93,Info!$A$2:A93 = C67)/FILTER(Info!$H$2:H93,I"&amp;"nfo!$A$2:A93=$K$2))*$I$2),
AND(E67=1,FILTER(Info!$H$2:H93,Info!$A$2:A93 = C67)&gt;FILTER(Info!$H$2:H93,Info!$A$2:A93=$K$2)),""K2 - Error"",
AND(E67=2,FILTER($J$7:indirect(""J""&amp;row()-1),$C$7:indirect(""C""&amp;row()-1)=C67)&lt;=7),""J - Error"",
E67=2,FLOOR(FILTER("&amp;"$J$7:indirect(""J""&amp;row()-1),$C$7:indirect(""C""&amp;row()-1)=C67)*Info!$T$32),
AND(E67=3,FILTER($J$7:indirect(""J""&amp;row()-1),$C$7:indirect(""C""&amp;row()-1)=C67)&lt;=15),""J - Error"",
E67=3,FLOOR(Info!$T$32*FLOOR(FILTER($J$7:indirect(""J""&amp;row()-1),$C$7:indirect("&amp;"""C""&amp;row()-1)=C67)*Info!$T$32)),
AND(E67=""Final"",COUNTIF($C$7:$C$102,C67)=2,FILTER($J$7:indirect(""J""&amp;row()-1),$C$7:indirect(""C""&amp;row()-1)=C67)&lt;=7),""J - Error"",
AND(E67=""Final"",COUNTIF($C$7:$C$102,C67)=2),
MIN(P67,FLOOR(FILTER($J$7:indirect(""J"""&amp;"&amp;row()-1),$C$7:indirect(""C""&amp;row()-1)=C67)*Info!$T$32)),
AND(E67=""Final"",COUNTIF($C$7:$C$102,C67)=3,FILTER($J$7:indirect(""J""&amp;row()-1),$C$7:indirect(""C""&amp;row()-1)=C67)&lt;=15),""J - Error"",
AND(E67=""Final"",COUNTIF($C$7:$C$102,C67)=3),
MIN(P67,FLOOR(I"&amp;"nfo!$T$32*FLOOR(FILTER($J$7:indirect(""J""&amp;row()-1),$C$7:indirect(""C""&amp;row()-1)=C67)*Info!$T$32))),
AND(E67=""Final"",COUNTIF($C$7:$C$102,C67)&gt;=4,FILTER($J$7:indirect(""J""&amp;row()-1),$C$7:indirect(""C""&amp;row()-1)=C67)&lt;=99),""J - Error"",
AND(E67=""Final"","&amp;"COUNTIF($C$7:$C$102,C67)&gt;=4),
MIN(P67,FLOOR(Info!$T$32*FLOOR(Info!$T$32*FLOOR(FILTER($J$7:indirect(""J""&amp;row()-1),$C$7:indirect(""C""&amp;row()-1)=C67)*Info!$T$32)))))"),"")</f>
        <v/>
      </c>
      <c r="K67" s="41" t="str">
        <f>IFERROR(__xludf.DUMMYFUNCTION("IFS(AND(indirect(""D""&amp;row()+2)&lt;&gt;$E$2,indirect(""D""&amp;row()+1)=""""),CONCATENATE(""Tom rad! Kopiera hela rad ""&amp;row()&amp;"" dit""),
AND(indirect(""D""&amp;row()-1)&lt;&gt;""Rum"",indirect(""D""&amp;row()-1)=""""),CONCATENATE(""Tom rad! Kopiera hela rad ""&amp;row()&amp;"" dit""),
"&amp;"C67="""","""",
COUNTIF(Info!$A$22:A93,$K$2)&gt;0,""Det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OR(AND(D67&lt;&gt;$E$2,D67&lt;&gt;$E$4,D67&lt;&gt;$K$4,D67&lt;&gt;$Q$4),D67="&amp;"""""),CONCATENATE(""Rum: ""&amp;D67&amp;"" finns ej, byt i D""&amp;row()),
AND(indirect(""D""&amp;row()-1)=""Rum"",C67=""""),CONCATENATE(""För att börja: skriv i cell C""&amp;row()),
AND(C67=""Paus"",M67&lt;=0),CONCATENATE(""Skriv pausens längd i M""&amp;row()),
OR(COUNTIF(Info!$A$"&amp;"22:A93,C67)&gt;0,C67=""""),"""",
AND(D67&lt;&gt;$E$2,$O$2=""Yes"",A67=""=time(hh;mm;ss)""),CONCATENATE(""Skriv starttid för ""&amp;C67&amp;"" i A""&amp;row()),
E67=""E - Error"",CONCATENATE(""För många ""&amp;C67&amp;"" rundor!""),
AND(C67&lt;&gt;""3x3 FMC"",C67&lt;&gt;""3x3 MBLD"",E67&lt;&gt;1,E67&lt;&gt;"&amp;"""Final"",IFERROR(FILTER($E$7:indirect(""E""&amp;row()-1),
$E$7:indirect(""E""&amp;row()-1)=E67-1,$C$7:indirect(""C""&amp;row()-1)=C67))=FALSE),CONCATENATE(""Kan ej vara R""&amp;E67&amp;"", saknar R""&amp;(E67-1)),
AND(indirect(""E""&amp;row()-1)&lt;&gt;""Omgång"",IFERROR(FILTER($E$7:indi"&amp;"rect(""E""&amp;row()-1),
$E$7:indirect(""E""&amp;row()-1)=E67,$C$7:indirect(""C""&amp;row()-1)=C67)=E67)=TRUE),CONCATENATE(""Runda ""&amp;E67&amp;"" i ""&amp;C67&amp;"" finns redan""),
AND(C67&lt;&gt;""3x3 BLD"",C67&lt;&gt;""4x4 BLD"",C67&lt;&gt;""5x5 BLD"",C67&lt;&gt;""4x4 / 5x5 BLD"",OR(E67=2,E67=3,E67="&amp;"""Final""),H67&lt;&gt;""""),CONCATENATE(E67&amp;""-rundor brukar ej ha c.t.l.""),
AND(OR(E67=2,E67=3,E67=""Final""),I67&lt;&gt;""""),CONCATENATE(E67&amp;""-rundor brukar ej ha cutoff""),
AND(OR(C67=""3x3 FMC"",C67=""3x3 MBLD""),OR(E67=1,E67=2,E67=3,E67=""Final"")),CONCATENAT"&amp;"E(C67&amp;""s omgång är Rx - Ax""),
AND(C67&lt;&gt;""3x3 MBLD"",C67&lt;&gt;""3x3 FMC"",FILTER(Info!$D$2:D93, Info!$A$2:A93 = C67)&lt;&gt;F67),CONCATENATE(C67&amp;"" måste ha formatet ""&amp;FILTER(Info!$D$2:D93, Info!$A$2:A93 = C67)),
AND(C67=""3x3 MBLD"",OR(F67=""Avg of 5"",F67=""Mea"&amp;"n of 3"")),CONCATENATE(""Ogiltigt format för ""&amp;C67),
AND(C67=""3x3 FMC"",OR(F67=""Avg of 5"",F67=""Best of 3"")),CONCATENATE(""Ogiltigt format för ""&amp;C67),
AND(OR(F67=""Best of 1"",F67=""Best of 2"",F67=""Best of 3""),I67&lt;&gt;""""),CONCATENATE(F67&amp;""-rundor"&amp;" får ej ha cutoff""),
AND(OR(C67=""3x3 FMC"",C67=""3x3 MBLD""),G67&lt;&gt;60),CONCATENATE(C67&amp;"" måste ha time limit: 60""),
AND(OR(C67=""3x3 FMC"",C67=""3x3 MBLD""),H67&lt;&gt;""""),CONCATENATE(C67&amp;"" kan inte ha c.t.l.""),
AND(G67&lt;&gt;"""",H67&lt;&gt;""""),""Välj time limit"&amp;" ELLER c.t.l"",
AND(C67=""6x6 / 7x7"",G67="""",H67=""""),""Sätt time limit (x / y) eller c.t.l (z)"",
AND(G67="""",H67=""""),""Sätt en time limit eller c.t.l"",
AND(OR(C67=""6x6 / 7x7"",C67=""4x4 / 5x5 BLD""),G67&lt;&gt;"""",REGEXMATCH(TO_TEXT(G67),"" / "")=FAL"&amp;"SE),CONCATENATE(""Time limit måste vara x / y""),
AND(H67&lt;&gt;"""",I67&lt;&gt;""""),CONCATENATE(C67&amp;"" brukar ej ha cutoff OCH c.t.l""),
AND(E67=1,H67="""",I67="""",OR(FILTER(Info!$E$2:E93, Info!$A$2:A93 = C67) = ""Yes"",FILTER(Info!$F$2:F93, Info!$A$2:A93 = C67) "&amp;"= ""Yes""),OR(F67=""Avg of 5"",F67=""Mean of 3"")),CONCATENATE(C67&amp;"" bör ha cutoff eller c.t.l""),
AND(C67=""6x6 / 7x7"",I67&lt;&gt;"""",REGEXMATCH(TO_TEXT(I67),"" / "")=FALSE),CONCATENATE(""Cutoff måste vara x / y""),
AND(H67&lt;&gt;"""",ISNUMBER(H67)=FALSE),""C.t."&amp;"l. måste vara positivt tal (x)"",
AND(C67&lt;&gt;""6x6 / 7x7"",I67&lt;&gt;"""",ISNUMBER(I67)=FALSE),""Cutoff måste vara positivt tal (x)"",
AND(H67&lt;&gt;"""",FILTER(Info!$E$2:E93, Info!$A$2:A93 = C67) = ""No"",FILTER(Info!$F$2:F93, Info!$A$2:A93 = C67) = ""No""),CONCATEN"&amp;"ATE(C67&amp;"" brukar inte ha c.t.l.""),
AND(I67&lt;&gt;"""",FILTER(Info!$E$2:E93, Info!$A$2:A93 = C67) = ""No"",FILTER(Info!$F$2:F93, Info!$A$2:A93 = C67) = ""No""),CONCATENATE(C67&amp;"" brukar inte ha cutoff""),
AND(H67="""",FILTER(Info!$F$2:F93, Info!$A$2:A93 = C67"&amp;") = ""Yes""),CONCATENATE(C67&amp;"" brukar ha c.t.l.""),
AND(C67&lt;&gt;""6x6 / 7x7"",C67&lt;&gt;""4x4 / 5x5 BLD"",G67&lt;&gt;"""",ISNUMBER(G67)=FALSE),""Time limit måste vara positivt tal (x)"",
J67=""J - Error"",CONCATENATE(""För få deltagare i R1 för ""&amp;COUNTIF($C$7:$C$102,"&amp;"indirect(""C""&amp;row()))&amp;"" rundor""),
J67=""K2 - Error"",CONCATENATE(C67&amp;"" är mer populär - byt i K2!""),
AND(C67&lt;&gt;""6x6 / 7x7"",C67&lt;&gt;""4x4 / 5x5 BLD"",G67&lt;&gt;"""",I67&lt;&gt;"""",G67&lt;=I67),""Time limit måste vara &gt; cutoff"",
AND(C67&lt;&gt;""6x6 / 7x7"",C67&lt;&gt;""4x4 / 5"&amp;"x5 BLD"",H67&lt;&gt;"""",I67&lt;&gt;"""",H67&lt;=I67),""C.t.l. måste vara &gt; cutoff"",
AND(C67&lt;&gt;""3x3 FMC"",C67&lt;&gt;""3x3 MBLD"",J67=""""),CONCATENATE(""Fyll i antal deltagare i J""&amp;row()),
AND(C67="""",OR(E67&lt;&gt;"""",F67&lt;&gt;"""",G67&lt;&gt;"""",H67&lt;&gt;"""",I67&lt;&gt;"""",J67&lt;&gt;"""")),""Skri"&amp;"v ALLTID gren / aktivitet först"",
AND(I67="""",H67="""",J67&lt;&gt;""""),J67,
OR(""3x3 FMC""=C67,""3x3 MBLD""=C67),J67,
AND(I67&lt;&gt;"""",""6x6 / 7x7""=C67),
IFS(ArrayFormula(SUM(IFERROR(SPLIT(I67,"" / ""))))&lt;(Info!$J$6+Info!$J$7)*2/3,CONCATENATE(""Höj helst cutof"&amp;"fs i ""&amp;C67),
ArrayFormula(SUM(IFERROR(SPLIT(I67,"" / ""))))&lt;=(Info!$J$6+Info!$J$7),ROUNDUP(J67*Info!$J$22),
ArrayFormula(SUM(IFERROR(SPLIT(I67,"" / ""))))&lt;=Info!$J$6+Info!$J$7,ROUNDUP(J67*Info!$K$22),
ArrayFormula(SUM(IFERROR(SPLIT(I67,"" / ""))))&lt;=Info!"&amp;"$K$6+Info!$K$7,ROUNDUP(J67*Info!L$22),
ArrayFormula(SUM(IFERROR(SPLIT(I67,"" / ""))))&lt;=Info!$L$6+Info!$L$7,ROUNDUP(J67*Info!$M$22),
ArrayFormula(SUM(IFERROR(SPLIT(I67,"" / ""))))&lt;=Info!$M$6+Info!$M$7,ROUNDUP(J67*Info!$N$22),
ArrayFormula(SUM(IFERROR(SPLIT"&amp;"(I67,"" / ""))))&lt;=(Info!$N$6+Info!$N$7)*3/2,ROUNDUP(J67*Info!$J$26),
ArrayFormula(SUM(IFERROR(SPLIT(I67,"" / ""))))&gt;(Info!$N$6+Info!$N$7)*3/2,CONCATENATE(""Sänk helst cutoffs i ""&amp;C67)),
AND(I67&lt;&gt;"""",FILTER(Info!$E$2:E93, Info!$A$2:A93 = C67) = ""Yes""),"&amp;"
IFS(I67&lt;FILTER(Info!$J$2:J93, Info!$A$2:A93 = C67)*2/3,CONCATENATE(""Höj helst cutoff i ""&amp;C67),
I67&lt;=FILTER(Info!$J$2:J93, Info!$A$2:A93 = C67),ROUNDUP(J67*Info!$J$22),
I67&lt;=FILTER(Info!$K$2:K93, Info!$A$2:A93 = C67),ROUNDUP(J67*Info!$K$22),
I67&lt;=FILTER"&amp;"(Info!$L$2:L93, Info!$A$2:A93 = C67),ROUNDUP(J67*Info!L$22),
I67&lt;=FILTER(Info!$M$2:M93, Info!$A$2:A93 = C67),ROUNDUP(J67*Info!$M$22),
I67&lt;=FILTER(Info!$N$2:N93, Info!$A$2:A93 = C67),ROUNDUP(J67*Info!$N$22),
I67&lt;=FILTER(Info!$N$2:N93, Info!$A$2:A93 = C67)*"&amp;"3/2,ROUNDUP(J67*Info!$J$26),
I67&gt;FILTER(Info!$N$2:N93, Info!$A$2:A93 = C67)*3/2,CONCATENATE(""Sänk helst cutoff i ""&amp;C67)),
AND(H67&lt;&gt;"""",""6x6 / 7x7""=C67),
IFS(H67/3&lt;=(Info!$J$6+Info!$J$7)*2/3,""Höj helst cumulative time limit"",
H67/3&lt;=Info!$J$6+Info!$"&amp;"J$7,ROUNDUP(J67*Info!$J$24),
H67/3&lt;=Info!$K$6+Info!$K$7,ROUNDUP(J67*Info!$K$24),
H67/3&lt;=Info!$L$6+Info!$L$7,ROUNDUP(J67*Info!L$24),
H67/3&lt;=Info!$M$6+Info!$M$7,ROUNDUP(J67*Info!$M$24),
H67/3&lt;=Info!$N$6+Info!$N$7,ROUNDUP(J67*Info!$N$24),
H67/3&lt;=(Info!$N$6+I"&amp;"nfo!$N$7)*3/2,ROUNDUP(J67*Info!$L$26),
H67/3&gt;(Info!$J$6+Info!$J$7)*3/2,""Sänk helst cumulative time limit""),
AND(H67&lt;&gt;"""",FILTER(Info!$F$2:F93, Info!$A$2:A93 = C67) = ""Yes""),
IFS(H67&lt;=FILTER(Info!$J$2:J93, Info!$A$2:A93 = C67)*2/3,CONCATENATE(""Höj he"&amp;"lst c.t.l. i ""&amp;C67),
H67&lt;=FILTER(Info!$J$2:J93, Info!$A$2:A93 = C67),ROUNDUP(J67*Info!$J$24),
H67&lt;=FILTER(Info!$K$2:K93, Info!$A$2:A93 = C67),ROUNDUP(J67*Info!$K$24),
H67&lt;=FILTER(Info!$L$2:L93, Info!$A$2:A93 = C67),ROUNDUP(J67*Info!L$24),
H67&lt;=FILTER(Inf"&amp;"o!$M$2:M93, Info!$A$2:A93 = C67),ROUNDUP(J67*Info!$M$24),
H67&lt;=FILTER(Info!$N$2:N93, Info!$A$2:A93 = C67),ROUNDUP(J67*Info!$N$24),
H67&lt;=FILTER(Info!$N$2:N93, Info!$A$2:A93 = C67)*3/2,ROUNDUP(J67*Info!$L$26),
H67&gt;FILTER(Info!$N$2:N93, Info!$A$2:A93 = C67)*"&amp;"3/2,CONCATENATE(""Sänk helst c.t.l. i ""&amp;C67)),
AND(H67&lt;&gt;"""",FILTER(Info!$F$2:F93, Info!$A$2:A93 = C67) = ""No""),
IFS(H67/AA67&lt;=FILTER(Info!$J$2:J93, Info!$A$2:A93 = C67)*2/3,CONCATENATE(""Höj helst c.t.l. i ""&amp;C67),
H67/AA67&lt;=FILTER(Info!$J$2:J93, Info"&amp;"!$A$2:A93 = C67),ROUNDUP(J67*Info!$J$24),
H67/AA67&lt;=FILTER(Info!$K$2:K93, Info!$A$2:A93 = C67),ROUNDUP(J67*Info!$K$24),
H67/AA67&lt;=FILTER(Info!$L$2:L93, Info!$A$2:A93 = C67),ROUNDUP(J67*Info!L$24),
H67/AA67&lt;=FILTER(Info!$M$2:M93, Info!$A$2:A93 = C67),ROUND"&amp;"UP(J67*Info!$M$24),
H67/AA67&lt;=FILTER(Info!$N$2:N93, Info!$A$2:A93 = C67),ROUNDUP(J67*Info!$N$24),
H67/AA67&lt;=FILTER(Info!$N$2:N93, Info!$A$2:A93 = C67)*3/2,ROUNDUP(J67*Info!$L$26),
H67/AA67&gt;FILTER(Info!$N$2:N93, Info!$A$2:A93 = C67)*3/2,CONCATENATE(""Sänk "&amp;"helst c.t.l. i ""&amp;C67)),
AND(I67="""",H67&lt;&gt;"""",J67&lt;&gt;""""),ROUNDUP(J67*Info!$T$29),
AND(I67&lt;&gt;"""",H67="""",J67&lt;&gt;""""),ROUNDUP(J67*Info!$T$26))"),"")</f>
        <v/>
      </c>
      <c r="L67" s="42">
        <f>IFERROR(__xludf.DUMMYFUNCTION("IFS(C67="""",0,
C67=""3x3 FMC"",Info!$B$9*N67+M67, C67=""3x3 MBLD"",Info!$B$18*N67+M67,
COUNTIF(Info!$A$22:A93,C67)&gt;0,FILTER(Info!$B$22:B93,Info!$A$22:A93=C67)+M67,
AND(C67&lt;&gt;"""",E67=""""),CONCATENATE(""Fyll i E""&amp;row()),
AND(C67&lt;&gt;"""",E67&lt;&gt;"""",E67&lt;&gt;1,E6"&amp;"7&lt;&gt;2,E67&lt;&gt;3,E67&lt;&gt;""Final""),CONCATENATE(""Fel format på E""&amp;row()),
K67=CONCATENATE(""Runda ""&amp;E67&amp;"" i ""&amp;C67&amp;"" finns redan""),CONCATENATE(""Fel i E""&amp;row()),
AND(C67&lt;&gt;"""",F67=""""),CONCATENATE(""Fyll i F""&amp;row()),
K67=CONCATENATE(C67&amp;"" måste ha forma"&amp;"tet ""&amp;FILTER(Info!$D$2:D93, Info!$A$2:A93 = C67)),CONCATENATE(""Fel format på F""&amp;row()),
AND(C67&lt;&gt;"""",D67=1,H67="""",FILTER(Info!$F$2:F93, Info!$A$2:A93 = C67) = ""Yes""),CONCATENATE(""Fyll i H""&amp;row()),
AND(C67&lt;&gt;"""",D67=1,I67="""",FILTER(Info!$E$2:E9"&amp;"3, Info!$A$2:A93 = C67) = ""Yes""),CONCATENATE(""Fyll i I""&amp;row()),
AND(C67&lt;&gt;"""",J67=""""),CONCATENATE(""Fyll i J""&amp;row()),
AND(C67&lt;&gt;"""",K67="""",OR(H67&lt;&gt;"""",I67&lt;&gt;"""")),CONCATENATE(""Fyll i K""&amp;row()),
AND(C67&lt;&gt;"""",K67=""""),CONCATENATE(""Skriv samma"&amp;" i K""&amp;row()&amp;"" som i J""&amp;row()),
AND(OR(C67=""4x4 BLD"",C67=""5x5 BLD"",C67=""4x4 / 5x5 BLD"")=TRUE,V67&lt;=P67),
MROUND(H67*(Info!$T$20-((Info!$T$20-1)/2)*(1-V67/P67))*(1+((J67/K67)-1)*(1-Info!$J$24))*N67+(Info!$T$11/2)+(N67*Info!$T$11)+(N67*Info!$T$14*(O6"&amp;"7-1)),0.01)+M67,
AND(OR(C67=""4x4 BLD"",C67=""5x5 BLD"",C67=""4x4 / 5x5 BLD"")=TRUE,V67&gt;P67),
MROUND((((J67*Z67+K67*(AA67-Z67))*(H67*Info!$T$20/AA67))/X67)*(1+((J67/K67)-1)*(1-Info!$J$24))*(1+(X67-Info!$T$8)/100)+(Info!$T$11/2)+(N67*Info!$T$11)+(N67*Info!"&amp;"$T$14*(O67-1)),0.01)+M67,
AND(C67=""3x3 BLD"",V67&lt;=P67),
MROUND(H67*(Info!$T$23-((Info!$T$23-1)/2)*(1-V67/P67))*(1+((J67/K67)-1)*(1-Info!$J$24))*N67+(Info!$T$11/2)+(N67*Info!$T$11)+(N67*Info!$T$14*(O67-1)),0.01)+M67,
AND(C67=""3x3 BLD"",V67&gt;P67),
MROUND(("&amp;"((J67*Z67+K67*(AA67-Z67))*(H67*Info!$T$23/AA67))/X67)*(1+((J67/K67)-1)*(1-Info!$J$24))*(1+(X67-Info!$T$8)/100)+(Info!$T$11/2)+(N67*Info!$T$11)+(N67*Info!$T$14*(O67-1)),0.01)+M67,
E67=1,MROUND((((J67*Z67+K67*(AA67-Z67))*Y67)/X67)*(1+(X67-Info!$T$8)/100)+(N"&amp;"67*Info!$T$11)+(N67*Info!$T$14*(O67-1)),0.01)+M67,
AND(E67=""Final"",N67=1,FILTER(Info!$G$2:$G$20,Info!$A$2:$A$20=C67)=""Mycket svår""),
MROUND((((J67*Z67+K67*(AA67-Z67))*(Y67*Info!$T$38))/X67)*(1+(X67-Info!$T$8)/100)+(N67*Info!$T$11)+(N67*Info!$T$14*(O67"&amp;"-1)),0.01)+M67,
AND(E67=""Final"",N67=1,FILTER(Info!$G$2:$G$20,Info!$A$2:$A$20=C67)=""Svår""),
MROUND((((J67*Z67+K67*(AA67-Z67))*(Y67*Info!$T$35))/X67)*(1+(X67-Info!$T$8)/100)+(N67*Info!$T$11)+(N67*Info!$T$14*(O67-1)),0.01)+M67,
E67=""Final"",MROUND((((J6"&amp;"7*Z67+K67*(AA67-Z67))*(Y67*Info!$T$5))/X67)*(1+(X67-Info!$T$8)/100)+(N67*Info!$T$11)+(N67*Info!$T$14*(O67-1)),0.01)+M67,
OR(E67=2,E67=3),MROUND((((J67*Z67+K67*(AA67-Z67))*(Y67*Info!$T$2))/X67)*(1+(X67-Info!$T$8)/100)+(N67*Info!$T$11)+(N67*Info!$T$14*(O67-"&amp;"1)),0.01)+M67)"),0.0)</f>
        <v>0</v>
      </c>
      <c r="M67" s="43">
        <f t="shared" si="6"/>
        <v>0</v>
      </c>
      <c r="N67" s="43" t="str">
        <f>IFS(OR(COUNTIF(Info!$A$22:A93,C67)&gt;0,C67=""),"",
OR(C67="4x4 BLD",C67="5x5 BLD",C67="3x3 MBLD",C67="3x3 FMC",C67="4x4 / 5x5 BLD"),1,
AND(E67="Final",Q67="Yes",MAX(1,ROUNDUP(J67/P67))&gt;1),MAX(2,ROUNDUP(J67/P67)),
AND(E67="Final",Q67="No",MAX(1,ROUNDUP(J67/((P67*2)+2.625-Y67*1.5)))&gt;1),MAX(2,ROUNDUP(J67/((P67*2)+2.625-Y67*1.5))),
E67="Final",1,
Q67="Yes",MAX(2,ROUNDUP(J67/P67)),
TRUE,MAX(2,ROUNDUP(J67/((P67*2)+2.625-Y67*1.5))))</f>
        <v/>
      </c>
      <c r="O67" s="43" t="str">
        <f>IFS(OR(COUNTIF(Info!$A$22:A93,C67)&gt;0,C67=""),"",
OR("3x3 MBLD"=C67,"3x3 FMC"=C67)=TRUE,"",
D67=$E$4,$G$6,D67=$K$4,$M$6,D67=$Q$4,$S$6,D67=$W$4,$Y$6,
TRUE,$S$2)</f>
        <v/>
      </c>
      <c r="P67" s="43" t="str">
        <f>IFS(OR(COUNTIF(Info!$A$22:A93,C67)&gt;0,C67=""),"",
OR("3x3 MBLD"=C67,"3x3 FMC"=C67)=TRUE,"",
D67=$E$4,$E$6,D67=$K$4,$K$6,D67=$Q$4,$Q$6,D67=$W$4,$W$6,
TRUE,$Q$2)</f>
        <v/>
      </c>
      <c r="Q67" s="44" t="str">
        <f>IFS(OR(COUNTIF(Info!$A$22:A93,C67)&gt;0,C67=""),"",
OR("3x3 MBLD"=C67,"3x3 FMC"=C67)=TRUE,"",
D67=$E$4,$I$6,D67=$K$4,$O$6,D67=$Q$4,$U$6,D67=$W$4,$AA$6,
TRUE,$U$2)</f>
        <v/>
      </c>
      <c r="R67" s="65" t="str">
        <f>IFERROR(__xludf.DUMMYFUNCTION("IF(C67="""","""",IFERROR(FILTER(Info!$B$22:B93,Info!$A$22:A93=C67)+M67,""?""))"),"")</f>
        <v/>
      </c>
      <c r="S67" s="66" t="str">
        <f>IFS(OR(COUNTIF(Info!$A$22:A93,C67)&gt;0,C67=""),"",
AND(H67="",I67=""),J67,
TRUE,"?")</f>
        <v/>
      </c>
      <c r="T67" s="65" t="str">
        <f>IFS(OR(COUNTIF(Info!$A$22:A93,C67)&gt;0,C67=""),"",
AND(L67&lt;&gt;0,OR(R67="?",R67="")),"Fyll i R-kolumnen",
OR(C67="3x3 FMC",C67="3x3 MBLD"),R67,
AND(L67&lt;&gt;0,OR(S67="?",S67="")),"Fyll i S-kolumnen",
OR(COUNTIF(Info!$A$22:A93,C67)&gt;0,C67=""),"",
TRUE,Y67*R67/L67)</f>
        <v/>
      </c>
      <c r="U67" s="65"/>
      <c r="V67" s="67" t="str">
        <f>IFS(OR(COUNTIF(Info!$A$22:A93,C67)&gt;0,C67=""),"",
OR("3x3 MBLD"=C67,"3x3 FMC"=C67)=TRUE,"",
TRUE,MROUND((J67/N67),0.01))</f>
        <v/>
      </c>
      <c r="W67" s="68" t="str">
        <f>IFS(OR(COUNTIF(Info!$A$22:A93,C67)&gt;0,C67=""),"",
TRUE,L67/N67)</f>
        <v/>
      </c>
      <c r="X67" s="67" t="str">
        <f>IFS(OR(COUNTIF(Info!$A$22:A93,C67)&gt;0,C67=""),"",
OR("3x3 MBLD"=C67,"3x3 FMC"=C67)=TRUE,"",
OR(C67="4x4 BLD",C67="5x5 BLD",C67="4x4 / 5x5 BLD",AND(C67="3x3 BLD",H67&lt;&gt;""))=TRUE,MIN(V67,P67),
TRUE,MIN(P67,V67,MROUND(((V67*2/3)+((Y67-1.625)/2)),0.01)))</f>
        <v/>
      </c>
      <c r="Y67" s="68" t="str">
        <f>IFERROR(__xludf.DUMMYFUNCTION("IFS(OR(COUNTIF(Info!$A$22:A93,C67)&gt;0,C67=""""),"""",
FILTER(Info!$F$2:F93, Info!$A$2:A93 = C67) = ""Yes"",H67/AA67,
""3x3 FMC""=C67,Info!$B$9,""3x3 MBLD""=C67,Info!$B$18,
AND(E67=1,I67="""",H67="""",Q67=""No"",G67&gt;SUMIF(Info!$A$2:A93,C67,Info!$B$2:B93)*1."&amp;"5),
MIN(SUMIF(Info!$A$2:A93,C67,Info!$B$2:B93)*1.1,SUMIF(Info!$A$2:A93,C67,Info!$B$2:B93)*(1.15-(0.15*(SUMIF(Info!$A$2:A93,C67,Info!$B$2:B93)*1.5)/G67))),
AND(E67=1,I67="""",H67="""",Q67=""Yes"",G67&gt;SUMIF(Info!$A$2:A93,C67,Info!$C$2:C93)*1.5),
MIN(SUMIF(I"&amp;"nfo!$A$2:A93,C67,Info!$C$2:C93)*1.1,SUMIF(Info!$A$2:A93,C67,Info!$C$2:C93)*(1.15-(0.15*(SUMIF(Info!$A$2:A93,C67,Info!$C$2:C93)*1.5)/G67))),
Q67=""No"",SUMIF(Info!$A$2:A93,C67,Info!$B$2:B93),
Q67=""Yes"",SUMIF(Info!$A$2:A93,C67,Info!$C$2:C93))"),"")</f>
        <v/>
      </c>
      <c r="Z67" s="67" t="str">
        <f>IFS(OR(COUNTIF(Info!$A$22:A93,C67)&gt;0,C67=""),"",
AND(OR("3x3 FMC"=C67,"3x3 MBLD"=C67),I67&lt;&gt;""),1,
AND(OR(H67&lt;&gt;"",I67&lt;&gt;""),F67="Avg of 5"),2,
F67="Avg of 5",AA67,
AND(OR(H67&lt;&gt;"",I67&lt;&gt;""),F67="Mean of 3",C67="6x6 / 7x7"),2,
AND(OR(H67&lt;&gt;"",I67&lt;&gt;""),F67="Mean of 3"),1,
F67="Mean of 3",AA67,
AND(OR(H67&lt;&gt;"",I67&lt;&gt;""),F67="Best of 3",C67="4x4 / 5x5 BLD"),2,
AND(OR(H67&lt;&gt;"",I67&lt;&gt;""),F67="Best of 3"),1,
F67="Best of 2",AA67,
F67="Best of 1",AA67)</f>
        <v/>
      </c>
      <c r="AA67" s="67" t="str">
        <f>IFS(OR(COUNTIF(Info!$A$22:A93,C67)&gt;0,C67=""),"",
AND(OR("3x3 MBLD"=C67,"3x3 FMC"=C67),F67="Best of 1"=TRUE),1,
AND(OR("3x3 MBLD"=C67,"3x3 FMC"=C67),F67="Best of 2"=TRUE),2,
AND(OR("3x3 MBLD"=C67,"3x3 FMC"=C67),OR(F67="Best of 3",F67="Mean of 3")=TRUE),3,
AND(F67="Mean of 3",C67="6x6 / 7x7"),6,
AND(F67="Best of 3",C67="4x4 / 5x5 BLD"),6,
F67="Avg of 5",5,F67="Mean of 3",3,F67="Best of 3",3,F67="Best of 2",2,F67="Best of 1",1)</f>
        <v/>
      </c>
      <c r="AB67" s="69"/>
    </row>
    <row r="68" ht="15.75" customHeight="1">
      <c r="A68" s="62">
        <f>IFERROR(__xludf.DUMMYFUNCTION("IFS(indirect(""A""&amp;row()-1)=""Start"",TIME(indirect(""A""&amp;row()-2),indirect(""B""&amp;row()-2),0),
$O$2=""No"",TIME(0,($A$6*60+$B$6)+CEILING(SUM($L$7:indirect(""L""&amp;row()-1)),5),0),
D68=$E$2,TIME(0,($A$6*60+$B$6)+CEILING(SUM(IFERROR(FILTER($L$7:indirect(""L"""&amp;"&amp;row()-1),REGEXMATCH($D$7:indirect(""D""&amp;row()-1),$E$2)),0)),5),0),
TRUE,""=time(hh;mm;ss)"")"),0.3645833333333335)</f>
        <v>0.3645833333</v>
      </c>
      <c r="B68" s="63">
        <f>IFERROR(__xludf.DUMMYFUNCTION("IFS($O$2=""No"",TIME(0,($A$6*60+$B$6)+CEILING(SUM($L$7:indirect(""L""&amp;row())),5),0),
D68=$E$2,TIME(0,($A$6*60+$B$6)+CEILING(SUM(FILTER($L$7:indirect(""L""&amp;row()),REGEXMATCH($D$7:indirect(""D""&amp;row()),$E$2))),5),0),
A68=""=time(hh;mm;ss)"",CONCATENATE(""Sk"&amp;"riv tid i A""&amp;row()),
AND(A68&lt;&gt;"""",A68&lt;&gt;""=time(hh;mm;ss)""),A68+TIME(0,CEILING(indirect(""L""&amp;row()),5),0))"),0.3645833333333335)</f>
        <v>0.3645833333</v>
      </c>
      <c r="C68" s="37"/>
      <c r="D68" s="64" t="str">
        <f t="shared" si="7"/>
        <v>Stora salen</v>
      </c>
      <c r="E68" s="64" t="str">
        <f>IFERROR(__xludf.DUMMYFUNCTION("IFS(COUNTIF(Info!$A$22:A94,C68)&gt;0,"""",
AND(OR(""3x3 FMC""=C68,""3x3 MBLD""=C68),COUNTIF($C$7:indirect(""C""&amp;row()),indirect(""C""&amp;row()))&gt;=13),""E - Error"",
AND(OR(""3x3 FMC""=C68,""3x3 MBLD""=C68),COUNTIF($C$7:indirect(""C""&amp;row()),indirect(""C""&amp;row()"&amp;"))=12),""Final - A3"",
AND(OR(""3x3 FMC""=C68,""3x3 MBLD""=C68),COUNTIF($C$7:indirect(""C""&amp;row()),indirect(""C""&amp;row()))=11),""Final - A2"",
AND(OR(""3x3 FMC""=C68,""3x3 MBLD""=C68),COUNTIF($C$7:indirect(""C""&amp;row()),indirect(""C""&amp;row()))=10),""Final - "&amp;"A1"",
AND(OR(""3x3 FMC""=C68,""3x3 MBLD""=C68),COUNTIF($C$7:indirect(""C""&amp;row()),indirect(""C""&amp;row()))=9,
COUNTIF($C$7:$C$102,indirect(""C""&amp;row()))&gt;9),""R3 - A3"",
AND(OR(""3x3 FMC""=C68,""3x3 MBLD""=C68),COUNTIF($C$7:indirect(""C""&amp;row()),indirect(""C"&amp;"""&amp;row()))=9,
COUNTIF($C$7:$C$102,indirect(""C""&amp;row()))&lt;=9),""Final - A3"",
AND(OR(""3x3 FMC""=C68,""3x3 MBLD""=C68),COUNTIF($C$7:indirect(""C""&amp;row()),indirect(""C""&amp;row()))=8,
COUNTIF($C$7:$C$102,indirect(""C""&amp;row()))&gt;9),""R3 - A2"",
AND(OR(""3x3 FMC"&amp;"""=C68,""3x3 MBLD""=C68),COUNTIF($C$7:indirect(""C""&amp;row()),indirect(""C""&amp;row()))=8,
COUNTIF($C$7:$C$102,indirect(""C""&amp;row()))&lt;=9),""Final - A2"",
AND(OR(""3x3 FMC""=C68,""3x3 MBLD""=C68),COUNTIF($C$7:indirect(""C""&amp;row()),indirect(""C""&amp;row()))=7,
COUN"&amp;"TIF($C$7:$C$102,indirect(""C""&amp;row()))&gt;9),""R3 - A1"",
AND(OR(""3x3 FMC""=C68,""3x3 MBLD""=C68),COUNTIF($C$7:indirect(""C""&amp;row()),indirect(""C""&amp;row()))=7,
COUNTIF($C$7:$C$102,indirect(""C""&amp;row()))&lt;=9),""Final - A1"",
AND(OR(""3x3 FMC""=C68,""3x3 MBLD"""&amp;"=C68),COUNTIF($C$7:indirect(""C""&amp;row()),indirect(""C""&amp;row()))=6,
COUNTIF($C$7:$C$102,indirect(""C""&amp;row()))&gt;6),""R2 - A3"",
AND(OR(""3x3 FMC""=C68,""3x3 MBLD""=C68),COUNTIF($C$7:indirect(""C""&amp;row()),indirect(""C""&amp;row()))=6,
COUNTIF($C$7:$C$102,indirec"&amp;"t(""C""&amp;row()))&lt;=6),""Final - A3"",
AND(OR(""3x3 FMC""=C68,""3x3 MBLD""=C68),COUNTIF($C$7:indirect(""C""&amp;row()),indirect(""C""&amp;row()))=5,
COUNTIF($C$7:$C$102,indirect(""C""&amp;row()))&gt;6),""R2 - A2"",
AND(OR(""3x3 FMC""=C68,""3x3 MBLD""=C68),COUNTIF($C$7:indi"&amp;"rect(""C""&amp;row()),indirect(""C""&amp;row()))=5,
COUNTIF($C$7:$C$102,indirect(""C""&amp;row()))&lt;=6),""Final - A2"",
AND(OR(""3x3 FMC""=C68,""3x3 MBLD""=C68),COUNTIF($C$7:indirect(""C""&amp;row()),indirect(""C""&amp;row()))=4,
COUNTIF($C$7:$C$102,indirect(""C""&amp;row()))&gt;6),"&amp;"""R2 - A1"",
AND(OR(""3x3 FMC""=C68,""3x3 MBLD""=C68),COUNTIF($C$7:indirect(""C""&amp;row()),indirect(""C""&amp;row()))=4,
COUNTIF($C$7:$C$102,indirect(""C""&amp;row()))&lt;=6),""Final - A1"",
AND(OR(""3x3 FMC""=C68,""3x3 MBLD""=C68),COUNTIF($C$7:indirect(""C""&amp;row()),i"&amp;"ndirect(""C""&amp;row()))=3),""R1 - A3"",
AND(OR(""3x3 FMC""=C68,""3x3 MBLD""=C68),COUNTIF($C$7:indirect(""C""&amp;row()),indirect(""C""&amp;row()))=2),""R1 - A2"",
AND(OR(""3x3 FMC""=C68,""3x3 MBLD""=C68),COUNTIF($C$7:indirect(""C""&amp;row()),indirect(""C""&amp;row()))=1),"&amp;"""R1 -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94, Info!$A$2:A94 = C68),ROUNDUP((FILTER(Info!$H$2:H94,Info!$A$2:A94=C68)/FILTER(Info!$H$2:H94,Info!$A$2:A94=$K$2))*$I$2)&gt;99),3,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94, Info!$A$2:A94 = C68),ROUNDUP((FILTER(Info!$H$2:H94,Info!$A$2:A94=C68)/FILTER(Info!$H$2:H94,Info!$A$2:A94=$K$2))*$I$2)&gt;15),2,
AND(COUNTIF($C$7:indirect(""C""&amp;row()),indirect(""C""&amp;row()))=2,COUNTIF($C$7:$C$102,indirect(""C""&amp;row()))=COUNTIF($"&amp;"C$7:indirect(""C""&amp;row()),indirect(""C""&amp;row()))),""Final"",
COUNTIF($C$7:indirect(""C""&amp;row()),indirect(""C""&amp;row()))=1,1,
COUNTIF($C$7:indirect(""C""&amp;row()),indirect(""C""&amp;row()))=0,"""")"),"")</f>
        <v/>
      </c>
      <c r="F68" s="64" t="str">
        <f>IFERROR(__xludf.DUMMYFUNCTION("IFS(C68="""","""",
AND(C68=""3x3 FMC"",MOD(COUNTIF($C$7:indirect(""C""&amp;row()),indirect(""C""&amp;row())),3)=0),""Mean of 3"",
AND(C68=""3x3 MBLD"",MOD(COUNTIF($C$7:indirect(""C""&amp;row()),indirect(""C""&amp;row())),3)=0),""Best of 3"",
AND(C68=""3x3 FMC"",MOD(COUNT"&amp;"IF($C$7:indirect(""C""&amp;row()),indirect(""C""&amp;row())),3)=2,
COUNTIF($C$7:$C$102,indirect(""C""&amp;row()))&lt;=COUNTIF($C$7:indirect(""C""&amp;row()),indirect(""C""&amp;row()))),""Best of 2"",
AND(C68=""3x3 FMC"",MOD(COUNTIF($C$7:indirect(""C""&amp;row()),indirect(""C""&amp;row("&amp;"))),3)=2,
COUNTIF($C$7:$C$102,indirect(""C""&amp;row()))&gt;COUNTIF($C$7:indirect(""C""&amp;row()),indirect(""C""&amp;row()))),""Mean of 3"",
AND(C68=""3x3 MBLD"",MOD(COUNTIF($C$7:indirect(""C""&amp;row()),indirect(""C""&amp;row())),3)=2,
COUNTIF($C$7:$C$102,indirect(""C""&amp;row("&amp;")))&lt;=COUNTIF($C$7:indirect(""C""&amp;row()),indirect(""C""&amp;row()))),""Best of 2"",
AND(C68=""3x3 MBLD"",MOD(COUNTIF($C$7:indirect(""C""&amp;row()),indirect(""C""&amp;row())),3)=2,
COUNTIF($C$7:$C$102,indirect(""C""&amp;row()))&gt;COUNTIF($C$7:indirect(""C""&amp;row()),indirect("&amp;"""C""&amp;row()))),""Best of 3"",
AND(C68=""3x3 FMC"",MOD(COUNTIF($C$7:indirect(""C""&amp;row()),indirect(""C""&amp;row())),3)=1,
COUNTIF($C$7:$C$102,indirect(""C""&amp;row()))&lt;=COUNTIF($C$7:indirect(""C""&amp;row()),indirect(""C""&amp;row()))),""Best of 1"",
AND(C68=""3x3 FMC"""&amp;",MOD(COUNTIF($C$7:indirect(""C""&amp;row()),indirect(""C""&amp;row())),3)=1,
COUNTIF($C$7:$C$102,indirect(""C""&amp;row()))=COUNTIF($C$7:indirect(""C""&amp;row()),indirect(""C""&amp;row()))+1),""Best of 2"",
AND(C68=""3x3 FMC"",MOD(COUNTIF($C$7:indirect(""C""&amp;row()),indirect"&amp;"(""C""&amp;row())),3)=1,
COUNTIF($C$7:$C$102,indirect(""C""&amp;row()))&gt;COUNTIF($C$7:indirect(""C""&amp;row()),indirect(""C""&amp;row()))),""Mean of 3"",
AND(C68=""3x3 MBLD"",MOD(COUNTIF($C$7:indirect(""C""&amp;row()),indirect(""C""&amp;row())),3)=1,
COUNTIF($C$7:$C$102,indirect"&amp;"(""C""&amp;row()))&lt;=COUNTIF($C$7:indirect(""C""&amp;row()),indirect(""C""&amp;row()))),""Best of 1"",
AND(C68=""3x3 MBLD"",MOD(COUNTIF($C$7:indirect(""C""&amp;row()),indirect(""C""&amp;row())),3)=1,
COUNTIF($C$7:$C$102,indirect(""C""&amp;row()))=COUNTIF($C$7:indirect(""C""&amp;row()"&amp;"),indirect(""C""&amp;row()))+1),""Best of 2"",
AND(C68=""3x3 MBLD"",MOD(COUNTIF($C$7:indirect(""C""&amp;row()),indirect(""C""&amp;row())),3)=1,
COUNTIF($C$7:$C$102,indirect(""C""&amp;row()))&gt;COUNTIF($C$7:indirect(""C""&amp;row()),indirect(""C""&amp;row()))),""Best of 3"",
TRUE,("&amp;"IFERROR(FILTER(Info!$D$2:D94, Info!$A$2:A94 = C68), """")))"),"")</f>
        <v/>
      </c>
      <c r="G68" s="64" t="str">
        <f>IFERROR(__xludf.DUMMYFUNCTION("IFS(OR(COUNTIF(Info!$A$22:A94,C68)&gt;0,C68=""""),"""",
OR(""3x3 MBLD""=C68,""3x3 FMC""=C68),60,
AND(E68=1,FILTER(Info!$F$2:F94, Info!$A$2:A94 = C68) = ""No""),FILTER(Info!$P$2:P94, Info!$A$2:A94 = C68),
AND(E68=2,FILTER(Info!$F$2:F94, Info!$A$2:A94 = C68) ="&amp;" ""No""),FILTER(Info!$Q$2:Q94, Info!$A$2:A94 = C68),
AND(E68=3,FILTER(Info!$F$2:F94, Info!$A$2:A94 = C68) = ""No""),FILTER(Info!$R$2:R94, Info!$A$2:A94 = C68),
AND(E68=""Final"",FILTER(Info!$F$2:F94, Info!$A$2:A94 = C68) = ""No""),FILTER(Info!$S$2:S94, In"&amp;"fo!$A$2:A94 = C68),
FILTER(Info!$F$2:F94, Info!$A$2:A94 = C68) = ""Yes"","""")"),"")</f>
        <v/>
      </c>
      <c r="H68" s="64" t="str">
        <f>IFERROR(__xludf.DUMMYFUNCTION("IFS(OR(COUNTIF(Info!$A$22:A94,C68)&gt;0,C68=""""),"""",
OR(""3x3 MBLD""=C68,""3x3 FMC""=C68)=TRUE,"""",
FILTER(Info!$F$2:F94, Info!$A$2:A94 = C68) = ""Yes"",FILTER(Info!$O$2:O94, Info!$A$2:A94 = C68),
FILTER(Info!$F$2:F94, Info!$A$2:A94 = C68) = ""No"",IF(G6"&amp;"8="""",FILTER(Info!$O$2:O94, Info!$A$2:A94 = C68),""""))"),"")</f>
        <v/>
      </c>
      <c r="I68" s="64" t="str">
        <f>IFERROR(__xludf.DUMMYFUNCTION("IFS(OR(COUNTIF(Info!$A$22:A94,C68)&gt;0,C68="""",H68&lt;&gt;""""),"""",
AND(E68&lt;&gt;1,E68&lt;&gt;""R1 - A1"",E68&lt;&gt;""R1 - A2"",E68&lt;&gt;""R1 - A3""),"""",
FILTER(Info!$E$2:E94, Info!$A$2:A94 = C68) = ""Yes"",IF(H68="""",FILTER(Info!$L$2:L94, Info!$A$2:A94 = C68),""""),
FILTER(I"&amp;"nfo!$E$2:E94, Info!$A$2:A94 = C68) = ""No"","""")"),"")</f>
        <v/>
      </c>
      <c r="J68" s="64" t="str">
        <f>IFERROR(__xludf.DUMMYFUNCTION("IFS(OR(COUNTIF(Info!$A$22:A94,C68)&gt;0,C68="""",""3x3 MBLD""=C68,""3x3 FMC""=C68),"""",
AND(E68=1,FILTER(Info!$H$2:H94,Info!$A$2:A94 = C68)&lt;=FILTER(Info!$H$2:H94,Info!$A$2:A94=$K$2)),
ROUNDUP((FILTER(Info!$H$2:H94,Info!$A$2:A94 = C68)/FILTER(Info!$H$2:H94,I"&amp;"nfo!$A$2:A94=$K$2))*$I$2),
AND(E68=1,FILTER(Info!$H$2:H94,Info!$A$2:A94 = C68)&gt;FILTER(Info!$H$2:H94,Info!$A$2:A94=$K$2)),""K2 - Error"",
AND(E68=2,FILTER($J$7:indirect(""J""&amp;row()-1),$C$7:indirect(""C""&amp;row()-1)=C68)&lt;=7),""J - Error"",
E68=2,FLOOR(FILTER("&amp;"$J$7:indirect(""J""&amp;row()-1),$C$7:indirect(""C""&amp;row()-1)=C68)*Info!$T$32),
AND(E68=3,FILTER($J$7:indirect(""J""&amp;row()-1),$C$7:indirect(""C""&amp;row()-1)=C68)&lt;=15),""J - Error"",
E68=3,FLOOR(Info!$T$32*FLOOR(FILTER($J$7:indirect(""J""&amp;row()-1),$C$7:indirect("&amp;"""C""&amp;row()-1)=C68)*Info!$T$32)),
AND(E68=""Final"",COUNTIF($C$7:$C$102,C68)=2,FILTER($J$7:indirect(""J""&amp;row()-1),$C$7:indirect(""C""&amp;row()-1)=C68)&lt;=7),""J - Error"",
AND(E68=""Final"",COUNTIF($C$7:$C$102,C68)=2),
MIN(P68,FLOOR(FILTER($J$7:indirect(""J"""&amp;"&amp;row()-1),$C$7:indirect(""C""&amp;row()-1)=C68)*Info!$T$32)),
AND(E68=""Final"",COUNTIF($C$7:$C$102,C68)=3,FILTER($J$7:indirect(""J""&amp;row()-1),$C$7:indirect(""C""&amp;row()-1)=C68)&lt;=15),""J - Error"",
AND(E68=""Final"",COUNTIF($C$7:$C$102,C68)=3),
MIN(P68,FLOOR(I"&amp;"nfo!$T$32*FLOOR(FILTER($J$7:indirect(""J""&amp;row()-1),$C$7:indirect(""C""&amp;row()-1)=C68)*Info!$T$32))),
AND(E68=""Final"",COUNTIF($C$7:$C$102,C68)&gt;=4,FILTER($J$7:indirect(""J""&amp;row()-1),$C$7:indirect(""C""&amp;row()-1)=C68)&lt;=99),""J - Error"",
AND(E68=""Final"","&amp;"COUNTIF($C$7:$C$102,C68)&gt;=4),
MIN(P68,FLOOR(Info!$T$32*FLOOR(Info!$T$32*FLOOR(FILTER($J$7:indirect(""J""&amp;row()-1),$C$7:indirect(""C""&amp;row()-1)=C68)*Info!$T$32)))))"),"")</f>
        <v/>
      </c>
      <c r="K68" s="41" t="str">
        <f>IFERROR(__xludf.DUMMYFUNCTION("IFS(AND(indirect(""D""&amp;row()+2)&lt;&gt;$E$2,indirect(""D""&amp;row()+1)=""""),CONCATENATE(""Tom rad! Kopiera hela rad ""&amp;row()&amp;"" dit""),
AND(indirect(""D""&amp;row()-1)&lt;&gt;""Rum"",indirect(""D""&amp;row()-1)=""""),CONCATENATE(""Tom rad! Kopiera hela rad ""&amp;row()&amp;"" dit""),
"&amp;"C68="""","""",
COUNTIF(Info!$A$22:A94,$K$2)&gt;0,""Det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OR(AND(D68&lt;&gt;$E$2,D68&lt;&gt;$E$4,D68&lt;&gt;$K$4,D68&lt;&gt;$Q$4),D68="&amp;"""""),CONCATENATE(""Rum: ""&amp;D68&amp;"" finns ej, byt i D""&amp;row()),
AND(indirect(""D""&amp;row()-1)=""Rum"",C68=""""),CONCATENATE(""För att börja: skriv i cell C""&amp;row()),
AND(C68=""Paus"",M68&lt;=0),CONCATENATE(""Skriv pausens längd i M""&amp;row()),
OR(COUNTIF(Info!$A$"&amp;"22:A94,C68)&gt;0,C68=""""),"""",
AND(D68&lt;&gt;$E$2,$O$2=""Yes"",A68=""=time(hh;mm;ss)""),CONCATENATE(""Skriv starttid för ""&amp;C68&amp;"" i A""&amp;row()),
E68=""E - Error"",CONCATENATE(""För många ""&amp;C68&amp;"" rundor!""),
AND(C68&lt;&gt;""3x3 FMC"",C68&lt;&gt;""3x3 MBLD"",E68&lt;&gt;1,E68&lt;&gt;"&amp;"""Final"",IFERROR(FILTER($E$7:indirect(""E""&amp;row()-1),
$E$7:indirect(""E""&amp;row()-1)=E68-1,$C$7:indirect(""C""&amp;row()-1)=C68))=FALSE),CONCATENATE(""Kan ej vara R""&amp;E68&amp;"", saknar R""&amp;(E68-1)),
AND(indirect(""E""&amp;row()-1)&lt;&gt;""Omgång"",IFERROR(FILTER($E$7:indi"&amp;"rect(""E""&amp;row()-1),
$E$7:indirect(""E""&amp;row()-1)=E68,$C$7:indirect(""C""&amp;row()-1)=C68)=E68)=TRUE),CONCATENATE(""Runda ""&amp;E68&amp;"" i ""&amp;C68&amp;"" finns redan""),
AND(C68&lt;&gt;""3x3 BLD"",C68&lt;&gt;""4x4 BLD"",C68&lt;&gt;""5x5 BLD"",C68&lt;&gt;""4x4 / 5x5 BLD"",OR(E68=2,E68=3,E68="&amp;"""Final""),H68&lt;&gt;""""),CONCATENATE(E68&amp;""-rundor brukar ej ha c.t.l.""),
AND(OR(E68=2,E68=3,E68=""Final""),I68&lt;&gt;""""),CONCATENATE(E68&amp;""-rundor brukar ej ha cutoff""),
AND(OR(C68=""3x3 FMC"",C68=""3x3 MBLD""),OR(E68=1,E68=2,E68=3,E68=""Final"")),CONCATENAT"&amp;"E(C68&amp;""s omgång är Rx - Ax""),
AND(C68&lt;&gt;""3x3 MBLD"",C68&lt;&gt;""3x3 FMC"",FILTER(Info!$D$2:D94, Info!$A$2:A94 = C68)&lt;&gt;F68),CONCATENATE(C68&amp;"" måste ha formatet ""&amp;FILTER(Info!$D$2:D94, Info!$A$2:A94 = C68)),
AND(C68=""3x3 MBLD"",OR(F68=""Avg of 5"",F68=""Mea"&amp;"n of 3"")),CONCATENATE(""Ogiltigt format för ""&amp;C68),
AND(C68=""3x3 FMC"",OR(F68=""Avg of 5"",F68=""Best of 3"")),CONCATENATE(""Ogiltigt format för ""&amp;C68),
AND(OR(F68=""Best of 1"",F68=""Best of 2"",F68=""Best of 3""),I68&lt;&gt;""""),CONCATENATE(F68&amp;""-rundor"&amp;" får ej ha cutoff""),
AND(OR(C68=""3x3 FMC"",C68=""3x3 MBLD""),G68&lt;&gt;60),CONCATENATE(C68&amp;"" måste ha time limit: 60""),
AND(OR(C68=""3x3 FMC"",C68=""3x3 MBLD""),H68&lt;&gt;""""),CONCATENATE(C68&amp;"" kan inte ha c.t.l.""),
AND(G68&lt;&gt;"""",H68&lt;&gt;""""),""Välj time limit"&amp;" ELLER c.t.l"",
AND(C68=""6x6 / 7x7"",G68="""",H68=""""),""Sätt time limit (x / y) eller c.t.l (z)"",
AND(G68="""",H68=""""),""Sätt en time limit eller c.t.l"",
AND(OR(C68=""6x6 / 7x7"",C68=""4x4 / 5x5 BLD""),G68&lt;&gt;"""",REGEXMATCH(TO_TEXT(G68),"" / "")=FAL"&amp;"SE),CONCATENATE(""Time limit måste vara x / y""),
AND(H68&lt;&gt;"""",I68&lt;&gt;""""),CONCATENATE(C68&amp;"" brukar ej ha cutoff OCH c.t.l""),
AND(E68=1,H68="""",I68="""",OR(FILTER(Info!$E$2:E94, Info!$A$2:A94 = C68) = ""Yes"",FILTER(Info!$F$2:F94, Info!$A$2:A94 = C68) "&amp;"= ""Yes""),OR(F68=""Avg of 5"",F68=""Mean of 3"")),CONCATENATE(C68&amp;"" bör ha cutoff eller c.t.l""),
AND(C68=""6x6 / 7x7"",I68&lt;&gt;"""",REGEXMATCH(TO_TEXT(I68),"" / "")=FALSE),CONCATENATE(""Cutoff måste vara x / y""),
AND(H68&lt;&gt;"""",ISNUMBER(H68)=FALSE),""C.t."&amp;"l. måste vara positivt tal (x)"",
AND(C68&lt;&gt;""6x6 / 7x7"",I68&lt;&gt;"""",ISNUMBER(I68)=FALSE),""Cutoff måste vara positivt tal (x)"",
AND(H68&lt;&gt;"""",FILTER(Info!$E$2:E94, Info!$A$2:A94 = C68) = ""No"",FILTER(Info!$F$2:F94, Info!$A$2:A94 = C68) = ""No""),CONCATEN"&amp;"ATE(C68&amp;"" brukar inte ha c.t.l.""),
AND(I68&lt;&gt;"""",FILTER(Info!$E$2:E94, Info!$A$2:A94 = C68) = ""No"",FILTER(Info!$F$2:F94, Info!$A$2:A94 = C68) = ""No""),CONCATENATE(C68&amp;"" brukar inte ha cutoff""),
AND(H68="""",FILTER(Info!$F$2:F94, Info!$A$2:A94 = C68"&amp;") = ""Yes""),CONCATENATE(C68&amp;"" brukar ha c.t.l.""),
AND(C68&lt;&gt;""6x6 / 7x7"",C68&lt;&gt;""4x4 / 5x5 BLD"",G68&lt;&gt;"""",ISNUMBER(G68)=FALSE),""Time limit måste vara positivt tal (x)"",
J68=""J - Error"",CONCATENATE(""För få deltagare i R1 för ""&amp;COUNTIF($C$7:$C$102,"&amp;"indirect(""C""&amp;row()))&amp;"" rundor""),
J68=""K2 - Error"",CONCATENATE(C68&amp;"" är mer populär - byt i K2!""),
AND(C68&lt;&gt;""6x6 / 7x7"",C68&lt;&gt;""4x4 / 5x5 BLD"",G68&lt;&gt;"""",I68&lt;&gt;"""",G68&lt;=I68),""Time limit måste vara &gt; cutoff"",
AND(C68&lt;&gt;""6x6 / 7x7"",C68&lt;&gt;""4x4 / 5"&amp;"x5 BLD"",H68&lt;&gt;"""",I68&lt;&gt;"""",H68&lt;=I68),""C.t.l. måste vara &gt; cutoff"",
AND(C68&lt;&gt;""3x3 FMC"",C68&lt;&gt;""3x3 MBLD"",J68=""""),CONCATENATE(""Fyll i antal deltagare i J""&amp;row()),
AND(C68="""",OR(E68&lt;&gt;"""",F68&lt;&gt;"""",G68&lt;&gt;"""",H68&lt;&gt;"""",I68&lt;&gt;"""",J68&lt;&gt;"""")),""Skri"&amp;"v ALLTID gren / aktivitet först"",
AND(I68="""",H68="""",J68&lt;&gt;""""),J68,
OR(""3x3 FMC""=C68,""3x3 MBLD""=C68),J68,
AND(I68&lt;&gt;"""",""6x6 / 7x7""=C68),
IFS(ArrayFormula(SUM(IFERROR(SPLIT(I68,"" / ""))))&lt;(Info!$J$6+Info!$J$7)*2/3,CONCATENATE(""Höj helst cutof"&amp;"fs i ""&amp;C68),
ArrayFormula(SUM(IFERROR(SPLIT(I68,"" / ""))))&lt;=(Info!$J$6+Info!$J$7),ROUNDUP(J68*Info!$J$22),
ArrayFormula(SUM(IFERROR(SPLIT(I68,"" / ""))))&lt;=Info!$J$6+Info!$J$7,ROUNDUP(J68*Info!$K$22),
ArrayFormula(SUM(IFERROR(SPLIT(I68,"" / ""))))&lt;=Info!"&amp;"$K$6+Info!$K$7,ROUNDUP(J68*Info!L$22),
ArrayFormula(SUM(IFERROR(SPLIT(I68,"" / ""))))&lt;=Info!$L$6+Info!$L$7,ROUNDUP(J68*Info!$M$22),
ArrayFormula(SUM(IFERROR(SPLIT(I68,"" / ""))))&lt;=Info!$M$6+Info!$M$7,ROUNDUP(J68*Info!$N$22),
ArrayFormula(SUM(IFERROR(SPLIT"&amp;"(I68,"" / ""))))&lt;=(Info!$N$6+Info!$N$7)*3/2,ROUNDUP(J68*Info!$J$26),
ArrayFormula(SUM(IFERROR(SPLIT(I68,"" / ""))))&gt;(Info!$N$6+Info!$N$7)*3/2,CONCATENATE(""Sänk helst cutoffs i ""&amp;C68)),
AND(I68&lt;&gt;"""",FILTER(Info!$E$2:E94, Info!$A$2:A94 = C68) = ""Yes""),"&amp;"
IFS(I68&lt;FILTER(Info!$J$2:J94, Info!$A$2:A94 = C68)*2/3,CONCATENATE(""Höj helst cutoff i ""&amp;C68),
I68&lt;=FILTER(Info!$J$2:J94, Info!$A$2:A94 = C68),ROUNDUP(J68*Info!$J$22),
I68&lt;=FILTER(Info!$K$2:K94, Info!$A$2:A94 = C68),ROUNDUP(J68*Info!$K$22),
I68&lt;=FILTER"&amp;"(Info!$L$2:L94, Info!$A$2:A94 = C68),ROUNDUP(J68*Info!L$22),
I68&lt;=FILTER(Info!$M$2:M94, Info!$A$2:A94 = C68),ROUNDUP(J68*Info!$M$22),
I68&lt;=FILTER(Info!$N$2:N94, Info!$A$2:A94 = C68),ROUNDUP(J68*Info!$N$22),
I68&lt;=FILTER(Info!$N$2:N94, Info!$A$2:A94 = C68)*"&amp;"3/2,ROUNDUP(J68*Info!$J$26),
I68&gt;FILTER(Info!$N$2:N94, Info!$A$2:A94 = C68)*3/2,CONCATENATE(""Sänk helst cutoff i ""&amp;C68)),
AND(H68&lt;&gt;"""",""6x6 / 7x7""=C68),
IFS(H68/3&lt;=(Info!$J$6+Info!$J$7)*2/3,""Höj helst cumulative time limit"",
H68/3&lt;=Info!$J$6+Info!$"&amp;"J$7,ROUNDUP(J68*Info!$J$24),
H68/3&lt;=Info!$K$6+Info!$K$7,ROUNDUP(J68*Info!$K$24),
H68/3&lt;=Info!$L$6+Info!$L$7,ROUNDUP(J68*Info!L$24),
H68/3&lt;=Info!$M$6+Info!$M$7,ROUNDUP(J68*Info!$M$24),
H68/3&lt;=Info!$N$6+Info!$N$7,ROUNDUP(J68*Info!$N$24),
H68/3&lt;=(Info!$N$6+I"&amp;"nfo!$N$7)*3/2,ROUNDUP(J68*Info!$L$26),
H68/3&gt;(Info!$J$6+Info!$J$7)*3/2,""Sänk helst cumulative time limit""),
AND(H68&lt;&gt;"""",FILTER(Info!$F$2:F94, Info!$A$2:A94 = C68) = ""Yes""),
IFS(H68&lt;=FILTER(Info!$J$2:J94, Info!$A$2:A94 = C68)*2/3,CONCATENATE(""Höj he"&amp;"lst c.t.l. i ""&amp;C68),
H68&lt;=FILTER(Info!$J$2:J94, Info!$A$2:A94 = C68),ROUNDUP(J68*Info!$J$24),
H68&lt;=FILTER(Info!$K$2:K94, Info!$A$2:A94 = C68),ROUNDUP(J68*Info!$K$24),
H68&lt;=FILTER(Info!$L$2:L94, Info!$A$2:A94 = C68),ROUNDUP(J68*Info!L$24),
H68&lt;=FILTER(Inf"&amp;"o!$M$2:M94, Info!$A$2:A94 = C68),ROUNDUP(J68*Info!$M$24),
H68&lt;=FILTER(Info!$N$2:N94, Info!$A$2:A94 = C68),ROUNDUP(J68*Info!$N$24),
H68&lt;=FILTER(Info!$N$2:N94, Info!$A$2:A94 = C68)*3/2,ROUNDUP(J68*Info!$L$26),
H68&gt;FILTER(Info!$N$2:N94, Info!$A$2:A94 = C68)*"&amp;"3/2,CONCATENATE(""Sänk helst c.t.l. i ""&amp;C68)),
AND(H68&lt;&gt;"""",FILTER(Info!$F$2:F94, Info!$A$2:A94 = C68) = ""No""),
IFS(H68/AA68&lt;=FILTER(Info!$J$2:J94, Info!$A$2:A94 = C68)*2/3,CONCATENATE(""Höj helst c.t.l. i ""&amp;C68),
H68/AA68&lt;=FILTER(Info!$J$2:J94, Info"&amp;"!$A$2:A94 = C68),ROUNDUP(J68*Info!$J$24),
H68/AA68&lt;=FILTER(Info!$K$2:K94, Info!$A$2:A94 = C68),ROUNDUP(J68*Info!$K$24),
H68/AA68&lt;=FILTER(Info!$L$2:L94, Info!$A$2:A94 = C68),ROUNDUP(J68*Info!L$24),
H68/AA68&lt;=FILTER(Info!$M$2:M94, Info!$A$2:A94 = C68),ROUND"&amp;"UP(J68*Info!$M$24),
H68/AA68&lt;=FILTER(Info!$N$2:N94, Info!$A$2:A94 = C68),ROUNDUP(J68*Info!$N$24),
H68/AA68&lt;=FILTER(Info!$N$2:N94, Info!$A$2:A94 = C68)*3/2,ROUNDUP(J68*Info!$L$26),
H68/AA68&gt;FILTER(Info!$N$2:N94, Info!$A$2:A94 = C68)*3/2,CONCATENATE(""Sänk "&amp;"helst c.t.l. i ""&amp;C68)),
AND(I68="""",H68&lt;&gt;"""",J68&lt;&gt;""""),ROUNDUP(J68*Info!$T$29),
AND(I68&lt;&gt;"""",H68="""",J68&lt;&gt;""""),ROUNDUP(J68*Info!$T$26))"),"")</f>
        <v/>
      </c>
      <c r="L68" s="42">
        <f>IFERROR(__xludf.DUMMYFUNCTION("IFS(C68="""",0,
C68=""3x3 FMC"",Info!$B$9*N68+M68, C68=""3x3 MBLD"",Info!$B$18*N68+M68,
COUNTIF(Info!$A$22:A94,C68)&gt;0,FILTER(Info!$B$22:B94,Info!$A$22:A94=C68)+M68,
AND(C68&lt;&gt;"""",E68=""""),CONCATENATE(""Fyll i E""&amp;row()),
AND(C68&lt;&gt;"""",E68&lt;&gt;"""",E68&lt;&gt;1,E6"&amp;"8&lt;&gt;2,E68&lt;&gt;3,E68&lt;&gt;""Final""),CONCATENATE(""Fel format på E""&amp;row()),
K68=CONCATENATE(""Runda ""&amp;E68&amp;"" i ""&amp;C68&amp;"" finns redan""),CONCATENATE(""Fel i E""&amp;row()),
AND(C68&lt;&gt;"""",F68=""""),CONCATENATE(""Fyll i F""&amp;row()),
K68=CONCATENATE(C68&amp;"" måste ha forma"&amp;"tet ""&amp;FILTER(Info!$D$2:D94, Info!$A$2:A94 = C68)),CONCATENATE(""Fel format på F""&amp;row()),
AND(C68&lt;&gt;"""",D68=1,H68="""",FILTER(Info!$F$2:F94, Info!$A$2:A94 = C68) = ""Yes""),CONCATENATE(""Fyll i H""&amp;row()),
AND(C68&lt;&gt;"""",D68=1,I68="""",FILTER(Info!$E$2:E9"&amp;"4, Info!$A$2:A94 = C68) = ""Yes""),CONCATENATE(""Fyll i I""&amp;row()),
AND(C68&lt;&gt;"""",J68=""""),CONCATENATE(""Fyll i J""&amp;row()),
AND(C68&lt;&gt;"""",K68="""",OR(H68&lt;&gt;"""",I68&lt;&gt;"""")),CONCATENATE(""Fyll i K""&amp;row()),
AND(C68&lt;&gt;"""",K68=""""),CONCATENATE(""Skriv samma"&amp;" i K""&amp;row()&amp;"" som i J""&amp;row()),
AND(OR(C68=""4x4 BLD"",C68=""5x5 BLD"",C68=""4x4 / 5x5 BLD"")=TRUE,V68&lt;=P68),
MROUND(H68*(Info!$T$20-((Info!$T$20-1)/2)*(1-V68/P68))*(1+((J68/K68)-1)*(1-Info!$J$24))*N68+(Info!$T$11/2)+(N68*Info!$T$11)+(N68*Info!$T$14*(O6"&amp;"8-1)),0.01)+M68,
AND(OR(C68=""4x4 BLD"",C68=""5x5 BLD"",C68=""4x4 / 5x5 BLD"")=TRUE,V68&gt;P68),
MROUND((((J68*Z68+K68*(AA68-Z68))*(H68*Info!$T$20/AA68))/X68)*(1+((J68/K68)-1)*(1-Info!$J$24))*(1+(X68-Info!$T$8)/100)+(Info!$T$11/2)+(N68*Info!$T$11)+(N68*Info!"&amp;"$T$14*(O68-1)),0.01)+M68,
AND(C68=""3x3 BLD"",V68&lt;=P68),
MROUND(H68*(Info!$T$23-((Info!$T$23-1)/2)*(1-V68/P68))*(1+((J68/K68)-1)*(1-Info!$J$24))*N68+(Info!$T$11/2)+(N68*Info!$T$11)+(N68*Info!$T$14*(O68-1)),0.01)+M68,
AND(C68=""3x3 BLD"",V68&gt;P68),
MROUND(("&amp;"((J68*Z68+K68*(AA68-Z68))*(H68*Info!$T$23/AA68))/X68)*(1+((J68/K68)-1)*(1-Info!$J$24))*(1+(X68-Info!$T$8)/100)+(Info!$T$11/2)+(N68*Info!$T$11)+(N68*Info!$T$14*(O68-1)),0.01)+M68,
E68=1,MROUND((((J68*Z68+K68*(AA68-Z68))*Y68)/X68)*(1+(X68-Info!$T$8)/100)+(N"&amp;"68*Info!$T$11)+(N68*Info!$T$14*(O68-1)),0.01)+M68,
AND(E68=""Final"",N68=1,FILTER(Info!$G$2:$G$20,Info!$A$2:$A$20=C68)=""Mycket svår""),
MROUND((((J68*Z68+K68*(AA68-Z68))*(Y68*Info!$T$38))/X68)*(1+(X68-Info!$T$8)/100)+(N68*Info!$T$11)+(N68*Info!$T$14*(O68"&amp;"-1)),0.01)+M68,
AND(E68=""Final"",N68=1,FILTER(Info!$G$2:$G$20,Info!$A$2:$A$20=C68)=""Svår""),
MROUND((((J68*Z68+K68*(AA68-Z68))*(Y68*Info!$T$35))/X68)*(1+(X68-Info!$T$8)/100)+(N68*Info!$T$11)+(N68*Info!$T$14*(O68-1)),0.01)+M68,
E68=""Final"",MROUND((((J6"&amp;"8*Z68+K68*(AA68-Z68))*(Y68*Info!$T$5))/X68)*(1+(X68-Info!$T$8)/100)+(N68*Info!$T$11)+(N68*Info!$T$14*(O68-1)),0.01)+M68,
OR(E68=2,E68=3),MROUND((((J68*Z68+K68*(AA68-Z68))*(Y68*Info!$T$2))/X68)*(1+(X68-Info!$T$8)/100)+(N68*Info!$T$11)+(N68*Info!$T$14*(O68-"&amp;"1)),0.01)+M68)"),0.0)</f>
        <v>0</v>
      </c>
      <c r="M68" s="43">
        <f t="shared" si="6"/>
        <v>0</v>
      </c>
      <c r="N68" s="43" t="str">
        <f>IFS(OR(COUNTIF(Info!$A$22:A94,C68)&gt;0,C68=""),"",
OR(C68="4x4 BLD",C68="5x5 BLD",C68="3x3 MBLD",C68="3x3 FMC",C68="4x4 / 5x5 BLD"),1,
AND(E68="Final",Q68="Yes",MAX(1,ROUNDUP(J68/P68))&gt;1),MAX(2,ROUNDUP(J68/P68)),
AND(E68="Final",Q68="No",MAX(1,ROUNDUP(J68/((P68*2)+2.625-Y68*1.5)))&gt;1),MAX(2,ROUNDUP(J68/((P68*2)+2.625-Y68*1.5))),
E68="Final",1,
Q68="Yes",MAX(2,ROUNDUP(J68/P68)),
TRUE,MAX(2,ROUNDUP(J68/((P68*2)+2.625-Y68*1.5))))</f>
        <v/>
      </c>
      <c r="O68" s="43" t="str">
        <f>IFS(OR(COUNTIF(Info!$A$22:A94,C68)&gt;0,C68=""),"",
OR("3x3 MBLD"=C68,"3x3 FMC"=C68)=TRUE,"",
D68=$E$4,$G$6,D68=$K$4,$M$6,D68=$Q$4,$S$6,D68=$W$4,$Y$6,
TRUE,$S$2)</f>
        <v/>
      </c>
      <c r="P68" s="43" t="str">
        <f>IFS(OR(COUNTIF(Info!$A$22:A94,C68)&gt;0,C68=""),"",
OR("3x3 MBLD"=C68,"3x3 FMC"=C68)=TRUE,"",
D68=$E$4,$E$6,D68=$K$4,$K$6,D68=$Q$4,$Q$6,D68=$W$4,$W$6,
TRUE,$Q$2)</f>
        <v/>
      </c>
      <c r="Q68" s="44" t="str">
        <f>IFS(OR(COUNTIF(Info!$A$22:A94,C68)&gt;0,C68=""),"",
OR("3x3 MBLD"=C68,"3x3 FMC"=C68)=TRUE,"",
D68=$E$4,$I$6,D68=$K$4,$O$6,D68=$Q$4,$U$6,D68=$W$4,$AA$6,
TRUE,$U$2)</f>
        <v/>
      </c>
      <c r="R68" s="65" t="str">
        <f>IFERROR(__xludf.DUMMYFUNCTION("IF(C68="""","""",IFERROR(FILTER(Info!$B$22:B94,Info!$A$22:A94=C68)+M68,""?""))"),"")</f>
        <v/>
      </c>
      <c r="S68" s="66" t="str">
        <f>IFS(OR(COUNTIF(Info!$A$22:A94,C68)&gt;0,C68=""),"",
AND(H68="",I68=""),J68,
TRUE,"?")</f>
        <v/>
      </c>
      <c r="T68" s="65" t="str">
        <f>IFS(OR(COUNTIF(Info!$A$22:A94,C68)&gt;0,C68=""),"",
AND(L68&lt;&gt;0,OR(R68="?",R68="")),"Fyll i R-kolumnen",
OR(C68="3x3 FMC",C68="3x3 MBLD"),R68,
AND(L68&lt;&gt;0,OR(S68="?",S68="")),"Fyll i S-kolumnen",
OR(COUNTIF(Info!$A$22:A94,C68)&gt;0,C68=""),"",
TRUE,Y68*R68/L68)</f>
        <v/>
      </c>
      <c r="U68" s="65"/>
      <c r="V68" s="67" t="str">
        <f>IFS(OR(COUNTIF(Info!$A$22:A94,C68)&gt;0,C68=""),"",
OR("3x3 MBLD"=C68,"3x3 FMC"=C68)=TRUE,"",
TRUE,MROUND((J68/N68),0.01))</f>
        <v/>
      </c>
      <c r="W68" s="68" t="str">
        <f>IFS(OR(COUNTIF(Info!$A$22:A94,C68)&gt;0,C68=""),"",
TRUE,L68/N68)</f>
        <v/>
      </c>
      <c r="X68" s="67" t="str">
        <f>IFS(OR(COUNTIF(Info!$A$22:A94,C68)&gt;0,C68=""),"",
OR("3x3 MBLD"=C68,"3x3 FMC"=C68)=TRUE,"",
OR(C68="4x4 BLD",C68="5x5 BLD",C68="4x4 / 5x5 BLD",AND(C68="3x3 BLD",H68&lt;&gt;""))=TRUE,MIN(V68,P68),
TRUE,MIN(P68,V68,MROUND(((V68*2/3)+((Y68-1.625)/2)),0.01)))</f>
        <v/>
      </c>
      <c r="Y68" s="68" t="str">
        <f>IFERROR(__xludf.DUMMYFUNCTION("IFS(OR(COUNTIF(Info!$A$22:A94,C68)&gt;0,C68=""""),"""",
FILTER(Info!$F$2:F94, Info!$A$2:A94 = C68) = ""Yes"",H68/AA68,
""3x3 FMC""=C68,Info!$B$9,""3x3 MBLD""=C68,Info!$B$18,
AND(E68=1,I68="""",H68="""",Q68=""No"",G68&gt;SUMIF(Info!$A$2:A94,C68,Info!$B$2:B94)*1."&amp;"5),
MIN(SUMIF(Info!$A$2:A94,C68,Info!$B$2:B94)*1.1,SUMIF(Info!$A$2:A94,C68,Info!$B$2:B94)*(1.15-(0.15*(SUMIF(Info!$A$2:A94,C68,Info!$B$2:B94)*1.5)/G68))),
AND(E68=1,I68="""",H68="""",Q68=""Yes"",G68&gt;SUMIF(Info!$A$2:A94,C68,Info!$C$2:C94)*1.5),
MIN(SUMIF(I"&amp;"nfo!$A$2:A94,C68,Info!$C$2:C94)*1.1,SUMIF(Info!$A$2:A94,C68,Info!$C$2:C94)*(1.15-(0.15*(SUMIF(Info!$A$2:A94,C68,Info!$C$2:C94)*1.5)/G68))),
Q68=""No"",SUMIF(Info!$A$2:A94,C68,Info!$B$2:B94),
Q68=""Yes"",SUMIF(Info!$A$2:A94,C68,Info!$C$2:C94))"),"")</f>
        <v/>
      </c>
      <c r="Z68" s="67" t="str">
        <f>IFS(OR(COUNTIF(Info!$A$22:A94,C68)&gt;0,C68=""),"",
AND(OR("3x3 FMC"=C68,"3x3 MBLD"=C68),I68&lt;&gt;""),1,
AND(OR(H68&lt;&gt;"",I68&lt;&gt;""),F68="Avg of 5"),2,
F68="Avg of 5",AA68,
AND(OR(H68&lt;&gt;"",I68&lt;&gt;""),F68="Mean of 3",C68="6x6 / 7x7"),2,
AND(OR(H68&lt;&gt;"",I68&lt;&gt;""),F68="Mean of 3"),1,
F68="Mean of 3",AA68,
AND(OR(H68&lt;&gt;"",I68&lt;&gt;""),F68="Best of 3",C68="4x4 / 5x5 BLD"),2,
AND(OR(H68&lt;&gt;"",I68&lt;&gt;""),F68="Best of 3"),1,
F68="Best of 2",AA68,
F68="Best of 1",AA68)</f>
        <v/>
      </c>
      <c r="AA68" s="67" t="str">
        <f>IFS(OR(COUNTIF(Info!$A$22:A94,C68)&gt;0,C68=""),"",
AND(OR("3x3 MBLD"=C68,"3x3 FMC"=C68),F68="Best of 1"=TRUE),1,
AND(OR("3x3 MBLD"=C68,"3x3 FMC"=C68),F68="Best of 2"=TRUE),2,
AND(OR("3x3 MBLD"=C68,"3x3 FMC"=C68),OR(F68="Best of 3",F68="Mean of 3")=TRUE),3,
AND(F68="Mean of 3",C68="6x6 / 7x7"),6,
AND(F68="Best of 3",C68="4x4 / 5x5 BLD"),6,
F68="Avg of 5",5,F68="Mean of 3",3,F68="Best of 3",3,F68="Best of 2",2,F68="Best of 1",1)</f>
        <v/>
      </c>
      <c r="AB68" s="69"/>
    </row>
    <row r="69" ht="15.75" customHeight="1">
      <c r="A69" s="62">
        <f>IFERROR(__xludf.DUMMYFUNCTION("IFS(indirect(""A""&amp;row()-1)=""Start"",TIME(indirect(""A""&amp;row()-2),indirect(""B""&amp;row()-2),0),
$O$2=""No"",TIME(0,($A$6*60+$B$6)+CEILING(SUM($L$7:indirect(""L""&amp;row()-1)),5),0),
D69=$E$2,TIME(0,($A$6*60+$B$6)+CEILING(SUM(IFERROR(FILTER($L$7:indirect(""L"""&amp;"&amp;row()-1),REGEXMATCH($D$7:indirect(""D""&amp;row()-1),$E$2)),0)),5),0),
TRUE,""=time(hh;mm;ss)"")"),0.3645833333333335)</f>
        <v>0.3645833333</v>
      </c>
      <c r="B69" s="63">
        <f>IFERROR(__xludf.DUMMYFUNCTION("IFS($O$2=""No"",TIME(0,($A$6*60+$B$6)+CEILING(SUM($L$7:indirect(""L""&amp;row())),5),0),
D69=$E$2,TIME(0,($A$6*60+$B$6)+CEILING(SUM(FILTER($L$7:indirect(""L""&amp;row()),REGEXMATCH($D$7:indirect(""D""&amp;row()),$E$2))),5),0),
A69=""=time(hh;mm;ss)"",CONCATENATE(""Sk"&amp;"riv tid i A""&amp;row()),
AND(A69&lt;&gt;"""",A69&lt;&gt;""=time(hh;mm;ss)""),A69+TIME(0,CEILING(indirect(""L""&amp;row()),5),0))"),0.3645833333333335)</f>
        <v>0.3645833333</v>
      </c>
      <c r="C69" s="37"/>
      <c r="D69" s="64" t="str">
        <f t="shared" si="7"/>
        <v>Stora salen</v>
      </c>
      <c r="E69" s="64" t="str">
        <f>IFERROR(__xludf.DUMMYFUNCTION("IFS(COUNTIF(Info!$A$22:A95,C69)&gt;0,"""",
AND(OR(""3x3 FMC""=C69,""3x3 MBLD""=C69),COUNTIF($C$7:indirect(""C""&amp;row()),indirect(""C""&amp;row()))&gt;=13),""E - Error"",
AND(OR(""3x3 FMC""=C69,""3x3 MBLD""=C69),COUNTIF($C$7:indirect(""C""&amp;row()),indirect(""C""&amp;row()"&amp;"))=12),""Final - A3"",
AND(OR(""3x3 FMC""=C69,""3x3 MBLD""=C69),COUNTIF($C$7:indirect(""C""&amp;row()),indirect(""C""&amp;row()))=11),""Final - A2"",
AND(OR(""3x3 FMC""=C69,""3x3 MBLD""=C69),COUNTIF($C$7:indirect(""C""&amp;row()),indirect(""C""&amp;row()))=10),""Final - "&amp;"A1"",
AND(OR(""3x3 FMC""=C69,""3x3 MBLD""=C69),COUNTIF($C$7:indirect(""C""&amp;row()),indirect(""C""&amp;row()))=9,
COUNTIF($C$7:$C$102,indirect(""C""&amp;row()))&gt;9),""R3 - A3"",
AND(OR(""3x3 FMC""=C69,""3x3 MBLD""=C69),COUNTIF($C$7:indirect(""C""&amp;row()),indirect(""C"&amp;"""&amp;row()))=9,
COUNTIF($C$7:$C$102,indirect(""C""&amp;row()))&lt;=9),""Final - A3"",
AND(OR(""3x3 FMC""=C69,""3x3 MBLD""=C69),COUNTIF($C$7:indirect(""C""&amp;row()),indirect(""C""&amp;row()))=8,
COUNTIF($C$7:$C$102,indirect(""C""&amp;row()))&gt;9),""R3 - A2"",
AND(OR(""3x3 FMC"&amp;"""=C69,""3x3 MBLD""=C69),COUNTIF($C$7:indirect(""C""&amp;row()),indirect(""C""&amp;row()))=8,
COUNTIF($C$7:$C$102,indirect(""C""&amp;row()))&lt;=9),""Final - A2"",
AND(OR(""3x3 FMC""=C69,""3x3 MBLD""=C69),COUNTIF($C$7:indirect(""C""&amp;row()),indirect(""C""&amp;row()))=7,
COUN"&amp;"TIF($C$7:$C$102,indirect(""C""&amp;row()))&gt;9),""R3 - A1"",
AND(OR(""3x3 FMC""=C69,""3x3 MBLD""=C69),COUNTIF($C$7:indirect(""C""&amp;row()),indirect(""C""&amp;row()))=7,
COUNTIF($C$7:$C$102,indirect(""C""&amp;row()))&lt;=9),""Final - A1"",
AND(OR(""3x3 FMC""=C69,""3x3 MBLD"""&amp;"=C69),COUNTIF($C$7:indirect(""C""&amp;row()),indirect(""C""&amp;row()))=6,
COUNTIF($C$7:$C$102,indirect(""C""&amp;row()))&gt;6),""R2 - A3"",
AND(OR(""3x3 FMC""=C69,""3x3 MBLD""=C69),COUNTIF($C$7:indirect(""C""&amp;row()),indirect(""C""&amp;row()))=6,
COUNTIF($C$7:$C$102,indirec"&amp;"t(""C""&amp;row()))&lt;=6),""Final - A3"",
AND(OR(""3x3 FMC""=C69,""3x3 MBLD""=C69),COUNTIF($C$7:indirect(""C""&amp;row()),indirect(""C""&amp;row()))=5,
COUNTIF($C$7:$C$102,indirect(""C""&amp;row()))&gt;6),""R2 - A2"",
AND(OR(""3x3 FMC""=C69,""3x3 MBLD""=C69),COUNTIF($C$7:indi"&amp;"rect(""C""&amp;row()),indirect(""C""&amp;row()))=5,
COUNTIF($C$7:$C$102,indirect(""C""&amp;row()))&lt;=6),""Final - A2"",
AND(OR(""3x3 FMC""=C69,""3x3 MBLD""=C69),COUNTIF($C$7:indirect(""C""&amp;row()),indirect(""C""&amp;row()))=4,
COUNTIF($C$7:$C$102,indirect(""C""&amp;row()))&gt;6),"&amp;"""R2 - A1"",
AND(OR(""3x3 FMC""=C69,""3x3 MBLD""=C69),COUNTIF($C$7:indirect(""C""&amp;row()),indirect(""C""&amp;row()))=4,
COUNTIF($C$7:$C$102,indirect(""C""&amp;row()))&lt;=6),""Final - A1"",
AND(OR(""3x3 FMC""=C69,""3x3 MBLD""=C69),COUNTIF($C$7:indirect(""C""&amp;row()),i"&amp;"ndirect(""C""&amp;row()))=3),""R1 - A3"",
AND(OR(""3x3 FMC""=C69,""3x3 MBLD""=C69),COUNTIF($C$7:indirect(""C""&amp;row()),indirect(""C""&amp;row()))=2),""R1 - A2"",
AND(OR(""3x3 FMC""=C69,""3x3 MBLD""=C69),COUNTIF($C$7:indirect(""C""&amp;row()),indirect(""C""&amp;row()))=1),"&amp;"""R1 -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95, Info!$A$2:A95 = C69),ROUNDUP((FILTER(Info!$H$2:H95,Info!$A$2:A95=C69)/FILTER(Info!$H$2:H95,Info!$A$2:A95=$K$2))*$I$2)&gt;99),3,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95, Info!$A$2:A95 = C69),ROUNDUP((FILTER(Info!$H$2:H95,Info!$A$2:A95=C69)/FILTER(Info!$H$2:H95,Info!$A$2:A95=$K$2))*$I$2)&gt;15),2,
AND(COUNTIF($C$7:indirect(""C""&amp;row()),indirect(""C""&amp;row()))=2,COUNTIF($C$7:$C$102,indirect(""C""&amp;row()))=COUNTIF($"&amp;"C$7:indirect(""C""&amp;row()),indirect(""C""&amp;row()))),""Final"",
COUNTIF($C$7:indirect(""C""&amp;row()),indirect(""C""&amp;row()))=1,1,
COUNTIF($C$7:indirect(""C""&amp;row()),indirect(""C""&amp;row()))=0,"""")"),"")</f>
        <v/>
      </c>
      <c r="F69" s="64" t="str">
        <f>IFERROR(__xludf.DUMMYFUNCTION("IFS(C69="""","""",
AND(C69=""3x3 FMC"",MOD(COUNTIF($C$7:indirect(""C""&amp;row()),indirect(""C""&amp;row())),3)=0),""Mean of 3"",
AND(C69=""3x3 MBLD"",MOD(COUNTIF($C$7:indirect(""C""&amp;row()),indirect(""C""&amp;row())),3)=0),""Best of 3"",
AND(C69=""3x3 FMC"",MOD(COUNT"&amp;"IF($C$7:indirect(""C""&amp;row()),indirect(""C""&amp;row())),3)=2,
COUNTIF($C$7:$C$102,indirect(""C""&amp;row()))&lt;=COUNTIF($C$7:indirect(""C""&amp;row()),indirect(""C""&amp;row()))),""Best of 2"",
AND(C69=""3x3 FMC"",MOD(COUNTIF($C$7:indirect(""C""&amp;row()),indirect(""C""&amp;row("&amp;"))),3)=2,
COUNTIF($C$7:$C$102,indirect(""C""&amp;row()))&gt;COUNTIF($C$7:indirect(""C""&amp;row()),indirect(""C""&amp;row()))),""Mean of 3"",
AND(C69=""3x3 MBLD"",MOD(COUNTIF($C$7:indirect(""C""&amp;row()),indirect(""C""&amp;row())),3)=2,
COUNTIF($C$7:$C$102,indirect(""C""&amp;row("&amp;")))&lt;=COUNTIF($C$7:indirect(""C""&amp;row()),indirect(""C""&amp;row()))),""Best of 2"",
AND(C69=""3x3 MBLD"",MOD(COUNTIF($C$7:indirect(""C""&amp;row()),indirect(""C""&amp;row())),3)=2,
COUNTIF($C$7:$C$102,indirect(""C""&amp;row()))&gt;COUNTIF($C$7:indirect(""C""&amp;row()),indirect("&amp;"""C""&amp;row()))),""Best of 3"",
AND(C69=""3x3 FMC"",MOD(COUNTIF($C$7:indirect(""C""&amp;row()),indirect(""C""&amp;row())),3)=1,
COUNTIF($C$7:$C$102,indirect(""C""&amp;row()))&lt;=COUNTIF($C$7:indirect(""C""&amp;row()),indirect(""C""&amp;row()))),""Best of 1"",
AND(C69=""3x3 FMC"""&amp;",MOD(COUNTIF($C$7:indirect(""C""&amp;row()),indirect(""C""&amp;row())),3)=1,
COUNTIF($C$7:$C$102,indirect(""C""&amp;row()))=COUNTIF($C$7:indirect(""C""&amp;row()),indirect(""C""&amp;row()))+1),""Best of 2"",
AND(C69=""3x3 FMC"",MOD(COUNTIF($C$7:indirect(""C""&amp;row()),indirect"&amp;"(""C""&amp;row())),3)=1,
COUNTIF($C$7:$C$102,indirect(""C""&amp;row()))&gt;COUNTIF($C$7:indirect(""C""&amp;row()),indirect(""C""&amp;row()))),""Mean of 3"",
AND(C69=""3x3 MBLD"",MOD(COUNTIF($C$7:indirect(""C""&amp;row()),indirect(""C""&amp;row())),3)=1,
COUNTIF($C$7:$C$102,indirect"&amp;"(""C""&amp;row()))&lt;=COUNTIF($C$7:indirect(""C""&amp;row()),indirect(""C""&amp;row()))),""Best of 1"",
AND(C69=""3x3 MBLD"",MOD(COUNTIF($C$7:indirect(""C""&amp;row()),indirect(""C""&amp;row())),3)=1,
COUNTIF($C$7:$C$102,indirect(""C""&amp;row()))=COUNTIF($C$7:indirect(""C""&amp;row()"&amp;"),indirect(""C""&amp;row()))+1),""Best of 2"",
AND(C69=""3x3 MBLD"",MOD(COUNTIF($C$7:indirect(""C""&amp;row()),indirect(""C""&amp;row())),3)=1,
COUNTIF($C$7:$C$102,indirect(""C""&amp;row()))&gt;COUNTIF($C$7:indirect(""C""&amp;row()),indirect(""C""&amp;row()))),""Best of 3"",
TRUE,("&amp;"IFERROR(FILTER(Info!$D$2:D95, Info!$A$2:A95 = C69), """")))"),"")</f>
        <v/>
      </c>
      <c r="G69" s="64" t="str">
        <f>IFERROR(__xludf.DUMMYFUNCTION("IFS(OR(COUNTIF(Info!$A$22:A95,C69)&gt;0,C69=""""),"""",
OR(""3x3 MBLD""=C69,""3x3 FMC""=C69),60,
AND(E69=1,FILTER(Info!$F$2:F95, Info!$A$2:A95 = C69) = ""No""),FILTER(Info!$P$2:P95, Info!$A$2:A95 = C69),
AND(E69=2,FILTER(Info!$F$2:F95, Info!$A$2:A95 = C69) ="&amp;" ""No""),FILTER(Info!$Q$2:Q95, Info!$A$2:A95 = C69),
AND(E69=3,FILTER(Info!$F$2:F95, Info!$A$2:A95 = C69) = ""No""),FILTER(Info!$R$2:R95, Info!$A$2:A95 = C69),
AND(E69=""Final"",FILTER(Info!$F$2:F95, Info!$A$2:A95 = C69) = ""No""),FILTER(Info!$S$2:S95, In"&amp;"fo!$A$2:A95 = C69),
FILTER(Info!$F$2:F95, Info!$A$2:A95 = C69) = ""Yes"","""")"),"")</f>
        <v/>
      </c>
      <c r="H69" s="64" t="str">
        <f>IFERROR(__xludf.DUMMYFUNCTION("IFS(OR(COUNTIF(Info!$A$22:A95,C69)&gt;0,C69=""""),"""",
OR(""3x3 MBLD""=C69,""3x3 FMC""=C69)=TRUE,"""",
FILTER(Info!$F$2:F95, Info!$A$2:A95 = C69) = ""Yes"",FILTER(Info!$O$2:O95, Info!$A$2:A95 = C69),
FILTER(Info!$F$2:F95, Info!$A$2:A95 = C69) = ""No"",IF(G6"&amp;"9="""",FILTER(Info!$O$2:O95, Info!$A$2:A95 = C69),""""))"),"")</f>
        <v/>
      </c>
      <c r="I69" s="64" t="str">
        <f>IFERROR(__xludf.DUMMYFUNCTION("IFS(OR(COUNTIF(Info!$A$22:A95,C69)&gt;0,C69="""",H69&lt;&gt;""""),"""",
AND(E69&lt;&gt;1,E69&lt;&gt;""R1 - A1"",E69&lt;&gt;""R1 - A2"",E69&lt;&gt;""R1 - A3""),"""",
FILTER(Info!$E$2:E95, Info!$A$2:A95 = C69) = ""Yes"",IF(H69="""",FILTER(Info!$L$2:L95, Info!$A$2:A95 = C69),""""),
FILTER(I"&amp;"nfo!$E$2:E95, Info!$A$2:A95 = C69) = ""No"","""")"),"")</f>
        <v/>
      </c>
      <c r="J69" s="64" t="str">
        <f>IFERROR(__xludf.DUMMYFUNCTION("IFS(OR(COUNTIF(Info!$A$22:A95,C69)&gt;0,C69="""",""3x3 MBLD""=C69,""3x3 FMC""=C69),"""",
AND(E69=1,FILTER(Info!$H$2:H95,Info!$A$2:A95 = C69)&lt;=FILTER(Info!$H$2:H95,Info!$A$2:A95=$K$2)),
ROUNDUP((FILTER(Info!$H$2:H95,Info!$A$2:A95 = C69)/FILTER(Info!$H$2:H95,I"&amp;"nfo!$A$2:A95=$K$2))*$I$2),
AND(E69=1,FILTER(Info!$H$2:H95,Info!$A$2:A95 = C69)&gt;FILTER(Info!$H$2:H95,Info!$A$2:A95=$K$2)),""K2 - Error"",
AND(E69=2,FILTER($J$7:indirect(""J""&amp;row()-1),$C$7:indirect(""C""&amp;row()-1)=C69)&lt;=7),""J - Error"",
E69=2,FLOOR(FILTER("&amp;"$J$7:indirect(""J""&amp;row()-1),$C$7:indirect(""C""&amp;row()-1)=C69)*Info!$T$32),
AND(E69=3,FILTER($J$7:indirect(""J""&amp;row()-1),$C$7:indirect(""C""&amp;row()-1)=C69)&lt;=15),""J - Error"",
E69=3,FLOOR(Info!$T$32*FLOOR(FILTER($J$7:indirect(""J""&amp;row()-1),$C$7:indirect("&amp;"""C""&amp;row()-1)=C69)*Info!$T$32)),
AND(E69=""Final"",COUNTIF($C$7:$C$102,C69)=2,FILTER($J$7:indirect(""J""&amp;row()-1),$C$7:indirect(""C""&amp;row()-1)=C69)&lt;=7),""J - Error"",
AND(E69=""Final"",COUNTIF($C$7:$C$102,C69)=2),
MIN(P69,FLOOR(FILTER($J$7:indirect(""J"""&amp;"&amp;row()-1),$C$7:indirect(""C""&amp;row()-1)=C69)*Info!$T$32)),
AND(E69=""Final"",COUNTIF($C$7:$C$102,C69)=3,FILTER($J$7:indirect(""J""&amp;row()-1),$C$7:indirect(""C""&amp;row()-1)=C69)&lt;=15),""J - Error"",
AND(E69=""Final"",COUNTIF($C$7:$C$102,C69)=3),
MIN(P69,FLOOR(I"&amp;"nfo!$T$32*FLOOR(FILTER($J$7:indirect(""J""&amp;row()-1),$C$7:indirect(""C""&amp;row()-1)=C69)*Info!$T$32))),
AND(E69=""Final"",COUNTIF($C$7:$C$102,C69)&gt;=4,FILTER($J$7:indirect(""J""&amp;row()-1),$C$7:indirect(""C""&amp;row()-1)=C69)&lt;=99),""J - Error"",
AND(E69=""Final"","&amp;"COUNTIF($C$7:$C$102,C69)&gt;=4),
MIN(P69,FLOOR(Info!$T$32*FLOOR(Info!$T$32*FLOOR(FILTER($J$7:indirect(""J""&amp;row()-1),$C$7:indirect(""C""&amp;row()-1)=C69)*Info!$T$32)))))"),"")</f>
        <v/>
      </c>
      <c r="K69" s="41" t="str">
        <f>IFERROR(__xludf.DUMMYFUNCTION("IFS(AND(indirect(""D""&amp;row()+2)&lt;&gt;$E$2,indirect(""D""&amp;row()+1)=""""),CONCATENATE(""Tom rad! Kopiera hela rad ""&amp;row()&amp;"" dit""),
AND(indirect(""D""&amp;row()-1)&lt;&gt;""Rum"",indirect(""D""&amp;row()-1)=""""),CONCATENATE(""Tom rad! Kopiera hela rad ""&amp;row()&amp;"" dit""),
"&amp;"C69="""","""",
COUNTIF(Info!$A$22:A95,$K$2)&gt;0,""Det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OR(AND(D69&lt;&gt;$E$2,D69&lt;&gt;$E$4,D69&lt;&gt;$K$4,D69&lt;&gt;$Q$4),D69="&amp;"""""),CONCATENATE(""Rum: ""&amp;D69&amp;"" finns ej, byt i D""&amp;row()),
AND(indirect(""D""&amp;row()-1)=""Rum"",C69=""""),CONCATENATE(""För att börja: skriv i cell C""&amp;row()),
AND(C69=""Paus"",M69&lt;=0),CONCATENATE(""Skriv pausens längd i M""&amp;row()),
OR(COUNTIF(Info!$A$"&amp;"22:A95,C69)&gt;0,C69=""""),"""",
AND(D69&lt;&gt;$E$2,$O$2=""Yes"",A69=""=time(hh;mm;ss)""),CONCATENATE(""Skriv starttid för ""&amp;C69&amp;"" i A""&amp;row()),
E69=""E - Error"",CONCATENATE(""För många ""&amp;C69&amp;"" rundor!""),
AND(C69&lt;&gt;""3x3 FMC"",C69&lt;&gt;""3x3 MBLD"",E69&lt;&gt;1,E69&lt;&gt;"&amp;"""Final"",IFERROR(FILTER($E$7:indirect(""E""&amp;row()-1),
$E$7:indirect(""E""&amp;row()-1)=E69-1,$C$7:indirect(""C""&amp;row()-1)=C69))=FALSE),CONCATENATE(""Kan ej vara R""&amp;E69&amp;"", saknar R""&amp;(E69-1)),
AND(indirect(""E""&amp;row()-1)&lt;&gt;""Omgång"",IFERROR(FILTER($E$7:indi"&amp;"rect(""E""&amp;row()-1),
$E$7:indirect(""E""&amp;row()-1)=E69,$C$7:indirect(""C""&amp;row()-1)=C69)=E69)=TRUE),CONCATENATE(""Runda ""&amp;E69&amp;"" i ""&amp;C69&amp;"" finns redan""),
AND(C69&lt;&gt;""3x3 BLD"",C69&lt;&gt;""4x4 BLD"",C69&lt;&gt;""5x5 BLD"",C69&lt;&gt;""4x4 / 5x5 BLD"",OR(E69=2,E69=3,E69="&amp;"""Final""),H69&lt;&gt;""""),CONCATENATE(E69&amp;""-rundor brukar ej ha c.t.l.""),
AND(OR(E69=2,E69=3,E69=""Final""),I69&lt;&gt;""""),CONCATENATE(E69&amp;""-rundor brukar ej ha cutoff""),
AND(OR(C69=""3x3 FMC"",C69=""3x3 MBLD""),OR(E69=1,E69=2,E69=3,E69=""Final"")),CONCATENAT"&amp;"E(C69&amp;""s omgång är Rx - Ax""),
AND(C69&lt;&gt;""3x3 MBLD"",C69&lt;&gt;""3x3 FMC"",FILTER(Info!$D$2:D95, Info!$A$2:A95 = C69)&lt;&gt;F69),CONCATENATE(C69&amp;"" måste ha formatet ""&amp;FILTER(Info!$D$2:D95, Info!$A$2:A95 = C69)),
AND(C69=""3x3 MBLD"",OR(F69=""Avg of 5"",F69=""Mea"&amp;"n of 3"")),CONCATENATE(""Ogiltigt format för ""&amp;C69),
AND(C69=""3x3 FMC"",OR(F69=""Avg of 5"",F69=""Best of 3"")),CONCATENATE(""Ogiltigt format för ""&amp;C69),
AND(OR(F69=""Best of 1"",F69=""Best of 2"",F69=""Best of 3""),I69&lt;&gt;""""),CONCATENATE(F69&amp;""-rundor"&amp;" får ej ha cutoff""),
AND(OR(C69=""3x3 FMC"",C69=""3x3 MBLD""),G69&lt;&gt;60),CONCATENATE(C69&amp;"" måste ha time limit: 60""),
AND(OR(C69=""3x3 FMC"",C69=""3x3 MBLD""),H69&lt;&gt;""""),CONCATENATE(C69&amp;"" kan inte ha c.t.l.""),
AND(G69&lt;&gt;"""",H69&lt;&gt;""""),""Välj time limit"&amp;" ELLER c.t.l"",
AND(C69=""6x6 / 7x7"",G69="""",H69=""""),""Sätt time limit (x / y) eller c.t.l (z)"",
AND(G69="""",H69=""""),""Sätt en time limit eller c.t.l"",
AND(OR(C69=""6x6 / 7x7"",C69=""4x4 / 5x5 BLD""),G69&lt;&gt;"""",REGEXMATCH(TO_TEXT(G69),"" / "")=FAL"&amp;"SE),CONCATENATE(""Time limit måste vara x / y""),
AND(H69&lt;&gt;"""",I69&lt;&gt;""""),CONCATENATE(C69&amp;"" brukar ej ha cutoff OCH c.t.l""),
AND(E69=1,H69="""",I69="""",OR(FILTER(Info!$E$2:E95, Info!$A$2:A95 = C69) = ""Yes"",FILTER(Info!$F$2:F95, Info!$A$2:A95 = C69) "&amp;"= ""Yes""),OR(F69=""Avg of 5"",F69=""Mean of 3"")),CONCATENATE(C69&amp;"" bör ha cutoff eller c.t.l""),
AND(C69=""6x6 / 7x7"",I69&lt;&gt;"""",REGEXMATCH(TO_TEXT(I69),"" / "")=FALSE),CONCATENATE(""Cutoff måste vara x / y""),
AND(H69&lt;&gt;"""",ISNUMBER(H69)=FALSE),""C.t."&amp;"l. måste vara positivt tal (x)"",
AND(C69&lt;&gt;""6x6 / 7x7"",I69&lt;&gt;"""",ISNUMBER(I69)=FALSE),""Cutoff måste vara positivt tal (x)"",
AND(H69&lt;&gt;"""",FILTER(Info!$E$2:E95, Info!$A$2:A95 = C69) = ""No"",FILTER(Info!$F$2:F95, Info!$A$2:A95 = C69) = ""No""),CONCATEN"&amp;"ATE(C69&amp;"" brukar inte ha c.t.l.""),
AND(I69&lt;&gt;"""",FILTER(Info!$E$2:E95, Info!$A$2:A95 = C69) = ""No"",FILTER(Info!$F$2:F95, Info!$A$2:A95 = C69) = ""No""),CONCATENATE(C69&amp;"" brukar inte ha cutoff""),
AND(H69="""",FILTER(Info!$F$2:F95, Info!$A$2:A95 = C69"&amp;") = ""Yes""),CONCATENATE(C69&amp;"" brukar ha c.t.l.""),
AND(C69&lt;&gt;""6x6 / 7x7"",C69&lt;&gt;""4x4 / 5x5 BLD"",G69&lt;&gt;"""",ISNUMBER(G69)=FALSE),""Time limit måste vara positivt tal (x)"",
J69=""J - Error"",CONCATENATE(""För få deltagare i R1 för ""&amp;COUNTIF($C$7:$C$102,"&amp;"indirect(""C""&amp;row()))&amp;"" rundor""),
J69=""K2 - Error"",CONCATENATE(C69&amp;"" är mer populär - byt i K2!""),
AND(C69&lt;&gt;""6x6 / 7x7"",C69&lt;&gt;""4x4 / 5x5 BLD"",G69&lt;&gt;"""",I69&lt;&gt;"""",G69&lt;=I69),""Time limit måste vara &gt; cutoff"",
AND(C69&lt;&gt;""6x6 / 7x7"",C69&lt;&gt;""4x4 / 5"&amp;"x5 BLD"",H69&lt;&gt;"""",I69&lt;&gt;"""",H69&lt;=I69),""C.t.l. måste vara &gt; cutoff"",
AND(C69&lt;&gt;""3x3 FMC"",C69&lt;&gt;""3x3 MBLD"",J69=""""),CONCATENATE(""Fyll i antal deltagare i J""&amp;row()),
AND(C69="""",OR(E69&lt;&gt;"""",F69&lt;&gt;"""",G69&lt;&gt;"""",H69&lt;&gt;"""",I69&lt;&gt;"""",J69&lt;&gt;"""")),""Skri"&amp;"v ALLTID gren / aktivitet först"",
AND(I69="""",H69="""",J69&lt;&gt;""""),J69,
OR(""3x3 FMC""=C69,""3x3 MBLD""=C69),J69,
AND(I69&lt;&gt;"""",""6x6 / 7x7""=C69),
IFS(ArrayFormula(SUM(IFERROR(SPLIT(I69,"" / ""))))&lt;(Info!$J$6+Info!$J$7)*2/3,CONCATENATE(""Höj helst cutof"&amp;"fs i ""&amp;C69),
ArrayFormula(SUM(IFERROR(SPLIT(I69,"" / ""))))&lt;=(Info!$J$6+Info!$J$7),ROUNDUP(J69*Info!$J$22),
ArrayFormula(SUM(IFERROR(SPLIT(I69,"" / ""))))&lt;=Info!$J$6+Info!$J$7,ROUNDUP(J69*Info!$K$22),
ArrayFormula(SUM(IFERROR(SPLIT(I69,"" / ""))))&lt;=Info!"&amp;"$K$6+Info!$K$7,ROUNDUP(J69*Info!L$22),
ArrayFormula(SUM(IFERROR(SPLIT(I69,"" / ""))))&lt;=Info!$L$6+Info!$L$7,ROUNDUP(J69*Info!$M$22),
ArrayFormula(SUM(IFERROR(SPLIT(I69,"" / ""))))&lt;=Info!$M$6+Info!$M$7,ROUNDUP(J69*Info!$N$22),
ArrayFormula(SUM(IFERROR(SPLIT"&amp;"(I69,"" / ""))))&lt;=(Info!$N$6+Info!$N$7)*3/2,ROUNDUP(J69*Info!$J$26),
ArrayFormula(SUM(IFERROR(SPLIT(I69,"" / ""))))&gt;(Info!$N$6+Info!$N$7)*3/2,CONCATENATE(""Sänk helst cutoffs i ""&amp;C69)),
AND(I69&lt;&gt;"""",FILTER(Info!$E$2:E95, Info!$A$2:A95 = C69) = ""Yes""),"&amp;"
IFS(I69&lt;FILTER(Info!$J$2:J95, Info!$A$2:A95 = C69)*2/3,CONCATENATE(""Höj helst cutoff i ""&amp;C69),
I69&lt;=FILTER(Info!$J$2:J95, Info!$A$2:A95 = C69),ROUNDUP(J69*Info!$J$22),
I69&lt;=FILTER(Info!$K$2:K95, Info!$A$2:A95 = C69),ROUNDUP(J69*Info!$K$22),
I69&lt;=FILTER"&amp;"(Info!$L$2:L95, Info!$A$2:A95 = C69),ROUNDUP(J69*Info!L$22),
I69&lt;=FILTER(Info!$M$2:M95, Info!$A$2:A95 = C69),ROUNDUP(J69*Info!$M$22),
I69&lt;=FILTER(Info!$N$2:N95, Info!$A$2:A95 = C69),ROUNDUP(J69*Info!$N$22),
I69&lt;=FILTER(Info!$N$2:N95, Info!$A$2:A95 = C69)*"&amp;"3/2,ROUNDUP(J69*Info!$J$26),
I69&gt;FILTER(Info!$N$2:N95, Info!$A$2:A95 = C69)*3/2,CONCATENATE(""Sänk helst cutoff i ""&amp;C69)),
AND(H69&lt;&gt;"""",""6x6 / 7x7""=C69),
IFS(H69/3&lt;=(Info!$J$6+Info!$J$7)*2/3,""Höj helst cumulative time limit"",
H69/3&lt;=Info!$J$6+Info!$"&amp;"J$7,ROUNDUP(J69*Info!$J$24),
H69/3&lt;=Info!$K$6+Info!$K$7,ROUNDUP(J69*Info!$K$24),
H69/3&lt;=Info!$L$6+Info!$L$7,ROUNDUP(J69*Info!L$24),
H69/3&lt;=Info!$M$6+Info!$M$7,ROUNDUP(J69*Info!$M$24),
H69/3&lt;=Info!$N$6+Info!$N$7,ROUNDUP(J69*Info!$N$24),
H69/3&lt;=(Info!$N$6+I"&amp;"nfo!$N$7)*3/2,ROUNDUP(J69*Info!$L$26),
H69/3&gt;(Info!$J$6+Info!$J$7)*3/2,""Sänk helst cumulative time limit""),
AND(H69&lt;&gt;"""",FILTER(Info!$F$2:F95, Info!$A$2:A95 = C69) = ""Yes""),
IFS(H69&lt;=FILTER(Info!$J$2:J95, Info!$A$2:A95 = C69)*2/3,CONCATENATE(""Höj he"&amp;"lst c.t.l. i ""&amp;C69),
H69&lt;=FILTER(Info!$J$2:J95, Info!$A$2:A95 = C69),ROUNDUP(J69*Info!$J$24),
H69&lt;=FILTER(Info!$K$2:K95, Info!$A$2:A95 = C69),ROUNDUP(J69*Info!$K$24),
H69&lt;=FILTER(Info!$L$2:L95, Info!$A$2:A95 = C69),ROUNDUP(J69*Info!L$24),
H69&lt;=FILTER(Inf"&amp;"o!$M$2:M95, Info!$A$2:A95 = C69),ROUNDUP(J69*Info!$M$24),
H69&lt;=FILTER(Info!$N$2:N95, Info!$A$2:A95 = C69),ROUNDUP(J69*Info!$N$24),
H69&lt;=FILTER(Info!$N$2:N95, Info!$A$2:A95 = C69)*3/2,ROUNDUP(J69*Info!$L$26),
H69&gt;FILTER(Info!$N$2:N95, Info!$A$2:A95 = C69)*"&amp;"3/2,CONCATENATE(""Sänk helst c.t.l. i ""&amp;C69)),
AND(H69&lt;&gt;"""",FILTER(Info!$F$2:F95, Info!$A$2:A95 = C69) = ""No""),
IFS(H69/AA69&lt;=FILTER(Info!$J$2:J95, Info!$A$2:A95 = C69)*2/3,CONCATENATE(""Höj helst c.t.l. i ""&amp;C69),
H69/AA69&lt;=FILTER(Info!$J$2:J95, Info"&amp;"!$A$2:A95 = C69),ROUNDUP(J69*Info!$J$24),
H69/AA69&lt;=FILTER(Info!$K$2:K95, Info!$A$2:A95 = C69),ROUNDUP(J69*Info!$K$24),
H69/AA69&lt;=FILTER(Info!$L$2:L95, Info!$A$2:A95 = C69),ROUNDUP(J69*Info!L$24),
H69/AA69&lt;=FILTER(Info!$M$2:M95, Info!$A$2:A95 = C69),ROUND"&amp;"UP(J69*Info!$M$24),
H69/AA69&lt;=FILTER(Info!$N$2:N95, Info!$A$2:A95 = C69),ROUNDUP(J69*Info!$N$24),
H69/AA69&lt;=FILTER(Info!$N$2:N95, Info!$A$2:A95 = C69)*3/2,ROUNDUP(J69*Info!$L$26),
H69/AA69&gt;FILTER(Info!$N$2:N95, Info!$A$2:A95 = C69)*3/2,CONCATENATE(""Sänk "&amp;"helst c.t.l. i ""&amp;C69)),
AND(I69="""",H69&lt;&gt;"""",J69&lt;&gt;""""),ROUNDUP(J69*Info!$T$29),
AND(I69&lt;&gt;"""",H69="""",J69&lt;&gt;""""),ROUNDUP(J69*Info!$T$26))"),"")</f>
        <v/>
      </c>
      <c r="L69" s="42">
        <f>IFERROR(__xludf.DUMMYFUNCTION("IFS(C69="""",0,
C69=""3x3 FMC"",Info!$B$9*N69+M69, C69=""3x3 MBLD"",Info!$B$18*N69+M69,
COUNTIF(Info!$A$22:A95,C69)&gt;0,FILTER(Info!$B$22:B95,Info!$A$22:A95=C69)+M69,
AND(C69&lt;&gt;"""",E69=""""),CONCATENATE(""Fyll i E""&amp;row()),
AND(C69&lt;&gt;"""",E69&lt;&gt;"""",E69&lt;&gt;1,E6"&amp;"9&lt;&gt;2,E69&lt;&gt;3,E69&lt;&gt;""Final""),CONCATENATE(""Fel format på E""&amp;row()),
K69=CONCATENATE(""Runda ""&amp;E69&amp;"" i ""&amp;C69&amp;"" finns redan""),CONCATENATE(""Fel i E""&amp;row()),
AND(C69&lt;&gt;"""",F69=""""),CONCATENATE(""Fyll i F""&amp;row()),
K69=CONCATENATE(C69&amp;"" måste ha forma"&amp;"tet ""&amp;FILTER(Info!$D$2:D95, Info!$A$2:A95 = C69)),CONCATENATE(""Fel format på F""&amp;row()),
AND(C69&lt;&gt;"""",D69=1,H69="""",FILTER(Info!$F$2:F95, Info!$A$2:A95 = C69) = ""Yes""),CONCATENATE(""Fyll i H""&amp;row()),
AND(C69&lt;&gt;"""",D69=1,I69="""",FILTER(Info!$E$2:E9"&amp;"5, Info!$A$2:A95 = C69) = ""Yes""),CONCATENATE(""Fyll i I""&amp;row()),
AND(C69&lt;&gt;"""",J69=""""),CONCATENATE(""Fyll i J""&amp;row()),
AND(C69&lt;&gt;"""",K69="""",OR(H69&lt;&gt;"""",I69&lt;&gt;"""")),CONCATENATE(""Fyll i K""&amp;row()),
AND(C69&lt;&gt;"""",K69=""""),CONCATENATE(""Skriv samma"&amp;" i K""&amp;row()&amp;"" som i J""&amp;row()),
AND(OR(C69=""4x4 BLD"",C69=""5x5 BLD"",C69=""4x4 / 5x5 BLD"")=TRUE,V69&lt;=P69),
MROUND(H69*(Info!$T$20-((Info!$T$20-1)/2)*(1-V69/P69))*(1+((J69/K69)-1)*(1-Info!$J$24))*N69+(Info!$T$11/2)+(N69*Info!$T$11)+(N69*Info!$T$14*(O6"&amp;"9-1)),0.01)+M69,
AND(OR(C69=""4x4 BLD"",C69=""5x5 BLD"",C69=""4x4 / 5x5 BLD"")=TRUE,V69&gt;P69),
MROUND((((J69*Z69+K69*(AA69-Z69))*(H69*Info!$T$20/AA69))/X69)*(1+((J69/K69)-1)*(1-Info!$J$24))*(1+(X69-Info!$T$8)/100)+(Info!$T$11/2)+(N69*Info!$T$11)+(N69*Info!"&amp;"$T$14*(O69-1)),0.01)+M69,
AND(C69=""3x3 BLD"",V69&lt;=P69),
MROUND(H69*(Info!$T$23-((Info!$T$23-1)/2)*(1-V69/P69))*(1+((J69/K69)-1)*(1-Info!$J$24))*N69+(Info!$T$11/2)+(N69*Info!$T$11)+(N69*Info!$T$14*(O69-1)),0.01)+M69,
AND(C69=""3x3 BLD"",V69&gt;P69),
MROUND(("&amp;"((J69*Z69+K69*(AA69-Z69))*(H69*Info!$T$23/AA69))/X69)*(1+((J69/K69)-1)*(1-Info!$J$24))*(1+(X69-Info!$T$8)/100)+(Info!$T$11/2)+(N69*Info!$T$11)+(N69*Info!$T$14*(O69-1)),0.01)+M69,
E69=1,MROUND((((J69*Z69+K69*(AA69-Z69))*Y69)/X69)*(1+(X69-Info!$T$8)/100)+(N"&amp;"69*Info!$T$11)+(N69*Info!$T$14*(O69-1)),0.01)+M69,
AND(E69=""Final"",N69=1,FILTER(Info!$G$2:$G$20,Info!$A$2:$A$20=C69)=""Mycket svår""),
MROUND((((J69*Z69+K69*(AA69-Z69))*(Y69*Info!$T$38))/X69)*(1+(X69-Info!$T$8)/100)+(N69*Info!$T$11)+(N69*Info!$T$14*(O69"&amp;"-1)),0.01)+M69,
AND(E69=""Final"",N69=1,FILTER(Info!$G$2:$G$20,Info!$A$2:$A$20=C69)=""Svår""),
MROUND((((J69*Z69+K69*(AA69-Z69))*(Y69*Info!$T$35))/X69)*(1+(X69-Info!$T$8)/100)+(N69*Info!$T$11)+(N69*Info!$T$14*(O69-1)),0.01)+M69,
E69=""Final"",MROUND((((J6"&amp;"9*Z69+K69*(AA69-Z69))*(Y69*Info!$T$5))/X69)*(1+(X69-Info!$T$8)/100)+(N69*Info!$T$11)+(N69*Info!$T$14*(O69-1)),0.01)+M69,
OR(E69=2,E69=3),MROUND((((J69*Z69+K69*(AA69-Z69))*(Y69*Info!$T$2))/X69)*(1+(X69-Info!$T$8)/100)+(N69*Info!$T$11)+(N69*Info!$T$14*(O69-"&amp;"1)),0.01)+M69)"),0.0)</f>
        <v>0</v>
      </c>
      <c r="M69" s="43">
        <f t="shared" si="6"/>
        <v>0</v>
      </c>
      <c r="N69" s="43" t="str">
        <f>IFS(OR(COUNTIF(Info!$A$22:A95,C69)&gt;0,C69=""),"",
OR(C69="4x4 BLD",C69="5x5 BLD",C69="3x3 MBLD",C69="3x3 FMC",C69="4x4 / 5x5 BLD"),1,
AND(E69="Final",Q69="Yes",MAX(1,ROUNDUP(J69/P69))&gt;1),MAX(2,ROUNDUP(J69/P69)),
AND(E69="Final",Q69="No",MAX(1,ROUNDUP(J69/((P69*2)+2.625-Y69*1.5)))&gt;1),MAX(2,ROUNDUP(J69/((P69*2)+2.625-Y69*1.5))),
E69="Final",1,
Q69="Yes",MAX(2,ROUNDUP(J69/P69)),
TRUE,MAX(2,ROUNDUP(J69/((P69*2)+2.625-Y69*1.5))))</f>
        <v/>
      </c>
      <c r="O69" s="43" t="str">
        <f>IFS(OR(COUNTIF(Info!$A$22:A95,C69)&gt;0,C69=""),"",
OR("3x3 MBLD"=C69,"3x3 FMC"=C69)=TRUE,"",
D69=$E$4,$G$6,D69=$K$4,$M$6,D69=$Q$4,$S$6,D69=$W$4,$Y$6,
TRUE,$S$2)</f>
        <v/>
      </c>
      <c r="P69" s="43" t="str">
        <f>IFS(OR(COUNTIF(Info!$A$22:A95,C69)&gt;0,C69=""),"",
OR("3x3 MBLD"=C69,"3x3 FMC"=C69)=TRUE,"",
D69=$E$4,$E$6,D69=$K$4,$K$6,D69=$Q$4,$Q$6,D69=$W$4,$W$6,
TRUE,$Q$2)</f>
        <v/>
      </c>
      <c r="Q69" s="44" t="str">
        <f>IFS(OR(COUNTIF(Info!$A$22:A95,C69)&gt;0,C69=""),"",
OR("3x3 MBLD"=C69,"3x3 FMC"=C69)=TRUE,"",
D69=$E$4,$I$6,D69=$K$4,$O$6,D69=$Q$4,$U$6,D69=$W$4,$AA$6,
TRUE,$U$2)</f>
        <v/>
      </c>
      <c r="R69" s="65" t="str">
        <f>IFERROR(__xludf.DUMMYFUNCTION("IF(C69="""","""",IFERROR(FILTER(Info!$B$22:B95,Info!$A$22:A95=C69)+M69,""?""))"),"")</f>
        <v/>
      </c>
      <c r="S69" s="66" t="str">
        <f>IFS(OR(COUNTIF(Info!$A$22:A95,C69)&gt;0,C69=""),"",
AND(H69="",I69=""),J69,
TRUE,"?")</f>
        <v/>
      </c>
      <c r="T69" s="65" t="str">
        <f>IFS(OR(COUNTIF(Info!$A$22:A95,C69)&gt;0,C69=""),"",
AND(L69&lt;&gt;0,OR(R69="?",R69="")),"Fyll i R-kolumnen",
OR(C69="3x3 FMC",C69="3x3 MBLD"),R69,
AND(L69&lt;&gt;0,OR(S69="?",S69="")),"Fyll i S-kolumnen",
OR(COUNTIF(Info!$A$22:A95,C69)&gt;0,C69=""),"",
TRUE,Y69*R69/L69)</f>
        <v/>
      </c>
      <c r="U69" s="65"/>
      <c r="V69" s="67" t="str">
        <f>IFS(OR(COUNTIF(Info!$A$22:A95,C69)&gt;0,C69=""),"",
OR("3x3 MBLD"=C69,"3x3 FMC"=C69)=TRUE,"",
TRUE,MROUND((J69/N69),0.01))</f>
        <v/>
      </c>
      <c r="W69" s="68" t="str">
        <f>IFS(OR(COUNTIF(Info!$A$22:A95,C69)&gt;0,C69=""),"",
TRUE,L69/N69)</f>
        <v/>
      </c>
      <c r="X69" s="67" t="str">
        <f>IFS(OR(COUNTIF(Info!$A$22:A95,C69)&gt;0,C69=""),"",
OR("3x3 MBLD"=C69,"3x3 FMC"=C69)=TRUE,"",
OR(C69="4x4 BLD",C69="5x5 BLD",C69="4x4 / 5x5 BLD",AND(C69="3x3 BLD",H69&lt;&gt;""))=TRUE,MIN(V69,P69),
TRUE,MIN(P69,V69,MROUND(((V69*2/3)+((Y69-1.625)/2)),0.01)))</f>
        <v/>
      </c>
      <c r="Y69" s="68" t="str">
        <f>IFERROR(__xludf.DUMMYFUNCTION("IFS(OR(COUNTIF(Info!$A$22:A95,C69)&gt;0,C69=""""),"""",
FILTER(Info!$F$2:F95, Info!$A$2:A95 = C69) = ""Yes"",H69/AA69,
""3x3 FMC""=C69,Info!$B$9,""3x3 MBLD""=C69,Info!$B$18,
AND(E69=1,I69="""",H69="""",Q69=""No"",G69&gt;SUMIF(Info!$A$2:A95,C69,Info!$B$2:B95)*1."&amp;"5),
MIN(SUMIF(Info!$A$2:A95,C69,Info!$B$2:B95)*1.1,SUMIF(Info!$A$2:A95,C69,Info!$B$2:B95)*(1.15-(0.15*(SUMIF(Info!$A$2:A95,C69,Info!$B$2:B95)*1.5)/G69))),
AND(E69=1,I69="""",H69="""",Q69=""Yes"",G69&gt;SUMIF(Info!$A$2:A95,C69,Info!$C$2:C95)*1.5),
MIN(SUMIF(I"&amp;"nfo!$A$2:A95,C69,Info!$C$2:C95)*1.1,SUMIF(Info!$A$2:A95,C69,Info!$C$2:C95)*(1.15-(0.15*(SUMIF(Info!$A$2:A95,C69,Info!$C$2:C95)*1.5)/G69))),
Q69=""No"",SUMIF(Info!$A$2:A95,C69,Info!$B$2:B95),
Q69=""Yes"",SUMIF(Info!$A$2:A95,C69,Info!$C$2:C95))"),"")</f>
        <v/>
      </c>
      <c r="Z69" s="67" t="str">
        <f>IFS(OR(COUNTIF(Info!$A$22:A95,C69)&gt;0,C69=""),"",
AND(OR("3x3 FMC"=C69,"3x3 MBLD"=C69),I69&lt;&gt;""),1,
AND(OR(H69&lt;&gt;"",I69&lt;&gt;""),F69="Avg of 5"),2,
F69="Avg of 5",AA69,
AND(OR(H69&lt;&gt;"",I69&lt;&gt;""),F69="Mean of 3",C69="6x6 / 7x7"),2,
AND(OR(H69&lt;&gt;"",I69&lt;&gt;""),F69="Mean of 3"),1,
F69="Mean of 3",AA69,
AND(OR(H69&lt;&gt;"",I69&lt;&gt;""),F69="Best of 3",C69="4x4 / 5x5 BLD"),2,
AND(OR(H69&lt;&gt;"",I69&lt;&gt;""),F69="Best of 3"),1,
F69="Best of 2",AA69,
F69="Best of 1",AA69)</f>
        <v/>
      </c>
      <c r="AA69" s="67" t="str">
        <f>IFS(OR(COUNTIF(Info!$A$22:A95,C69)&gt;0,C69=""),"",
AND(OR("3x3 MBLD"=C69,"3x3 FMC"=C69),F69="Best of 1"=TRUE),1,
AND(OR("3x3 MBLD"=C69,"3x3 FMC"=C69),F69="Best of 2"=TRUE),2,
AND(OR("3x3 MBLD"=C69,"3x3 FMC"=C69),OR(F69="Best of 3",F69="Mean of 3")=TRUE),3,
AND(F69="Mean of 3",C69="6x6 / 7x7"),6,
AND(F69="Best of 3",C69="4x4 / 5x5 BLD"),6,
F69="Avg of 5",5,F69="Mean of 3",3,F69="Best of 3",3,F69="Best of 2",2,F69="Best of 1",1)</f>
        <v/>
      </c>
      <c r="AB69" s="69"/>
    </row>
    <row r="70" ht="15.75" customHeight="1">
      <c r="A70" s="62">
        <f>IFERROR(__xludf.DUMMYFUNCTION("IFS(indirect(""A""&amp;row()-1)=""Start"",TIME(indirect(""A""&amp;row()-2),indirect(""B""&amp;row()-2),0),
$O$2=""No"",TIME(0,($A$6*60+$B$6)+CEILING(SUM($L$7:indirect(""L""&amp;row()-1)),5),0),
D70=$E$2,TIME(0,($A$6*60+$B$6)+CEILING(SUM(IFERROR(FILTER($L$7:indirect(""L"""&amp;"&amp;row()-1),REGEXMATCH($D$7:indirect(""D""&amp;row()-1),$E$2)),0)),5),0),
TRUE,""=time(hh;mm;ss)"")"),0.3645833333333335)</f>
        <v>0.3645833333</v>
      </c>
      <c r="B70" s="63">
        <f>IFERROR(__xludf.DUMMYFUNCTION("IFS($O$2=""No"",TIME(0,($A$6*60+$B$6)+CEILING(SUM($L$7:indirect(""L""&amp;row())),5),0),
D70=$E$2,TIME(0,($A$6*60+$B$6)+CEILING(SUM(FILTER($L$7:indirect(""L""&amp;row()),REGEXMATCH($D$7:indirect(""D""&amp;row()),$E$2))),5),0),
A70=""=time(hh;mm;ss)"",CONCATENATE(""Sk"&amp;"riv tid i A""&amp;row()),
AND(A70&lt;&gt;"""",A70&lt;&gt;""=time(hh;mm;ss)""),A70+TIME(0,CEILING(indirect(""L""&amp;row()),5),0))"),0.3645833333333335)</f>
        <v>0.3645833333</v>
      </c>
      <c r="C70" s="37"/>
      <c r="D70" s="64" t="str">
        <f t="shared" si="7"/>
        <v>Stora salen</v>
      </c>
      <c r="E70" s="64" t="str">
        <f>IFERROR(__xludf.DUMMYFUNCTION("IFS(COUNTIF(Info!$A$22:A96,C70)&gt;0,"""",
AND(OR(""3x3 FMC""=C70,""3x3 MBLD""=C70),COUNTIF($C$7:indirect(""C""&amp;row()),indirect(""C""&amp;row()))&gt;=13),""E - Error"",
AND(OR(""3x3 FMC""=C70,""3x3 MBLD""=C70),COUNTIF($C$7:indirect(""C""&amp;row()),indirect(""C""&amp;row()"&amp;"))=12),""Final - A3"",
AND(OR(""3x3 FMC""=C70,""3x3 MBLD""=C70),COUNTIF($C$7:indirect(""C""&amp;row()),indirect(""C""&amp;row()))=11),""Final - A2"",
AND(OR(""3x3 FMC""=C70,""3x3 MBLD""=C70),COUNTIF($C$7:indirect(""C""&amp;row()),indirect(""C""&amp;row()))=10),""Final - "&amp;"A1"",
AND(OR(""3x3 FMC""=C70,""3x3 MBLD""=C70),COUNTIF($C$7:indirect(""C""&amp;row()),indirect(""C""&amp;row()))=9,
COUNTIF($C$7:$C$102,indirect(""C""&amp;row()))&gt;9),""R3 - A3"",
AND(OR(""3x3 FMC""=C70,""3x3 MBLD""=C70),COUNTIF($C$7:indirect(""C""&amp;row()),indirect(""C"&amp;"""&amp;row()))=9,
COUNTIF($C$7:$C$102,indirect(""C""&amp;row()))&lt;=9),""Final - A3"",
AND(OR(""3x3 FMC""=C70,""3x3 MBLD""=C70),COUNTIF($C$7:indirect(""C""&amp;row()),indirect(""C""&amp;row()))=8,
COUNTIF($C$7:$C$102,indirect(""C""&amp;row()))&gt;9),""R3 - A2"",
AND(OR(""3x3 FMC"&amp;"""=C70,""3x3 MBLD""=C70),COUNTIF($C$7:indirect(""C""&amp;row()),indirect(""C""&amp;row()))=8,
COUNTIF($C$7:$C$102,indirect(""C""&amp;row()))&lt;=9),""Final - A2"",
AND(OR(""3x3 FMC""=C70,""3x3 MBLD""=C70),COUNTIF($C$7:indirect(""C""&amp;row()),indirect(""C""&amp;row()))=7,
COUN"&amp;"TIF($C$7:$C$102,indirect(""C""&amp;row()))&gt;9),""R3 - A1"",
AND(OR(""3x3 FMC""=C70,""3x3 MBLD""=C70),COUNTIF($C$7:indirect(""C""&amp;row()),indirect(""C""&amp;row()))=7,
COUNTIF($C$7:$C$102,indirect(""C""&amp;row()))&lt;=9),""Final - A1"",
AND(OR(""3x3 FMC""=C70,""3x3 MBLD"""&amp;"=C70),COUNTIF($C$7:indirect(""C""&amp;row()),indirect(""C""&amp;row()))=6,
COUNTIF($C$7:$C$102,indirect(""C""&amp;row()))&gt;6),""R2 - A3"",
AND(OR(""3x3 FMC""=C70,""3x3 MBLD""=C70),COUNTIF($C$7:indirect(""C""&amp;row()),indirect(""C""&amp;row()))=6,
COUNTIF($C$7:$C$102,indirec"&amp;"t(""C""&amp;row()))&lt;=6),""Final - A3"",
AND(OR(""3x3 FMC""=C70,""3x3 MBLD""=C70),COUNTIF($C$7:indirect(""C""&amp;row()),indirect(""C""&amp;row()))=5,
COUNTIF($C$7:$C$102,indirect(""C""&amp;row()))&gt;6),""R2 - A2"",
AND(OR(""3x3 FMC""=C70,""3x3 MBLD""=C70),COUNTIF($C$7:indi"&amp;"rect(""C""&amp;row()),indirect(""C""&amp;row()))=5,
COUNTIF($C$7:$C$102,indirect(""C""&amp;row()))&lt;=6),""Final - A2"",
AND(OR(""3x3 FMC""=C70,""3x3 MBLD""=C70),COUNTIF($C$7:indirect(""C""&amp;row()),indirect(""C""&amp;row()))=4,
COUNTIF($C$7:$C$102,indirect(""C""&amp;row()))&gt;6),"&amp;"""R2 - A1"",
AND(OR(""3x3 FMC""=C70,""3x3 MBLD""=C70),COUNTIF($C$7:indirect(""C""&amp;row()),indirect(""C""&amp;row()))=4,
COUNTIF($C$7:$C$102,indirect(""C""&amp;row()))&lt;=6),""Final - A1"",
AND(OR(""3x3 FMC""=C70,""3x3 MBLD""=C70),COUNTIF($C$7:indirect(""C""&amp;row()),i"&amp;"ndirect(""C""&amp;row()))=3),""R1 - A3"",
AND(OR(""3x3 FMC""=C70,""3x3 MBLD""=C70),COUNTIF($C$7:indirect(""C""&amp;row()),indirect(""C""&amp;row()))=2),""R1 - A2"",
AND(OR(""3x3 FMC""=C70,""3x3 MBLD""=C70),COUNTIF($C$7:indirect(""C""&amp;row()),indirect(""C""&amp;row()))=1),"&amp;"""R1 -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96, Info!$A$2:A96 = C70),ROUNDUP((FILTER(Info!$H$2:H96,Info!$A$2:A96=C70)/FILTER(Info!$H$2:H96,Info!$A$2:A96=$K$2))*$I$2)&gt;99),3,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96, Info!$A$2:A96 = C70),ROUNDUP((FILTER(Info!$H$2:H96,Info!$A$2:A96=C70)/FILTER(Info!$H$2:H96,Info!$A$2:A96=$K$2))*$I$2)&gt;15),2,
AND(COUNTIF($C$7:indirect(""C""&amp;row()),indirect(""C""&amp;row()))=2,COUNTIF($C$7:$C$102,indirect(""C""&amp;row()))=COUNTIF($"&amp;"C$7:indirect(""C""&amp;row()),indirect(""C""&amp;row()))),""Final"",
COUNTIF($C$7:indirect(""C""&amp;row()),indirect(""C""&amp;row()))=1,1,
COUNTIF($C$7:indirect(""C""&amp;row()),indirect(""C""&amp;row()))=0,"""")"),"")</f>
        <v/>
      </c>
      <c r="F70" s="64" t="str">
        <f>IFERROR(__xludf.DUMMYFUNCTION("IFS(C70="""","""",
AND(C70=""3x3 FMC"",MOD(COUNTIF($C$7:indirect(""C""&amp;row()),indirect(""C""&amp;row())),3)=0),""Mean of 3"",
AND(C70=""3x3 MBLD"",MOD(COUNTIF($C$7:indirect(""C""&amp;row()),indirect(""C""&amp;row())),3)=0),""Best of 3"",
AND(C70=""3x3 FMC"",MOD(COUNT"&amp;"IF($C$7:indirect(""C""&amp;row()),indirect(""C""&amp;row())),3)=2,
COUNTIF($C$7:$C$102,indirect(""C""&amp;row()))&lt;=COUNTIF($C$7:indirect(""C""&amp;row()),indirect(""C""&amp;row()))),""Best of 2"",
AND(C70=""3x3 FMC"",MOD(COUNTIF($C$7:indirect(""C""&amp;row()),indirect(""C""&amp;row("&amp;"))),3)=2,
COUNTIF($C$7:$C$102,indirect(""C""&amp;row()))&gt;COUNTIF($C$7:indirect(""C""&amp;row()),indirect(""C""&amp;row()))),""Mean of 3"",
AND(C70=""3x3 MBLD"",MOD(COUNTIF($C$7:indirect(""C""&amp;row()),indirect(""C""&amp;row())),3)=2,
COUNTIF($C$7:$C$102,indirect(""C""&amp;row("&amp;")))&lt;=COUNTIF($C$7:indirect(""C""&amp;row()),indirect(""C""&amp;row()))),""Best of 2"",
AND(C70=""3x3 MBLD"",MOD(COUNTIF($C$7:indirect(""C""&amp;row()),indirect(""C""&amp;row())),3)=2,
COUNTIF($C$7:$C$102,indirect(""C""&amp;row()))&gt;COUNTIF($C$7:indirect(""C""&amp;row()),indirect("&amp;"""C""&amp;row()))),""Best of 3"",
AND(C70=""3x3 FMC"",MOD(COUNTIF($C$7:indirect(""C""&amp;row()),indirect(""C""&amp;row())),3)=1,
COUNTIF($C$7:$C$102,indirect(""C""&amp;row()))&lt;=COUNTIF($C$7:indirect(""C""&amp;row()),indirect(""C""&amp;row()))),""Best of 1"",
AND(C70=""3x3 FMC"""&amp;",MOD(COUNTIF($C$7:indirect(""C""&amp;row()),indirect(""C""&amp;row())),3)=1,
COUNTIF($C$7:$C$102,indirect(""C""&amp;row()))=COUNTIF($C$7:indirect(""C""&amp;row()),indirect(""C""&amp;row()))+1),""Best of 2"",
AND(C70=""3x3 FMC"",MOD(COUNTIF($C$7:indirect(""C""&amp;row()),indirect"&amp;"(""C""&amp;row())),3)=1,
COUNTIF($C$7:$C$102,indirect(""C""&amp;row()))&gt;COUNTIF($C$7:indirect(""C""&amp;row()),indirect(""C""&amp;row()))),""Mean of 3"",
AND(C70=""3x3 MBLD"",MOD(COUNTIF($C$7:indirect(""C""&amp;row()),indirect(""C""&amp;row())),3)=1,
COUNTIF($C$7:$C$102,indirect"&amp;"(""C""&amp;row()))&lt;=COUNTIF($C$7:indirect(""C""&amp;row()),indirect(""C""&amp;row()))),""Best of 1"",
AND(C70=""3x3 MBLD"",MOD(COUNTIF($C$7:indirect(""C""&amp;row()),indirect(""C""&amp;row())),3)=1,
COUNTIF($C$7:$C$102,indirect(""C""&amp;row()))=COUNTIF($C$7:indirect(""C""&amp;row()"&amp;"),indirect(""C""&amp;row()))+1),""Best of 2"",
AND(C70=""3x3 MBLD"",MOD(COUNTIF($C$7:indirect(""C""&amp;row()),indirect(""C""&amp;row())),3)=1,
COUNTIF($C$7:$C$102,indirect(""C""&amp;row()))&gt;COUNTIF($C$7:indirect(""C""&amp;row()),indirect(""C""&amp;row()))),""Best of 3"",
TRUE,("&amp;"IFERROR(FILTER(Info!$D$2:D96, Info!$A$2:A96 = C70), """")))"),"")</f>
        <v/>
      </c>
      <c r="G70" s="64" t="str">
        <f>IFERROR(__xludf.DUMMYFUNCTION("IFS(OR(COUNTIF(Info!$A$22:A96,C70)&gt;0,C70=""""),"""",
OR(""3x3 MBLD""=C70,""3x3 FMC""=C70),60,
AND(E70=1,FILTER(Info!$F$2:F96, Info!$A$2:A96 = C70) = ""No""),FILTER(Info!$P$2:P96, Info!$A$2:A96 = C70),
AND(E70=2,FILTER(Info!$F$2:F96, Info!$A$2:A96 = C70) ="&amp;" ""No""),FILTER(Info!$Q$2:Q96, Info!$A$2:A96 = C70),
AND(E70=3,FILTER(Info!$F$2:F96, Info!$A$2:A96 = C70) = ""No""),FILTER(Info!$R$2:R96, Info!$A$2:A96 = C70),
AND(E70=""Final"",FILTER(Info!$F$2:F96, Info!$A$2:A96 = C70) = ""No""),FILTER(Info!$S$2:S96, In"&amp;"fo!$A$2:A96 = C70),
FILTER(Info!$F$2:F96, Info!$A$2:A96 = C70) = ""Yes"","""")"),"")</f>
        <v/>
      </c>
      <c r="H70" s="64" t="str">
        <f>IFERROR(__xludf.DUMMYFUNCTION("IFS(OR(COUNTIF(Info!$A$22:A96,C70)&gt;0,C70=""""),"""",
OR(""3x3 MBLD""=C70,""3x3 FMC""=C70)=TRUE,"""",
FILTER(Info!$F$2:F96, Info!$A$2:A96 = C70) = ""Yes"",FILTER(Info!$O$2:O96, Info!$A$2:A96 = C70),
FILTER(Info!$F$2:F96, Info!$A$2:A96 = C70) = ""No"",IF(G7"&amp;"0="""",FILTER(Info!$O$2:O96, Info!$A$2:A96 = C70),""""))"),"")</f>
        <v/>
      </c>
      <c r="I70" s="64" t="str">
        <f>IFERROR(__xludf.DUMMYFUNCTION("IFS(OR(COUNTIF(Info!$A$22:A96,C70)&gt;0,C70="""",H70&lt;&gt;""""),"""",
AND(E70&lt;&gt;1,E70&lt;&gt;""R1 - A1"",E70&lt;&gt;""R1 - A2"",E70&lt;&gt;""R1 - A3""),"""",
FILTER(Info!$E$2:E96, Info!$A$2:A96 = C70) = ""Yes"",IF(H70="""",FILTER(Info!$L$2:L96, Info!$A$2:A96 = C70),""""),
FILTER(I"&amp;"nfo!$E$2:E96, Info!$A$2:A96 = C70) = ""No"","""")"),"")</f>
        <v/>
      </c>
      <c r="J70" s="64" t="str">
        <f>IFERROR(__xludf.DUMMYFUNCTION("IFS(OR(COUNTIF(Info!$A$22:A96,C70)&gt;0,C70="""",""3x3 MBLD""=C70,""3x3 FMC""=C70),"""",
AND(E70=1,FILTER(Info!$H$2:H96,Info!$A$2:A96 = C70)&lt;=FILTER(Info!$H$2:H96,Info!$A$2:A96=$K$2)),
ROUNDUP((FILTER(Info!$H$2:H96,Info!$A$2:A96 = C70)/FILTER(Info!$H$2:H96,I"&amp;"nfo!$A$2:A96=$K$2))*$I$2),
AND(E70=1,FILTER(Info!$H$2:H96,Info!$A$2:A96 = C70)&gt;FILTER(Info!$H$2:H96,Info!$A$2:A96=$K$2)),""K2 - Error"",
AND(E70=2,FILTER($J$7:indirect(""J""&amp;row()-1),$C$7:indirect(""C""&amp;row()-1)=C70)&lt;=7),""J - Error"",
E70=2,FLOOR(FILTER("&amp;"$J$7:indirect(""J""&amp;row()-1),$C$7:indirect(""C""&amp;row()-1)=C70)*Info!$T$32),
AND(E70=3,FILTER($J$7:indirect(""J""&amp;row()-1),$C$7:indirect(""C""&amp;row()-1)=C70)&lt;=15),""J - Error"",
E70=3,FLOOR(Info!$T$32*FLOOR(FILTER($J$7:indirect(""J""&amp;row()-1),$C$7:indirect("&amp;"""C""&amp;row()-1)=C70)*Info!$T$32)),
AND(E70=""Final"",COUNTIF($C$7:$C$102,C70)=2,FILTER($J$7:indirect(""J""&amp;row()-1),$C$7:indirect(""C""&amp;row()-1)=C70)&lt;=7),""J - Error"",
AND(E70=""Final"",COUNTIF($C$7:$C$102,C70)=2),
MIN(P70,FLOOR(FILTER($J$7:indirect(""J"""&amp;"&amp;row()-1),$C$7:indirect(""C""&amp;row()-1)=C70)*Info!$T$32)),
AND(E70=""Final"",COUNTIF($C$7:$C$102,C70)=3,FILTER($J$7:indirect(""J""&amp;row()-1),$C$7:indirect(""C""&amp;row()-1)=C70)&lt;=15),""J - Error"",
AND(E70=""Final"",COUNTIF($C$7:$C$102,C70)=3),
MIN(P70,FLOOR(I"&amp;"nfo!$T$32*FLOOR(FILTER($J$7:indirect(""J""&amp;row()-1),$C$7:indirect(""C""&amp;row()-1)=C70)*Info!$T$32))),
AND(E70=""Final"",COUNTIF($C$7:$C$102,C70)&gt;=4,FILTER($J$7:indirect(""J""&amp;row()-1),$C$7:indirect(""C""&amp;row()-1)=C70)&lt;=99),""J - Error"",
AND(E70=""Final"","&amp;"COUNTIF($C$7:$C$102,C70)&gt;=4),
MIN(P70,FLOOR(Info!$T$32*FLOOR(Info!$T$32*FLOOR(FILTER($J$7:indirect(""J""&amp;row()-1),$C$7:indirect(""C""&amp;row()-1)=C70)*Info!$T$32)))))"),"")</f>
        <v/>
      </c>
      <c r="K70" s="41" t="str">
        <f>IFERROR(__xludf.DUMMYFUNCTION("IFS(AND(indirect(""D""&amp;row()+2)&lt;&gt;$E$2,indirect(""D""&amp;row()+1)=""""),CONCATENATE(""Tom rad! Kopiera hela rad ""&amp;row()&amp;"" dit""),
AND(indirect(""D""&amp;row()-1)&lt;&gt;""Rum"",indirect(""D""&amp;row()-1)=""""),CONCATENATE(""Tom rad! Kopiera hela rad ""&amp;row()&amp;"" dit""),
"&amp;"C70="""","""",
COUNTIF(Info!$A$22:A96,$K$2)&gt;0,""Det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OR(AND(D70&lt;&gt;$E$2,D70&lt;&gt;$E$4,D70&lt;&gt;$K$4,D70&lt;&gt;$Q$4),D70="&amp;"""""),CONCATENATE(""Rum: ""&amp;D70&amp;"" finns ej, byt i D""&amp;row()),
AND(indirect(""D""&amp;row()-1)=""Rum"",C70=""""),CONCATENATE(""För att börja: skriv i cell C""&amp;row()),
AND(C70=""Paus"",M70&lt;=0),CONCATENATE(""Skriv pausens längd i M""&amp;row()),
OR(COUNTIF(Info!$A$"&amp;"22:A96,C70)&gt;0,C70=""""),"""",
AND(D70&lt;&gt;$E$2,$O$2=""Yes"",A70=""=time(hh;mm;ss)""),CONCATENATE(""Skriv starttid för ""&amp;C70&amp;"" i A""&amp;row()),
E70=""E - Error"",CONCATENATE(""För många ""&amp;C70&amp;"" rundor!""),
AND(C70&lt;&gt;""3x3 FMC"",C70&lt;&gt;""3x3 MBLD"",E70&lt;&gt;1,E70&lt;&gt;"&amp;"""Final"",IFERROR(FILTER($E$7:indirect(""E""&amp;row()-1),
$E$7:indirect(""E""&amp;row()-1)=E70-1,$C$7:indirect(""C""&amp;row()-1)=C70))=FALSE),CONCATENATE(""Kan ej vara R""&amp;E70&amp;"", saknar R""&amp;(E70-1)),
AND(indirect(""E""&amp;row()-1)&lt;&gt;""Omgång"",IFERROR(FILTER($E$7:indi"&amp;"rect(""E""&amp;row()-1),
$E$7:indirect(""E""&amp;row()-1)=E70,$C$7:indirect(""C""&amp;row()-1)=C70)=E70)=TRUE),CONCATENATE(""Runda ""&amp;E70&amp;"" i ""&amp;C70&amp;"" finns redan""),
AND(C70&lt;&gt;""3x3 BLD"",C70&lt;&gt;""4x4 BLD"",C70&lt;&gt;""5x5 BLD"",C70&lt;&gt;""4x4 / 5x5 BLD"",OR(E70=2,E70=3,E70="&amp;"""Final""),H70&lt;&gt;""""),CONCATENATE(E70&amp;""-rundor brukar ej ha c.t.l.""),
AND(OR(E70=2,E70=3,E70=""Final""),I70&lt;&gt;""""),CONCATENATE(E70&amp;""-rundor brukar ej ha cutoff""),
AND(OR(C70=""3x3 FMC"",C70=""3x3 MBLD""),OR(E70=1,E70=2,E70=3,E70=""Final"")),CONCATENAT"&amp;"E(C70&amp;""s omgång är Rx - Ax""),
AND(C70&lt;&gt;""3x3 MBLD"",C70&lt;&gt;""3x3 FMC"",FILTER(Info!$D$2:D96, Info!$A$2:A96 = C70)&lt;&gt;F70),CONCATENATE(C70&amp;"" måste ha formatet ""&amp;FILTER(Info!$D$2:D96, Info!$A$2:A96 = C70)),
AND(C70=""3x3 MBLD"",OR(F70=""Avg of 5"",F70=""Mea"&amp;"n of 3"")),CONCATENATE(""Ogiltigt format för ""&amp;C70),
AND(C70=""3x3 FMC"",OR(F70=""Avg of 5"",F70=""Best of 3"")),CONCATENATE(""Ogiltigt format för ""&amp;C70),
AND(OR(F70=""Best of 1"",F70=""Best of 2"",F70=""Best of 3""),I70&lt;&gt;""""),CONCATENATE(F70&amp;""-rundor"&amp;" får ej ha cutoff""),
AND(OR(C70=""3x3 FMC"",C70=""3x3 MBLD""),G70&lt;&gt;60),CONCATENATE(C70&amp;"" måste ha time limit: 60""),
AND(OR(C70=""3x3 FMC"",C70=""3x3 MBLD""),H70&lt;&gt;""""),CONCATENATE(C70&amp;"" kan inte ha c.t.l.""),
AND(G70&lt;&gt;"""",H70&lt;&gt;""""),""Välj time limit"&amp;" ELLER c.t.l"",
AND(C70=""6x6 / 7x7"",G70="""",H70=""""),""Sätt time limit (x / y) eller c.t.l (z)"",
AND(G70="""",H70=""""),""Sätt en time limit eller c.t.l"",
AND(OR(C70=""6x6 / 7x7"",C70=""4x4 / 5x5 BLD""),G70&lt;&gt;"""",REGEXMATCH(TO_TEXT(G70),"" / "")=FAL"&amp;"SE),CONCATENATE(""Time limit måste vara x / y""),
AND(H70&lt;&gt;"""",I70&lt;&gt;""""),CONCATENATE(C70&amp;"" brukar ej ha cutoff OCH c.t.l""),
AND(E70=1,H70="""",I70="""",OR(FILTER(Info!$E$2:E96, Info!$A$2:A96 = C70) = ""Yes"",FILTER(Info!$F$2:F96, Info!$A$2:A96 = C70) "&amp;"= ""Yes""),OR(F70=""Avg of 5"",F70=""Mean of 3"")),CONCATENATE(C70&amp;"" bör ha cutoff eller c.t.l""),
AND(C70=""6x6 / 7x7"",I70&lt;&gt;"""",REGEXMATCH(TO_TEXT(I70),"" / "")=FALSE),CONCATENATE(""Cutoff måste vara x / y""),
AND(H70&lt;&gt;"""",ISNUMBER(H70)=FALSE),""C.t."&amp;"l. måste vara positivt tal (x)"",
AND(C70&lt;&gt;""6x6 / 7x7"",I70&lt;&gt;"""",ISNUMBER(I70)=FALSE),""Cutoff måste vara positivt tal (x)"",
AND(H70&lt;&gt;"""",FILTER(Info!$E$2:E96, Info!$A$2:A96 = C70) = ""No"",FILTER(Info!$F$2:F96, Info!$A$2:A96 = C70) = ""No""),CONCATEN"&amp;"ATE(C70&amp;"" brukar inte ha c.t.l.""),
AND(I70&lt;&gt;"""",FILTER(Info!$E$2:E96, Info!$A$2:A96 = C70) = ""No"",FILTER(Info!$F$2:F96, Info!$A$2:A96 = C70) = ""No""),CONCATENATE(C70&amp;"" brukar inte ha cutoff""),
AND(H70="""",FILTER(Info!$F$2:F96, Info!$A$2:A96 = C70"&amp;") = ""Yes""),CONCATENATE(C70&amp;"" brukar ha c.t.l.""),
AND(C70&lt;&gt;""6x6 / 7x7"",C70&lt;&gt;""4x4 / 5x5 BLD"",G70&lt;&gt;"""",ISNUMBER(G70)=FALSE),""Time limit måste vara positivt tal (x)"",
J70=""J - Error"",CONCATENATE(""För få deltagare i R1 för ""&amp;COUNTIF($C$7:$C$102,"&amp;"indirect(""C""&amp;row()))&amp;"" rundor""),
J70=""K2 - Error"",CONCATENATE(C70&amp;"" är mer populär - byt i K2!""),
AND(C70&lt;&gt;""6x6 / 7x7"",C70&lt;&gt;""4x4 / 5x5 BLD"",G70&lt;&gt;"""",I70&lt;&gt;"""",G70&lt;=I70),""Time limit måste vara &gt; cutoff"",
AND(C70&lt;&gt;""6x6 / 7x7"",C70&lt;&gt;""4x4 / 5"&amp;"x5 BLD"",H70&lt;&gt;"""",I70&lt;&gt;"""",H70&lt;=I70),""C.t.l. måste vara &gt; cutoff"",
AND(C70&lt;&gt;""3x3 FMC"",C70&lt;&gt;""3x3 MBLD"",J70=""""),CONCATENATE(""Fyll i antal deltagare i J""&amp;row()),
AND(C70="""",OR(E70&lt;&gt;"""",F70&lt;&gt;"""",G70&lt;&gt;"""",H70&lt;&gt;"""",I70&lt;&gt;"""",J70&lt;&gt;"""")),""Skri"&amp;"v ALLTID gren / aktivitet först"",
AND(I70="""",H70="""",J70&lt;&gt;""""),J70,
OR(""3x3 FMC""=C70,""3x3 MBLD""=C70),J70,
AND(I70&lt;&gt;"""",""6x6 / 7x7""=C70),
IFS(ArrayFormula(SUM(IFERROR(SPLIT(I70,"" / ""))))&lt;(Info!$J$6+Info!$J$7)*2/3,CONCATENATE(""Höj helst cutof"&amp;"fs i ""&amp;C70),
ArrayFormula(SUM(IFERROR(SPLIT(I70,"" / ""))))&lt;=(Info!$J$6+Info!$J$7),ROUNDUP(J70*Info!$J$22),
ArrayFormula(SUM(IFERROR(SPLIT(I70,"" / ""))))&lt;=Info!$J$6+Info!$J$7,ROUNDUP(J70*Info!$K$22),
ArrayFormula(SUM(IFERROR(SPLIT(I70,"" / ""))))&lt;=Info!"&amp;"$K$6+Info!$K$7,ROUNDUP(J70*Info!L$22),
ArrayFormula(SUM(IFERROR(SPLIT(I70,"" / ""))))&lt;=Info!$L$6+Info!$L$7,ROUNDUP(J70*Info!$M$22),
ArrayFormula(SUM(IFERROR(SPLIT(I70,"" / ""))))&lt;=Info!$M$6+Info!$M$7,ROUNDUP(J70*Info!$N$22),
ArrayFormula(SUM(IFERROR(SPLIT"&amp;"(I70,"" / ""))))&lt;=(Info!$N$6+Info!$N$7)*3/2,ROUNDUP(J70*Info!$J$26),
ArrayFormula(SUM(IFERROR(SPLIT(I70,"" / ""))))&gt;(Info!$N$6+Info!$N$7)*3/2,CONCATENATE(""Sänk helst cutoffs i ""&amp;C70)),
AND(I70&lt;&gt;"""",FILTER(Info!$E$2:E96, Info!$A$2:A96 = C70) = ""Yes""),"&amp;"
IFS(I70&lt;FILTER(Info!$J$2:J96, Info!$A$2:A96 = C70)*2/3,CONCATENATE(""Höj helst cutoff i ""&amp;C70),
I70&lt;=FILTER(Info!$J$2:J96, Info!$A$2:A96 = C70),ROUNDUP(J70*Info!$J$22),
I70&lt;=FILTER(Info!$K$2:K96, Info!$A$2:A96 = C70),ROUNDUP(J70*Info!$K$22),
I70&lt;=FILTER"&amp;"(Info!$L$2:L96, Info!$A$2:A96 = C70),ROUNDUP(J70*Info!L$22),
I70&lt;=FILTER(Info!$M$2:M96, Info!$A$2:A96 = C70),ROUNDUP(J70*Info!$M$22),
I70&lt;=FILTER(Info!$N$2:N96, Info!$A$2:A96 = C70),ROUNDUP(J70*Info!$N$22),
I70&lt;=FILTER(Info!$N$2:N96, Info!$A$2:A96 = C70)*"&amp;"3/2,ROUNDUP(J70*Info!$J$26),
I70&gt;FILTER(Info!$N$2:N96, Info!$A$2:A96 = C70)*3/2,CONCATENATE(""Sänk helst cutoff i ""&amp;C70)),
AND(H70&lt;&gt;"""",""6x6 / 7x7""=C70),
IFS(H70/3&lt;=(Info!$J$6+Info!$J$7)*2/3,""Höj helst cumulative time limit"",
H70/3&lt;=Info!$J$6+Info!$"&amp;"J$7,ROUNDUP(J70*Info!$J$24),
H70/3&lt;=Info!$K$6+Info!$K$7,ROUNDUP(J70*Info!$K$24),
H70/3&lt;=Info!$L$6+Info!$L$7,ROUNDUP(J70*Info!L$24),
H70/3&lt;=Info!$M$6+Info!$M$7,ROUNDUP(J70*Info!$M$24),
H70/3&lt;=Info!$N$6+Info!$N$7,ROUNDUP(J70*Info!$N$24),
H70/3&lt;=(Info!$N$6+I"&amp;"nfo!$N$7)*3/2,ROUNDUP(J70*Info!$L$26),
H70/3&gt;(Info!$J$6+Info!$J$7)*3/2,""Sänk helst cumulative time limit""),
AND(H70&lt;&gt;"""",FILTER(Info!$F$2:F96, Info!$A$2:A96 = C70) = ""Yes""),
IFS(H70&lt;=FILTER(Info!$J$2:J96, Info!$A$2:A96 = C70)*2/3,CONCATENATE(""Höj he"&amp;"lst c.t.l. i ""&amp;C70),
H70&lt;=FILTER(Info!$J$2:J96, Info!$A$2:A96 = C70),ROUNDUP(J70*Info!$J$24),
H70&lt;=FILTER(Info!$K$2:K96, Info!$A$2:A96 = C70),ROUNDUP(J70*Info!$K$24),
H70&lt;=FILTER(Info!$L$2:L96, Info!$A$2:A96 = C70),ROUNDUP(J70*Info!L$24),
H70&lt;=FILTER(Inf"&amp;"o!$M$2:M96, Info!$A$2:A96 = C70),ROUNDUP(J70*Info!$M$24),
H70&lt;=FILTER(Info!$N$2:N96, Info!$A$2:A96 = C70),ROUNDUP(J70*Info!$N$24),
H70&lt;=FILTER(Info!$N$2:N96, Info!$A$2:A96 = C70)*3/2,ROUNDUP(J70*Info!$L$26),
H70&gt;FILTER(Info!$N$2:N96, Info!$A$2:A96 = C70)*"&amp;"3/2,CONCATENATE(""Sänk helst c.t.l. i ""&amp;C70)),
AND(H70&lt;&gt;"""",FILTER(Info!$F$2:F96, Info!$A$2:A96 = C70) = ""No""),
IFS(H70/AA70&lt;=FILTER(Info!$J$2:J96, Info!$A$2:A96 = C70)*2/3,CONCATENATE(""Höj helst c.t.l. i ""&amp;C70),
H70/AA70&lt;=FILTER(Info!$J$2:J96, Info"&amp;"!$A$2:A96 = C70),ROUNDUP(J70*Info!$J$24),
H70/AA70&lt;=FILTER(Info!$K$2:K96, Info!$A$2:A96 = C70),ROUNDUP(J70*Info!$K$24),
H70/AA70&lt;=FILTER(Info!$L$2:L96, Info!$A$2:A96 = C70),ROUNDUP(J70*Info!L$24),
H70/AA70&lt;=FILTER(Info!$M$2:M96, Info!$A$2:A96 = C70),ROUND"&amp;"UP(J70*Info!$M$24),
H70/AA70&lt;=FILTER(Info!$N$2:N96, Info!$A$2:A96 = C70),ROUNDUP(J70*Info!$N$24),
H70/AA70&lt;=FILTER(Info!$N$2:N96, Info!$A$2:A96 = C70)*3/2,ROUNDUP(J70*Info!$L$26),
H70/AA70&gt;FILTER(Info!$N$2:N96, Info!$A$2:A96 = C70)*3/2,CONCATENATE(""Sänk "&amp;"helst c.t.l. i ""&amp;C70)),
AND(I70="""",H70&lt;&gt;"""",J70&lt;&gt;""""),ROUNDUP(J70*Info!$T$29),
AND(I70&lt;&gt;"""",H70="""",J70&lt;&gt;""""),ROUNDUP(J70*Info!$T$26))"),"")</f>
        <v/>
      </c>
      <c r="L70" s="42">
        <f>IFERROR(__xludf.DUMMYFUNCTION("IFS(C70="""",0,
C70=""3x3 FMC"",Info!$B$9*N70+M70, C70=""3x3 MBLD"",Info!$B$18*N70+M70,
COUNTIF(Info!$A$22:A96,C70)&gt;0,FILTER(Info!$B$22:B96,Info!$A$22:A96=C70)+M70,
AND(C70&lt;&gt;"""",E70=""""),CONCATENATE(""Fyll i E""&amp;row()),
AND(C70&lt;&gt;"""",E70&lt;&gt;"""",E70&lt;&gt;1,E7"&amp;"0&lt;&gt;2,E70&lt;&gt;3,E70&lt;&gt;""Final""),CONCATENATE(""Fel format på E""&amp;row()),
K70=CONCATENATE(""Runda ""&amp;E70&amp;"" i ""&amp;C70&amp;"" finns redan""),CONCATENATE(""Fel i E""&amp;row()),
AND(C70&lt;&gt;"""",F70=""""),CONCATENATE(""Fyll i F""&amp;row()),
K70=CONCATENATE(C70&amp;"" måste ha forma"&amp;"tet ""&amp;FILTER(Info!$D$2:D96, Info!$A$2:A96 = C70)),CONCATENATE(""Fel format på F""&amp;row()),
AND(C70&lt;&gt;"""",D70=1,H70="""",FILTER(Info!$F$2:F96, Info!$A$2:A96 = C70) = ""Yes""),CONCATENATE(""Fyll i H""&amp;row()),
AND(C70&lt;&gt;"""",D70=1,I70="""",FILTER(Info!$E$2:E9"&amp;"6, Info!$A$2:A96 = C70) = ""Yes""),CONCATENATE(""Fyll i I""&amp;row()),
AND(C70&lt;&gt;"""",J70=""""),CONCATENATE(""Fyll i J""&amp;row()),
AND(C70&lt;&gt;"""",K70="""",OR(H70&lt;&gt;"""",I70&lt;&gt;"""")),CONCATENATE(""Fyll i K""&amp;row()),
AND(C70&lt;&gt;"""",K70=""""),CONCATENATE(""Skriv samma"&amp;" i K""&amp;row()&amp;"" som i J""&amp;row()),
AND(OR(C70=""4x4 BLD"",C70=""5x5 BLD"",C70=""4x4 / 5x5 BLD"")=TRUE,V70&lt;=P70),
MROUND(H70*(Info!$T$20-((Info!$T$20-1)/2)*(1-V70/P70))*(1+((J70/K70)-1)*(1-Info!$J$24))*N70+(Info!$T$11/2)+(N70*Info!$T$11)+(N70*Info!$T$14*(O7"&amp;"0-1)),0.01)+M70,
AND(OR(C70=""4x4 BLD"",C70=""5x5 BLD"",C70=""4x4 / 5x5 BLD"")=TRUE,V70&gt;P70),
MROUND((((J70*Z70+K70*(AA70-Z70))*(H70*Info!$T$20/AA70))/X70)*(1+((J70/K70)-1)*(1-Info!$J$24))*(1+(X70-Info!$T$8)/100)+(Info!$T$11/2)+(N70*Info!$T$11)+(N70*Info!"&amp;"$T$14*(O70-1)),0.01)+M70,
AND(C70=""3x3 BLD"",V70&lt;=P70),
MROUND(H70*(Info!$T$23-((Info!$T$23-1)/2)*(1-V70/P70))*(1+((J70/K70)-1)*(1-Info!$J$24))*N70+(Info!$T$11/2)+(N70*Info!$T$11)+(N70*Info!$T$14*(O70-1)),0.01)+M70,
AND(C70=""3x3 BLD"",V70&gt;P70),
MROUND(("&amp;"((J70*Z70+K70*(AA70-Z70))*(H70*Info!$T$23/AA70))/X70)*(1+((J70/K70)-1)*(1-Info!$J$24))*(1+(X70-Info!$T$8)/100)+(Info!$T$11/2)+(N70*Info!$T$11)+(N70*Info!$T$14*(O70-1)),0.01)+M70,
E70=1,MROUND((((J70*Z70+K70*(AA70-Z70))*Y70)/X70)*(1+(X70-Info!$T$8)/100)+(N"&amp;"70*Info!$T$11)+(N70*Info!$T$14*(O70-1)),0.01)+M70,
AND(E70=""Final"",N70=1,FILTER(Info!$G$2:$G$20,Info!$A$2:$A$20=C70)=""Mycket svår""),
MROUND((((J70*Z70+K70*(AA70-Z70))*(Y70*Info!$T$38))/X70)*(1+(X70-Info!$T$8)/100)+(N70*Info!$T$11)+(N70*Info!$T$14*(O70"&amp;"-1)),0.01)+M70,
AND(E70=""Final"",N70=1,FILTER(Info!$G$2:$G$20,Info!$A$2:$A$20=C70)=""Svår""),
MROUND((((J70*Z70+K70*(AA70-Z70))*(Y70*Info!$T$35))/X70)*(1+(X70-Info!$T$8)/100)+(N70*Info!$T$11)+(N70*Info!$T$14*(O70-1)),0.01)+M70,
E70=""Final"",MROUND((((J7"&amp;"0*Z70+K70*(AA70-Z70))*(Y70*Info!$T$5))/X70)*(1+(X70-Info!$T$8)/100)+(N70*Info!$T$11)+(N70*Info!$T$14*(O70-1)),0.01)+M70,
OR(E70=2,E70=3),MROUND((((J70*Z70+K70*(AA70-Z70))*(Y70*Info!$T$2))/X70)*(1+(X70-Info!$T$8)/100)+(N70*Info!$T$11)+(N70*Info!$T$14*(O70-"&amp;"1)),0.01)+M70)"),0.0)</f>
        <v>0</v>
      </c>
      <c r="M70" s="43">
        <f t="shared" si="6"/>
        <v>0</v>
      </c>
      <c r="N70" s="43" t="str">
        <f>IFS(OR(COUNTIF(Info!$A$22:A96,C70)&gt;0,C70=""),"",
OR(C70="4x4 BLD",C70="5x5 BLD",C70="3x3 MBLD",C70="3x3 FMC",C70="4x4 / 5x5 BLD"),1,
AND(E70="Final",Q70="Yes",MAX(1,ROUNDUP(J70/P70))&gt;1),MAX(2,ROUNDUP(J70/P70)),
AND(E70="Final",Q70="No",MAX(1,ROUNDUP(J70/((P70*2)+2.625-Y70*1.5)))&gt;1),MAX(2,ROUNDUP(J70/((P70*2)+2.625-Y70*1.5))),
E70="Final",1,
Q70="Yes",MAX(2,ROUNDUP(J70/P70)),
TRUE,MAX(2,ROUNDUP(J70/((P70*2)+2.625-Y70*1.5))))</f>
        <v/>
      </c>
      <c r="O70" s="43" t="str">
        <f>IFS(OR(COUNTIF(Info!$A$22:A96,C70)&gt;0,C70=""),"",
OR("3x3 MBLD"=C70,"3x3 FMC"=C70)=TRUE,"",
D70=$E$4,$G$6,D70=$K$4,$M$6,D70=$Q$4,$S$6,D70=$W$4,$Y$6,
TRUE,$S$2)</f>
        <v/>
      </c>
      <c r="P70" s="43" t="str">
        <f>IFS(OR(COUNTIF(Info!$A$22:A96,C70)&gt;0,C70=""),"",
OR("3x3 MBLD"=C70,"3x3 FMC"=C70)=TRUE,"",
D70=$E$4,$E$6,D70=$K$4,$K$6,D70=$Q$4,$Q$6,D70=$W$4,$W$6,
TRUE,$Q$2)</f>
        <v/>
      </c>
      <c r="Q70" s="44" t="str">
        <f>IFS(OR(COUNTIF(Info!$A$22:A96,C70)&gt;0,C70=""),"",
OR("3x3 MBLD"=C70,"3x3 FMC"=C70)=TRUE,"",
D70=$E$4,$I$6,D70=$K$4,$O$6,D70=$Q$4,$U$6,D70=$W$4,$AA$6,
TRUE,$U$2)</f>
        <v/>
      </c>
      <c r="R70" s="65" t="str">
        <f>IFERROR(__xludf.DUMMYFUNCTION("IF(C70="""","""",IFERROR(FILTER(Info!$B$22:B96,Info!$A$22:A96=C70)+M70,""?""))"),"")</f>
        <v/>
      </c>
      <c r="S70" s="66" t="str">
        <f>IFS(OR(COUNTIF(Info!$A$22:A96,C70)&gt;0,C70=""),"",
AND(H70="",I70=""),J70,
TRUE,"?")</f>
        <v/>
      </c>
      <c r="T70" s="65" t="str">
        <f>IFS(OR(COUNTIF(Info!$A$22:A96,C70)&gt;0,C70=""),"",
AND(L70&lt;&gt;0,OR(R70="?",R70="")),"Fyll i R-kolumnen",
OR(C70="3x3 FMC",C70="3x3 MBLD"),R70,
AND(L70&lt;&gt;0,OR(S70="?",S70="")),"Fyll i S-kolumnen",
OR(COUNTIF(Info!$A$22:A96,C70)&gt;0,C70=""),"",
TRUE,Y70*R70/L70)</f>
        <v/>
      </c>
      <c r="U70" s="65"/>
      <c r="V70" s="67" t="str">
        <f>IFS(OR(COUNTIF(Info!$A$22:A96,C70)&gt;0,C70=""),"",
OR("3x3 MBLD"=C70,"3x3 FMC"=C70)=TRUE,"",
TRUE,MROUND((J70/N70),0.01))</f>
        <v/>
      </c>
      <c r="W70" s="68" t="str">
        <f>IFS(OR(COUNTIF(Info!$A$22:A96,C70)&gt;0,C70=""),"",
TRUE,L70/N70)</f>
        <v/>
      </c>
      <c r="X70" s="67" t="str">
        <f>IFS(OR(COUNTIF(Info!$A$22:A96,C70)&gt;0,C70=""),"",
OR("3x3 MBLD"=C70,"3x3 FMC"=C70)=TRUE,"",
OR(C70="4x4 BLD",C70="5x5 BLD",C70="4x4 / 5x5 BLD",AND(C70="3x3 BLD",H70&lt;&gt;""))=TRUE,MIN(V70,P70),
TRUE,MIN(P70,V70,MROUND(((V70*2/3)+((Y70-1.625)/2)),0.01)))</f>
        <v/>
      </c>
      <c r="Y70" s="68" t="str">
        <f>IFERROR(__xludf.DUMMYFUNCTION("IFS(OR(COUNTIF(Info!$A$22:A96,C70)&gt;0,C70=""""),"""",
FILTER(Info!$F$2:F96, Info!$A$2:A96 = C70) = ""Yes"",H70/AA70,
""3x3 FMC""=C70,Info!$B$9,""3x3 MBLD""=C70,Info!$B$18,
AND(E70=1,I70="""",H70="""",Q70=""No"",G70&gt;SUMIF(Info!$A$2:A96,C70,Info!$B$2:B96)*1."&amp;"5),
MIN(SUMIF(Info!$A$2:A96,C70,Info!$B$2:B96)*1.1,SUMIF(Info!$A$2:A96,C70,Info!$B$2:B96)*(1.15-(0.15*(SUMIF(Info!$A$2:A96,C70,Info!$B$2:B96)*1.5)/G70))),
AND(E70=1,I70="""",H70="""",Q70=""Yes"",G70&gt;SUMIF(Info!$A$2:A96,C70,Info!$C$2:C96)*1.5),
MIN(SUMIF(I"&amp;"nfo!$A$2:A96,C70,Info!$C$2:C96)*1.1,SUMIF(Info!$A$2:A96,C70,Info!$C$2:C96)*(1.15-(0.15*(SUMIF(Info!$A$2:A96,C70,Info!$C$2:C96)*1.5)/G70))),
Q70=""No"",SUMIF(Info!$A$2:A96,C70,Info!$B$2:B96),
Q70=""Yes"",SUMIF(Info!$A$2:A96,C70,Info!$C$2:C96))"),"")</f>
        <v/>
      </c>
      <c r="Z70" s="67" t="str">
        <f>IFS(OR(COUNTIF(Info!$A$22:A96,C70)&gt;0,C70=""),"",
AND(OR("3x3 FMC"=C70,"3x3 MBLD"=C70),I70&lt;&gt;""),1,
AND(OR(H70&lt;&gt;"",I70&lt;&gt;""),F70="Avg of 5"),2,
F70="Avg of 5",AA70,
AND(OR(H70&lt;&gt;"",I70&lt;&gt;""),F70="Mean of 3",C70="6x6 / 7x7"),2,
AND(OR(H70&lt;&gt;"",I70&lt;&gt;""),F70="Mean of 3"),1,
F70="Mean of 3",AA70,
AND(OR(H70&lt;&gt;"",I70&lt;&gt;""),F70="Best of 3",C70="4x4 / 5x5 BLD"),2,
AND(OR(H70&lt;&gt;"",I70&lt;&gt;""),F70="Best of 3"),1,
F70="Best of 2",AA70,
F70="Best of 1",AA70)</f>
        <v/>
      </c>
      <c r="AA70" s="67" t="str">
        <f>IFS(OR(COUNTIF(Info!$A$22:A96,C70)&gt;0,C70=""),"",
AND(OR("3x3 MBLD"=C70,"3x3 FMC"=C70),F70="Best of 1"=TRUE),1,
AND(OR("3x3 MBLD"=C70,"3x3 FMC"=C70),F70="Best of 2"=TRUE),2,
AND(OR("3x3 MBLD"=C70,"3x3 FMC"=C70),OR(F70="Best of 3",F70="Mean of 3")=TRUE),3,
AND(F70="Mean of 3",C70="6x6 / 7x7"),6,
AND(F70="Best of 3",C70="4x4 / 5x5 BLD"),6,
F70="Avg of 5",5,F70="Mean of 3",3,F70="Best of 3",3,F70="Best of 2",2,F70="Best of 1",1)</f>
        <v/>
      </c>
      <c r="AB70" s="69"/>
    </row>
    <row r="71" ht="15.75" customHeight="1">
      <c r="A71" s="62">
        <f>IFERROR(__xludf.DUMMYFUNCTION("IFS(indirect(""A""&amp;row()-1)=""Start"",TIME(indirect(""A""&amp;row()-2),indirect(""B""&amp;row()-2),0),
$O$2=""No"",TIME(0,($A$6*60+$B$6)+CEILING(SUM($L$7:indirect(""L""&amp;row()-1)),5),0),
D71=$E$2,TIME(0,($A$6*60+$B$6)+CEILING(SUM(IFERROR(FILTER($L$7:indirect(""L"""&amp;"&amp;row()-1),REGEXMATCH($D$7:indirect(""D""&amp;row()-1),$E$2)),0)),5),0),
TRUE,""=time(hh;mm;ss)"")"),0.3645833333333335)</f>
        <v>0.3645833333</v>
      </c>
      <c r="B71" s="63">
        <f>IFERROR(__xludf.DUMMYFUNCTION("IFS($O$2=""No"",TIME(0,($A$6*60+$B$6)+CEILING(SUM($L$7:indirect(""L""&amp;row())),5),0),
D71=$E$2,TIME(0,($A$6*60+$B$6)+CEILING(SUM(FILTER($L$7:indirect(""L""&amp;row()),REGEXMATCH($D$7:indirect(""D""&amp;row()),$E$2))),5),0),
A71=""=time(hh;mm;ss)"",CONCATENATE(""Sk"&amp;"riv tid i A""&amp;row()),
AND(A71&lt;&gt;"""",A71&lt;&gt;""=time(hh;mm;ss)""),A71+TIME(0,CEILING(indirect(""L""&amp;row()),5),0))"),0.3645833333333335)</f>
        <v>0.3645833333</v>
      </c>
      <c r="C71" s="37"/>
      <c r="D71" s="64" t="str">
        <f t="shared" si="7"/>
        <v>Stora salen</v>
      </c>
      <c r="E71" s="64" t="str">
        <f>IFERROR(__xludf.DUMMYFUNCTION("IFS(COUNTIF(Info!$A$22:A97,C71)&gt;0,"""",
AND(OR(""3x3 FMC""=C71,""3x3 MBLD""=C71),COUNTIF($C$7:indirect(""C""&amp;row()),indirect(""C""&amp;row()))&gt;=13),""E - Error"",
AND(OR(""3x3 FMC""=C71,""3x3 MBLD""=C71),COUNTIF($C$7:indirect(""C""&amp;row()),indirect(""C""&amp;row()"&amp;"))=12),""Final - A3"",
AND(OR(""3x3 FMC""=C71,""3x3 MBLD""=C71),COUNTIF($C$7:indirect(""C""&amp;row()),indirect(""C""&amp;row()))=11),""Final - A2"",
AND(OR(""3x3 FMC""=C71,""3x3 MBLD""=C71),COUNTIF($C$7:indirect(""C""&amp;row()),indirect(""C""&amp;row()))=10),""Final - "&amp;"A1"",
AND(OR(""3x3 FMC""=C71,""3x3 MBLD""=C71),COUNTIF($C$7:indirect(""C""&amp;row()),indirect(""C""&amp;row()))=9,
COUNTIF($C$7:$C$102,indirect(""C""&amp;row()))&gt;9),""R3 - A3"",
AND(OR(""3x3 FMC""=C71,""3x3 MBLD""=C71),COUNTIF($C$7:indirect(""C""&amp;row()),indirect(""C"&amp;"""&amp;row()))=9,
COUNTIF($C$7:$C$102,indirect(""C""&amp;row()))&lt;=9),""Final - A3"",
AND(OR(""3x3 FMC""=C71,""3x3 MBLD""=C71),COUNTIF($C$7:indirect(""C""&amp;row()),indirect(""C""&amp;row()))=8,
COUNTIF($C$7:$C$102,indirect(""C""&amp;row()))&gt;9),""R3 - A2"",
AND(OR(""3x3 FMC"&amp;"""=C71,""3x3 MBLD""=C71),COUNTIF($C$7:indirect(""C""&amp;row()),indirect(""C""&amp;row()))=8,
COUNTIF($C$7:$C$102,indirect(""C""&amp;row()))&lt;=9),""Final - A2"",
AND(OR(""3x3 FMC""=C71,""3x3 MBLD""=C71),COUNTIF($C$7:indirect(""C""&amp;row()),indirect(""C""&amp;row()))=7,
COUN"&amp;"TIF($C$7:$C$102,indirect(""C""&amp;row()))&gt;9),""R3 - A1"",
AND(OR(""3x3 FMC""=C71,""3x3 MBLD""=C71),COUNTIF($C$7:indirect(""C""&amp;row()),indirect(""C""&amp;row()))=7,
COUNTIF($C$7:$C$102,indirect(""C""&amp;row()))&lt;=9),""Final - A1"",
AND(OR(""3x3 FMC""=C71,""3x3 MBLD"""&amp;"=C71),COUNTIF($C$7:indirect(""C""&amp;row()),indirect(""C""&amp;row()))=6,
COUNTIF($C$7:$C$102,indirect(""C""&amp;row()))&gt;6),""R2 - A3"",
AND(OR(""3x3 FMC""=C71,""3x3 MBLD""=C71),COUNTIF($C$7:indirect(""C""&amp;row()),indirect(""C""&amp;row()))=6,
COUNTIF($C$7:$C$102,indirec"&amp;"t(""C""&amp;row()))&lt;=6),""Final - A3"",
AND(OR(""3x3 FMC""=C71,""3x3 MBLD""=C71),COUNTIF($C$7:indirect(""C""&amp;row()),indirect(""C""&amp;row()))=5,
COUNTIF($C$7:$C$102,indirect(""C""&amp;row()))&gt;6),""R2 - A2"",
AND(OR(""3x3 FMC""=C71,""3x3 MBLD""=C71),COUNTIF($C$7:indi"&amp;"rect(""C""&amp;row()),indirect(""C""&amp;row()))=5,
COUNTIF($C$7:$C$102,indirect(""C""&amp;row()))&lt;=6),""Final - A2"",
AND(OR(""3x3 FMC""=C71,""3x3 MBLD""=C71),COUNTIF($C$7:indirect(""C""&amp;row()),indirect(""C""&amp;row()))=4,
COUNTIF($C$7:$C$102,indirect(""C""&amp;row()))&gt;6),"&amp;"""R2 - A1"",
AND(OR(""3x3 FMC""=C71,""3x3 MBLD""=C71),COUNTIF($C$7:indirect(""C""&amp;row()),indirect(""C""&amp;row()))=4,
COUNTIF($C$7:$C$102,indirect(""C""&amp;row()))&lt;=6),""Final - A1"",
AND(OR(""3x3 FMC""=C71,""3x3 MBLD""=C71),COUNTIF($C$7:indirect(""C""&amp;row()),i"&amp;"ndirect(""C""&amp;row()))=3),""R1 - A3"",
AND(OR(""3x3 FMC""=C71,""3x3 MBLD""=C71),COUNTIF($C$7:indirect(""C""&amp;row()),indirect(""C""&amp;row()))=2),""R1 - A2"",
AND(OR(""3x3 FMC""=C71,""3x3 MBLD""=C71),COUNTIF($C$7:indirect(""C""&amp;row()),indirect(""C""&amp;row()))=1),"&amp;"""R1 -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97, Info!$A$2:A97 = C71),ROUNDUP((FILTER(Info!$H$2:H97,Info!$A$2:A97=C71)/FILTER(Info!$H$2:H97,Info!$A$2:A97=$K$2))*$I$2)&gt;99),3,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97, Info!$A$2:A97 = C71),ROUNDUP((FILTER(Info!$H$2:H97,Info!$A$2:A97=C71)/FILTER(Info!$H$2:H97,Info!$A$2:A97=$K$2))*$I$2)&gt;15),2,
AND(COUNTIF($C$7:indirect(""C""&amp;row()),indirect(""C""&amp;row()))=2,COUNTIF($C$7:$C$102,indirect(""C""&amp;row()))=COUNTIF($"&amp;"C$7:indirect(""C""&amp;row()),indirect(""C""&amp;row()))),""Final"",
COUNTIF($C$7:indirect(""C""&amp;row()),indirect(""C""&amp;row()))=1,1,
COUNTIF($C$7:indirect(""C""&amp;row()),indirect(""C""&amp;row()))=0,"""")"),"")</f>
        <v/>
      </c>
      <c r="F71" s="64" t="str">
        <f>IFERROR(__xludf.DUMMYFUNCTION("IFS(C71="""","""",
AND(C71=""3x3 FMC"",MOD(COUNTIF($C$7:indirect(""C""&amp;row()),indirect(""C""&amp;row())),3)=0),""Mean of 3"",
AND(C71=""3x3 MBLD"",MOD(COUNTIF($C$7:indirect(""C""&amp;row()),indirect(""C""&amp;row())),3)=0),""Best of 3"",
AND(C71=""3x3 FMC"",MOD(COUNT"&amp;"IF($C$7:indirect(""C""&amp;row()),indirect(""C""&amp;row())),3)=2,
COUNTIF($C$7:$C$102,indirect(""C""&amp;row()))&lt;=COUNTIF($C$7:indirect(""C""&amp;row()),indirect(""C""&amp;row()))),""Best of 2"",
AND(C71=""3x3 FMC"",MOD(COUNTIF($C$7:indirect(""C""&amp;row()),indirect(""C""&amp;row("&amp;"))),3)=2,
COUNTIF($C$7:$C$102,indirect(""C""&amp;row()))&gt;COUNTIF($C$7:indirect(""C""&amp;row()),indirect(""C""&amp;row()))),""Mean of 3"",
AND(C71=""3x3 MBLD"",MOD(COUNTIF($C$7:indirect(""C""&amp;row()),indirect(""C""&amp;row())),3)=2,
COUNTIF($C$7:$C$102,indirect(""C""&amp;row("&amp;")))&lt;=COUNTIF($C$7:indirect(""C""&amp;row()),indirect(""C""&amp;row()))),""Best of 2"",
AND(C71=""3x3 MBLD"",MOD(COUNTIF($C$7:indirect(""C""&amp;row()),indirect(""C""&amp;row())),3)=2,
COUNTIF($C$7:$C$102,indirect(""C""&amp;row()))&gt;COUNTIF($C$7:indirect(""C""&amp;row()),indirect("&amp;"""C""&amp;row()))),""Best of 3"",
AND(C71=""3x3 FMC"",MOD(COUNTIF($C$7:indirect(""C""&amp;row()),indirect(""C""&amp;row())),3)=1,
COUNTIF($C$7:$C$102,indirect(""C""&amp;row()))&lt;=COUNTIF($C$7:indirect(""C""&amp;row()),indirect(""C""&amp;row()))),""Best of 1"",
AND(C71=""3x3 FMC"""&amp;",MOD(COUNTIF($C$7:indirect(""C""&amp;row()),indirect(""C""&amp;row())),3)=1,
COUNTIF($C$7:$C$102,indirect(""C""&amp;row()))=COUNTIF($C$7:indirect(""C""&amp;row()),indirect(""C""&amp;row()))+1),""Best of 2"",
AND(C71=""3x3 FMC"",MOD(COUNTIF($C$7:indirect(""C""&amp;row()),indirect"&amp;"(""C""&amp;row())),3)=1,
COUNTIF($C$7:$C$102,indirect(""C""&amp;row()))&gt;COUNTIF($C$7:indirect(""C""&amp;row()),indirect(""C""&amp;row()))),""Mean of 3"",
AND(C71=""3x3 MBLD"",MOD(COUNTIF($C$7:indirect(""C""&amp;row()),indirect(""C""&amp;row())),3)=1,
COUNTIF($C$7:$C$102,indirect"&amp;"(""C""&amp;row()))&lt;=COUNTIF($C$7:indirect(""C""&amp;row()),indirect(""C""&amp;row()))),""Best of 1"",
AND(C71=""3x3 MBLD"",MOD(COUNTIF($C$7:indirect(""C""&amp;row()),indirect(""C""&amp;row())),3)=1,
COUNTIF($C$7:$C$102,indirect(""C""&amp;row()))=COUNTIF($C$7:indirect(""C""&amp;row()"&amp;"),indirect(""C""&amp;row()))+1),""Best of 2"",
AND(C71=""3x3 MBLD"",MOD(COUNTIF($C$7:indirect(""C""&amp;row()),indirect(""C""&amp;row())),3)=1,
COUNTIF($C$7:$C$102,indirect(""C""&amp;row()))&gt;COUNTIF($C$7:indirect(""C""&amp;row()),indirect(""C""&amp;row()))),""Best of 3"",
TRUE,("&amp;"IFERROR(FILTER(Info!$D$2:D97, Info!$A$2:A97 = C71), """")))"),"")</f>
        <v/>
      </c>
      <c r="G71" s="64" t="str">
        <f>IFERROR(__xludf.DUMMYFUNCTION("IFS(OR(COUNTIF(Info!$A$22:A97,C71)&gt;0,C71=""""),"""",
OR(""3x3 MBLD""=C71,""3x3 FMC""=C71),60,
AND(E71=1,FILTER(Info!$F$2:F97, Info!$A$2:A97 = C71) = ""No""),FILTER(Info!$P$2:P97, Info!$A$2:A97 = C71),
AND(E71=2,FILTER(Info!$F$2:F97, Info!$A$2:A97 = C71) ="&amp;" ""No""),FILTER(Info!$Q$2:Q97, Info!$A$2:A97 = C71),
AND(E71=3,FILTER(Info!$F$2:F97, Info!$A$2:A97 = C71) = ""No""),FILTER(Info!$R$2:R97, Info!$A$2:A97 = C71),
AND(E71=""Final"",FILTER(Info!$F$2:F97, Info!$A$2:A97 = C71) = ""No""),FILTER(Info!$S$2:S97, In"&amp;"fo!$A$2:A97 = C71),
FILTER(Info!$F$2:F97, Info!$A$2:A97 = C71) = ""Yes"","""")"),"")</f>
        <v/>
      </c>
      <c r="H71" s="64" t="str">
        <f>IFERROR(__xludf.DUMMYFUNCTION("IFS(OR(COUNTIF(Info!$A$22:A97,C71)&gt;0,C71=""""),"""",
OR(""3x3 MBLD""=C71,""3x3 FMC""=C71)=TRUE,"""",
FILTER(Info!$F$2:F97, Info!$A$2:A97 = C71) = ""Yes"",FILTER(Info!$O$2:O97, Info!$A$2:A97 = C71),
FILTER(Info!$F$2:F97, Info!$A$2:A97 = C71) = ""No"",IF(G7"&amp;"1="""",FILTER(Info!$O$2:O97, Info!$A$2:A97 = C71),""""))"),"")</f>
        <v/>
      </c>
      <c r="I71" s="64" t="str">
        <f>IFERROR(__xludf.DUMMYFUNCTION("IFS(OR(COUNTIF(Info!$A$22:A97,C71)&gt;0,C71="""",H71&lt;&gt;""""),"""",
AND(E71&lt;&gt;1,E71&lt;&gt;""R1 - A1"",E71&lt;&gt;""R1 - A2"",E71&lt;&gt;""R1 - A3""),"""",
FILTER(Info!$E$2:E97, Info!$A$2:A97 = C71) = ""Yes"",IF(H71="""",FILTER(Info!$L$2:L97, Info!$A$2:A97 = C71),""""),
FILTER(I"&amp;"nfo!$E$2:E97, Info!$A$2:A97 = C71) = ""No"","""")"),"")</f>
        <v/>
      </c>
      <c r="J71" s="64" t="str">
        <f>IFERROR(__xludf.DUMMYFUNCTION("IFS(OR(COUNTIF(Info!$A$22:A97,C71)&gt;0,C71="""",""3x3 MBLD""=C71,""3x3 FMC""=C71),"""",
AND(E71=1,FILTER(Info!$H$2:H97,Info!$A$2:A97 = C71)&lt;=FILTER(Info!$H$2:H97,Info!$A$2:A97=$K$2)),
ROUNDUP((FILTER(Info!$H$2:H97,Info!$A$2:A97 = C71)/FILTER(Info!$H$2:H97,I"&amp;"nfo!$A$2:A97=$K$2))*$I$2),
AND(E71=1,FILTER(Info!$H$2:H97,Info!$A$2:A97 = C71)&gt;FILTER(Info!$H$2:H97,Info!$A$2:A97=$K$2)),""K2 - Error"",
AND(E71=2,FILTER($J$7:indirect(""J""&amp;row()-1),$C$7:indirect(""C""&amp;row()-1)=C71)&lt;=7),""J - Error"",
E71=2,FLOOR(FILTER("&amp;"$J$7:indirect(""J""&amp;row()-1),$C$7:indirect(""C""&amp;row()-1)=C71)*Info!$T$32),
AND(E71=3,FILTER($J$7:indirect(""J""&amp;row()-1),$C$7:indirect(""C""&amp;row()-1)=C71)&lt;=15),""J - Error"",
E71=3,FLOOR(Info!$T$32*FLOOR(FILTER($J$7:indirect(""J""&amp;row()-1),$C$7:indirect("&amp;"""C""&amp;row()-1)=C71)*Info!$T$32)),
AND(E71=""Final"",COUNTIF($C$7:$C$102,C71)=2,FILTER($J$7:indirect(""J""&amp;row()-1),$C$7:indirect(""C""&amp;row()-1)=C71)&lt;=7),""J - Error"",
AND(E71=""Final"",COUNTIF($C$7:$C$102,C71)=2),
MIN(P71,FLOOR(FILTER($J$7:indirect(""J"""&amp;"&amp;row()-1),$C$7:indirect(""C""&amp;row()-1)=C71)*Info!$T$32)),
AND(E71=""Final"",COUNTIF($C$7:$C$102,C71)=3,FILTER($J$7:indirect(""J""&amp;row()-1),$C$7:indirect(""C""&amp;row()-1)=C71)&lt;=15),""J - Error"",
AND(E71=""Final"",COUNTIF($C$7:$C$102,C71)=3),
MIN(P71,FLOOR(I"&amp;"nfo!$T$32*FLOOR(FILTER($J$7:indirect(""J""&amp;row()-1),$C$7:indirect(""C""&amp;row()-1)=C71)*Info!$T$32))),
AND(E71=""Final"",COUNTIF($C$7:$C$102,C71)&gt;=4,FILTER($J$7:indirect(""J""&amp;row()-1),$C$7:indirect(""C""&amp;row()-1)=C71)&lt;=99),""J - Error"",
AND(E71=""Final"","&amp;"COUNTIF($C$7:$C$102,C71)&gt;=4),
MIN(P71,FLOOR(Info!$T$32*FLOOR(Info!$T$32*FLOOR(FILTER($J$7:indirect(""J""&amp;row()-1),$C$7:indirect(""C""&amp;row()-1)=C71)*Info!$T$32)))))"),"")</f>
        <v/>
      </c>
      <c r="K71" s="41" t="str">
        <f>IFERROR(__xludf.DUMMYFUNCTION("IFS(AND(indirect(""D""&amp;row()+2)&lt;&gt;$E$2,indirect(""D""&amp;row()+1)=""""),CONCATENATE(""Tom rad! Kopiera hela rad ""&amp;row()&amp;"" dit""),
AND(indirect(""D""&amp;row()-1)&lt;&gt;""Rum"",indirect(""D""&amp;row()-1)=""""),CONCATENATE(""Tom rad! Kopiera hela rad ""&amp;row()&amp;"" dit""),
"&amp;"C71="""","""",
COUNTIF(Info!$A$22:A97,$K$2)&gt;0,""Det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OR(AND(D71&lt;&gt;$E$2,D71&lt;&gt;$E$4,D71&lt;&gt;$K$4,D71&lt;&gt;$Q$4),D71="&amp;"""""),CONCATENATE(""Rum: ""&amp;D71&amp;"" finns ej, byt i D""&amp;row()),
AND(indirect(""D""&amp;row()-1)=""Rum"",C71=""""),CONCATENATE(""För att börja: skriv i cell C""&amp;row()),
AND(C71=""Paus"",M71&lt;=0),CONCATENATE(""Skriv pausens längd i M""&amp;row()),
OR(COUNTIF(Info!$A$"&amp;"22:A97,C71)&gt;0,C71=""""),"""",
AND(D71&lt;&gt;$E$2,$O$2=""Yes"",A71=""=time(hh;mm;ss)""),CONCATENATE(""Skriv starttid för ""&amp;C71&amp;"" i A""&amp;row()),
E71=""E - Error"",CONCATENATE(""För många ""&amp;C71&amp;"" rundor!""),
AND(C71&lt;&gt;""3x3 FMC"",C71&lt;&gt;""3x3 MBLD"",E71&lt;&gt;1,E71&lt;&gt;"&amp;"""Final"",IFERROR(FILTER($E$7:indirect(""E""&amp;row()-1),
$E$7:indirect(""E""&amp;row()-1)=E71-1,$C$7:indirect(""C""&amp;row()-1)=C71))=FALSE),CONCATENATE(""Kan ej vara R""&amp;E71&amp;"", saknar R""&amp;(E71-1)),
AND(indirect(""E""&amp;row()-1)&lt;&gt;""Omgång"",IFERROR(FILTER($E$7:indi"&amp;"rect(""E""&amp;row()-1),
$E$7:indirect(""E""&amp;row()-1)=E71,$C$7:indirect(""C""&amp;row()-1)=C71)=E71)=TRUE),CONCATENATE(""Runda ""&amp;E71&amp;"" i ""&amp;C71&amp;"" finns redan""),
AND(C71&lt;&gt;""3x3 BLD"",C71&lt;&gt;""4x4 BLD"",C71&lt;&gt;""5x5 BLD"",C71&lt;&gt;""4x4 / 5x5 BLD"",OR(E71=2,E71=3,E71="&amp;"""Final""),H71&lt;&gt;""""),CONCATENATE(E71&amp;""-rundor brukar ej ha c.t.l.""),
AND(OR(E71=2,E71=3,E71=""Final""),I71&lt;&gt;""""),CONCATENATE(E71&amp;""-rundor brukar ej ha cutoff""),
AND(OR(C71=""3x3 FMC"",C71=""3x3 MBLD""),OR(E71=1,E71=2,E71=3,E71=""Final"")),CONCATENAT"&amp;"E(C71&amp;""s omgång är Rx - Ax""),
AND(C71&lt;&gt;""3x3 MBLD"",C71&lt;&gt;""3x3 FMC"",FILTER(Info!$D$2:D97, Info!$A$2:A97 = C71)&lt;&gt;F71),CONCATENATE(C71&amp;"" måste ha formatet ""&amp;FILTER(Info!$D$2:D97, Info!$A$2:A97 = C71)),
AND(C71=""3x3 MBLD"",OR(F71=""Avg of 5"",F71=""Mea"&amp;"n of 3"")),CONCATENATE(""Ogiltigt format för ""&amp;C71),
AND(C71=""3x3 FMC"",OR(F71=""Avg of 5"",F71=""Best of 3"")),CONCATENATE(""Ogiltigt format för ""&amp;C71),
AND(OR(F71=""Best of 1"",F71=""Best of 2"",F71=""Best of 3""),I71&lt;&gt;""""),CONCATENATE(F71&amp;""-rundor"&amp;" får ej ha cutoff""),
AND(OR(C71=""3x3 FMC"",C71=""3x3 MBLD""),G71&lt;&gt;60),CONCATENATE(C71&amp;"" måste ha time limit: 60""),
AND(OR(C71=""3x3 FMC"",C71=""3x3 MBLD""),H71&lt;&gt;""""),CONCATENATE(C71&amp;"" kan inte ha c.t.l.""),
AND(G71&lt;&gt;"""",H71&lt;&gt;""""),""Välj time limit"&amp;" ELLER c.t.l"",
AND(C71=""6x6 / 7x7"",G71="""",H71=""""),""Sätt time limit (x / y) eller c.t.l (z)"",
AND(G71="""",H71=""""),""Sätt en time limit eller c.t.l"",
AND(OR(C71=""6x6 / 7x7"",C71=""4x4 / 5x5 BLD""),G71&lt;&gt;"""",REGEXMATCH(TO_TEXT(G71),"" / "")=FAL"&amp;"SE),CONCATENATE(""Time limit måste vara x / y""),
AND(H71&lt;&gt;"""",I71&lt;&gt;""""),CONCATENATE(C71&amp;"" brukar ej ha cutoff OCH c.t.l""),
AND(E71=1,H71="""",I71="""",OR(FILTER(Info!$E$2:E97, Info!$A$2:A97 = C71) = ""Yes"",FILTER(Info!$F$2:F97, Info!$A$2:A97 = C71) "&amp;"= ""Yes""),OR(F71=""Avg of 5"",F71=""Mean of 3"")),CONCATENATE(C71&amp;"" bör ha cutoff eller c.t.l""),
AND(C71=""6x6 / 7x7"",I71&lt;&gt;"""",REGEXMATCH(TO_TEXT(I71),"" / "")=FALSE),CONCATENATE(""Cutoff måste vara x / y""),
AND(H71&lt;&gt;"""",ISNUMBER(H71)=FALSE),""C.t."&amp;"l. måste vara positivt tal (x)"",
AND(C71&lt;&gt;""6x6 / 7x7"",I71&lt;&gt;"""",ISNUMBER(I71)=FALSE),""Cutoff måste vara positivt tal (x)"",
AND(H71&lt;&gt;"""",FILTER(Info!$E$2:E97, Info!$A$2:A97 = C71) = ""No"",FILTER(Info!$F$2:F97, Info!$A$2:A97 = C71) = ""No""),CONCATEN"&amp;"ATE(C71&amp;"" brukar inte ha c.t.l.""),
AND(I71&lt;&gt;"""",FILTER(Info!$E$2:E97, Info!$A$2:A97 = C71) = ""No"",FILTER(Info!$F$2:F97, Info!$A$2:A97 = C71) = ""No""),CONCATENATE(C71&amp;"" brukar inte ha cutoff""),
AND(H71="""",FILTER(Info!$F$2:F97, Info!$A$2:A97 = C71"&amp;") = ""Yes""),CONCATENATE(C71&amp;"" brukar ha c.t.l.""),
AND(C71&lt;&gt;""6x6 / 7x7"",C71&lt;&gt;""4x4 / 5x5 BLD"",G71&lt;&gt;"""",ISNUMBER(G71)=FALSE),""Time limit måste vara positivt tal (x)"",
J71=""J - Error"",CONCATENATE(""För få deltagare i R1 för ""&amp;COUNTIF($C$7:$C$102,"&amp;"indirect(""C""&amp;row()))&amp;"" rundor""),
J71=""K2 - Error"",CONCATENATE(C71&amp;"" är mer populär - byt i K2!""),
AND(C71&lt;&gt;""6x6 / 7x7"",C71&lt;&gt;""4x4 / 5x5 BLD"",G71&lt;&gt;"""",I71&lt;&gt;"""",G71&lt;=I71),""Time limit måste vara &gt; cutoff"",
AND(C71&lt;&gt;""6x6 / 7x7"",C71&lt;&gt;""4x4 / 5"&amp;"x5 BLD"",H71&lt;&gt;"""",I71&lt;&gt;"""",H71&lt;=I71),""C.t.l. måste vara &gt; cutoff"",
AND(C71&lt;&gt;""3x3 FMC"",C71&lt;&gt;""3x3 MBLD"",J71=""""),CONCATENATE(""Fyll i antal deltagare i J""&amp;row()),
AND(C71="""",OR(E71&lt;&gt;"""",F71&lt;&gt;"""",G71&lt;&gt;"""",H71&lt;&gt;"""",I71&lt;&gt;"""",J71&lt;&gt;"""")),""Skri"&amp;"v ALLTID gren / aktivitet först"",
AND(I71="""",H71="""",J71&lt;&gt;""""),J71,
OR(""3x3 FMC""=C71,""3x3 MBLD""=C71),J71,
AND(I71&lt;&gt;"""",""6x6 / 7x7""=C71),
IFS(ArrayFormula(SUM(IFERROR(SPLIT(I71,"" / ""))))&lt;(Info!$J$6+Info!$J$7)*2/3,CONCATENATE(""Höj helst cutof"&amp;"fs i ""&amp;C71),
ArrayFormula(SUM(IFERROR(SPLIT(I71,"" / ""))))&lt;=(Info!$J$6+Info!$J$7),ROUNDUP(J71*Info!$J$22),
ArrayFormula(SUM(IFERROR(SPLIT(I71,"" / ""))))&lt;=Info!$J$6+Info!$J$7,ROUNDUP(J71*Info!$K$22),
ArrayFormula(SUM(IFERROR(SPLIT(I71,"" / ""))))&lt;=Info!"&amp;"$K$6+Info!$K$7,ROUNDUP(J71*Info!L$22),
ArrayFormula(SUM(IFERROR(SPLIT(I71,"" / ""))))&lt;=Info!$L$6+Info!$L$7,ROUNDUP(J71*Info!$M$22),
ArrayFormula(SUM(IFERROR(SPLIT(I71,"" / ""))))&lt;=Info!$M$6+Info!$M$7,ROUNDUP(J71*Info!$N$22),
ArrayFormula(SUM(IFERROR(SPLIT"&amp;"(I71,"" / ""))))&lt;=(Info!$N$6+Info!$N$7)*3/2,ROUNDUP(J71*Info!$J$26),
ArrayFormula(SUM(IFERROR(SPLIT(I71,"" / ""))))&gt;(Info!$N$6+Info!$N$7)*3/2,CONCATENATE(""Sänk helst cutoffs i ""&amp;C71)),
AND(I71&lt;&gt;"""",FILTER(Info!$E$2:E97, Info!$A$2:A97 = C71) = ""Yes""),"&amp;"
IFS(I71&lt;FILTER(Info!$J$2:J97, Info!$A$2:A97 = C71)*2/3,CONCATENATE(""Höj helst cutoff i ""&amp;C71),
I71&lt;=FILTER(Info!$J$2:J97, Info!$A$2:A97 = C71),ROUNDUP(J71*Info!$J$22),
I71&lt;=FILTER(Info!$K$2:K97, Info!$A$2:A97 = C71),ROUNDUP(J71*Info!$K$22),
I71&lt;=FILTER"&amp;"(Info!$L$2:L97, Info!$A$2:A97 = C71),ROUNDUP(J71*Info!L$22),
I71&lt;=FILTER(Info!$M$2:M97, Info!$A$2:A97 = C71),ROUNDUP(J71*Info!$M$22),
I71&lt;=FILTER(Info!$N$2:N97, Info!$A$2:A97 = C71),ROUNDUP(J71*Info!$N$22),
I71&lt;=FILTER(Info!$N$2:N97, Info!$A$2:A97 = C71)*"&amp;"3/2,ROUNDUP(J71*Info!$J$26),
I71&gt;FILTER(Info!$N$2:N97, Info!$A$2:A97 = C71)*3/2,CONCATENATE(""Sänk helst cutoff i ""&amp;C71)),
AND(H71&lt;&gt;"""",""6x6 / 7x7""=C71),
IFS(H71/3&lt;=(Info!$J$6+Info!$J$7)*2/3,""Höj helst cumulative time limit"",
H71/3&lt;=Info!$J$6+Info!$"&amp;"J$7,ROUNDUP(J71*Info!$J$24),
H71/3&lt;=Info!$K$6+Info!$K$7,ROUNDUP(J71*Info!$K$24),
H71/3&lt;=Info!$L$6+Info!$L$7,ROUNDUP(J71*Info!L$24),
H71/3&lt;=Info!$M$6+Info!$M$7,ROUNDUP(J71*Info!$M$24),
H71/3&lt;=Info!$N$6+Info!$N$7,ROUNDUP(J71*Info!$N$24),
H71/3&lt;=(Info!$N$6+I"&amp;"nfo!$N$7)*3/2,ROUNDUP(J71*Info!$L$26),
H71/3&gt;(Info!$J$6+Info!$J$7)*3/2,""Sänk helst cumulative time limit""),
AND(H71&lt;&gt;"""",FILTER(Info!$F$2:F97, Info!$A$2:A97 = C71) = ""Yes""),
IFS(H71&lt;=FILTER(Info!$J$2:J97, Info!$A$2:A97 = C71)*2/3,CONCATENATE(""Höj he"&amp;"lst c.t.l. i ""&amp;C71),
H71&lt;=FILTER(Info!$J$2:J97, Info!$A$2:A97 = C71),ROUNDUP(J71*Info!$J$24),
H71&lt;=FILTER(Info!$K$2:K97, Info!$A$2:A97 = C71),ROUNDUP(J71*Info!$K$24),
H71&lt;=FILTER(Info!$L$2:L97, Info!$A$2:A97 = C71),ROUNDUP(J71*Info!L$24),
H71&lt;=FILTER(Inf"&amp;"o!$M$2:M97, Info!$A$2:A97 = C71),ROUNDUP(J71*Info!$M$24),
H71&lt;=FILTER(Info!$N$2:N97, Info!$A$2:A97 = C71),ROUNDUP(J71*Info!$N$24),
H71&lt;=FILTER(Info!$N$2:N97, Info!$A$2:A97 = C71)*3/2,ROUNDUP(J71*Info!$L$26),
H71&gt;FILTER(Info!$N$2:N97, Info!$A$2:A97 = C71)*"&amp;"3/2,CONCATENATE(""Sänk helst c.t.l. i ""&amp;C71)),
AND(H71&lt;&gt;"""",FILTER(Info!$F$2:F97, Info!$A$2:A97 = C71) = ""No""),
IFS(H71/AA71&lt;=FILTER(Info!$J$2:J97, Info!$A$2:A97 = C71)*2/3,CONCATENATE(""Höj helst c.t.l. i ""&amp;C71),
H71/AA71&lt;=FILTER(Info!$J$2:J97, Info"&amp;"!$A$2:A97 = C71),ROUNDUP(J71*Info!$J$24),
H71/AA71&lt;=FILTER(Info!$K$2:K97, Info!$A$2:A97 = C71),ROUNDUP(J71*Info!$K$24),
H71/AA71&lt;=FILTER(Info!$L$2:L97, Info!$A$2:A97 = C71),ROUNDUP(J71*Info!L$24),
H71/AA71&lt;=FILTER(Info!$M$2:M97, Info!$A$2:A97 = C71),ROUND"&amp;"UP(J71*Info!$M$24),
H71/AA71&lt;=FILTER(Info!$N$2:N97, Info!$A$2:A97 = C71),ROUNDUP(J71*Info!$N$24),
H71/AA71&lt;=FILTER(Info!$N$2:N97, Info!$A$2:A97 = C71)*3/2,ROUNDUP(J71*Info!$L$26),
H71/AA71&gt;FILTER(Info!$N$2:N97, Info!$A$2:A97 = C71)*3/2,CONCATENATE(""Sänk "&amp;"helst c.t.l. i ""&amp;C71)),
AND(I71="""",H71&lt;&gt;"""",J71&lt;&gt;""""),ROUNDUP(J71*Info!$T$29),
AND(I71&lt;&gt;"""",H71="""",J71&lt;&gt;""""),ROUNDUP(J71*Info!$T$26))"),"")</f>
        <v/>
      </c>
      <c r="L71" s="42">
        <f>IFERROR(__xludf.DUMMYFUNCTION("IFS(C71="""",0,
C71=""3x3 FMC"",Info!$B$9*N71+M71, C71=""3x3 MBLD"",Info!$B$18*N71+M71,
COUNTIF(Info!$A$22:A97,C71)&gt;0,FILTER(Info!$B$22:B97,Info!$A$22:A97=C71)+M71,
AND(C71&lt;&gt;"""",E71=""""),CONCATENATE(""Fyll i E""&amp;row()),
AND(C71&lt;&gt;"""",E71&lt;&gt;"""",E71&lt;&gt;1,E7"&amp;"1&lt;&gt;2,E71&lt;&gt;3,E71&lt;&gt;""Final""),CONCATENATE(""Fel format på E""&amp;row()),
K71=CONCATENATE(""Runda ""&amp;E71&amp;"" i ""&amp;C71&amp;"" finns redan""),CONCATENATE(""Fel i E""&amp;row()),
AND(C71&lt;&gt;"""",F71=""""),CONCATENATE(""Fyll i F""&amp;row()),
K71=CONCATENATE(C71&amp;"" måste ha forma"&amp;"tet ""&amp;FILTER(Info!$D$2:D97, Info!$A$2:A97 = C71)),CONCATENATE(""Fel format på F""&amp;row()),
AND(C71&lt;&gt;"""",D71=1,H71="""",FILTER(Info!$F$2:F97, Info!$A$2:A97 = C71) = ""Yes""),CONCATENATE(""Fyll i H""&amp;row()),
AND(C71&lt;&gt;"""",D71=1,I71="""",FILTER(Info!$E$2:E9"&amp;"7, Info!$A$2:A97 = C71) = ""Yes""),CONCATENATE(""Fyll i I""&amp;row()),
AND(C71&lt;&gt;"""",J71=""""),CONCATENATE(""Fyll i J""&amp;row()),
AND(C71&lt;&gt;"""",K71="""",OR(H71&lt;&gt;"""",I71&lt;&gt;"""")),CONCATENATE(""Fyll i K""&amp;row()),
AND(C71&lt;&gt;"""",K71=""""),CONCATENATE(""Skriv samma"&amp;" i K""&amp;row()&amp;"" som i J""&amp;row()),
AND(OR(C71=""4x4 BLD"",C71=""5x5 BLD"",C71=""4x4 / 5x5 BLD"")=TRUE,V71&lt;=P71),
MROUND(H71*(Info!$T$20-((Info!$T$20-1)/2)*(1-V71/P71))*(1+((J71/K71)-1)*(1-Info!$J$24))*N71+(Info!$T$11/2)+(N71*Info!$T$11)+(N71*Info!$T$14*(O7"&amp;"1-1)),0.01)+M71,
AND(OR(C71=""4x4 BLD"",C71=""5x5 BLD"",C71=""4x4 / 5x5 BLD"")=TRUE,V71&gt;P71),
MROUND((((J71*Z71+K71*(AA71-Z71))*(H71*Info!$T$20/AA71))/X71)*(1+((J71/K71)-1)*(1-Info!$J$24))*(1+(X71-Info!$T$8)/100)+(Info!$T$11/2)+(N71*Info!$T$11)+(N71*Info!"&amp;"$T$14*(O71-1)),0.01)+M71,
AND(C71=""3x3 BLD"",V71&lt;=P71),
MROUND(H71*(Info!$T$23-((Info!$T$23-1)/2)*(1-V71/P71))*(1+((J71/K71)-1)*(1-Info!$J$24))*N71+(Info!$T$11/2)+(N71*Info!$T$11)+(N71*Info!$T$14*(O71-1)),0.01)+M71,
AND(C71=""3x3 BLD"",V71&gt;P71),
MROUND(("&amp;"((J71*Z71+K71*(AA71-Z71))*(H71*Info!$T$23/AA71))/X71)*(1+((J71/K71)-1)*(1-Info!$J$24))*(1+(X71-Info!$T$8)/100)+(Info!$T$11/2)+(N71*Info!$T$11)+(N71*Info!$T$14*(O71-1)),0.01)+M71,
E71=1,MROUND((((J71*Z71+K71*(AA71-Z71))*Y71)/X71)*(1+(X71-Info!$T$8)/100)+(N"&amp;"71*Info!$T$11)+(N71*Info!$T$14*(O71-1)),0.01)+M71,
AND(E71=""Final"",N71=1,FILTER(Info!$G$2:$G$20,Info!$A$2:$A$20=C71)=""Mycket svår""),
MROUND((((J71*Z71+K71*(AA71-Z71))*(Y71*Info!$T$38))/X71)*(1+(X71-Info!$T$8)/100)+(N71*Info!$T$11)+(N71*Info!$T$14*(O71"&amp;"-1)),0.01)+M71,
AND(E71=""Final"",N71=1,FILTER(Info!$G$2:$G$20,Info!$A$2:$A$20=C71)=""Svår""),
MROUND((((J71*Z71+K71*(AA71-Z71))*(Y71*Info!$T$35))/X71)*(1+(X71-Info!$T$8)/100)+(N71*Info!$T$11)+(N71*Info!$T$14*(O71-1)),0.01)+M71,
E71=""Final"",MROUND((((J7"&amp;"1*Z71+K71*(AA71-Z71))*(Y71*Info!$T$5))/X71)*(1+(X71-Info!$T$8)/100)+(N71*Info!$T$11)+(N71*Info!$T$14*(O71-1)),0.01)+M71,
OR(E71=2,E71=3),MROUND((((J71*Z71+K71*(AA71-Z71))*(Y71*Info!$T$2))/X71)*(1+(X71-Info!$T$8)/100)+(N71*Info!$T$11)+(N71*Info!$T$14*(O71-"&amp;"1)),0.01)+M71)"),0.0)</f>
        <v>0</v>
      </c>
      <c r="M71" s="43">
        <f t="shared" si="6"/>
        <v>0</v>
      </c>
      <c r="N71" s="43" t="str">
        <f>IFS(OR(COUNTIF(Info!$A$22:A97,C71)&gt;0,C71=""),"",
OR(C71="4x4 BLD",C71="5x5 BLD",C71="3x3 MBLD",C71="3x3 FMC",C71="4x4 / 5x5 BLD"),1,
AND(E71="Final",Q71="Yes",MAX(1,ROUNDUP(J71/P71))&gt;1),MAX(2,ROUNDUP(J71/P71)),
AND(E71="Final",Q71="No",MAX(1,ROUNDUP(J71/((P71*2)+2.625-Y71*1.5)))&gt;1),MAX(2,ROUNDUP(J71/((P71*2)+2.625-Y71*1.5))),
E71="Final",1,
Q71="Yes",MAX(2,ROUNDUP(J71/P71)),
TRUE,MAX(2,ROUNDUP(J71/((P71*2)+2.625-Y71*1.5))))</f>
        <v/>
      </c>
      <c r="O71" s="43" t="str">
        <f>IFS(OR(COUNTIF(Info!$A$22:A97,C71)&gt;0,C71=""),"",
OR("3x3 MBLD"=C71,"3x3 FMC"=C71)=TRUE,"",
D71=$E$4,$G$6,D71=$K$4,$M$6,D71=$Q$4,$S$6,D71=$W$4,$Y$6,
TRUE,$S$2)</f>
        <v/>
      </c>
      <c r="P71" s="43" t="str">
        <f>IFS(OR(COUNTIF(Info!$A$22:A97,C71)&gt;0,C71=""),"",
OR("3x3 MBLD"=C71,"3x3 FMC"=C71)=TRUE,"",
D71=$E$4,$E$6,D71=$K$4,$K$6,D71=$Q$4,$Q$6,D71=$W$4,$W$6,
TRUE,$Q$2)</f>
        <v/>
      </c>
      <c r="Q71" s="44" t="str">
        <f>IFS(OR(COUNTIF(Info!$A$22:A97,C71)&gt;0,C71=""),"",
OR("3x3 MBLD"=C71,"3x3 FMC"=C71)=TRUE,"",
D71=$E$4,$I$6,D71=$K$4,$O$6,D71=$Q$4,$U$6,D71=$W$4,$AA$6,
TRUE,$U$2)</f>
        <v/>
      </c>
      <c r="R71" s="65" t="str">
        <f>IFERROR(__xludf.DUMMYFUNCTION("IF(C71="""","""",IFERROR(FILTER(Info!$B$22:B97,Info!$A$22:A97=C71)+M71,""?""))"),"")</f>
        <v/>
      </c>
      <c r="S71" s="66" t="str">
        <f>IFS(OR(COUNTIF(Info!$A$22:A97,C71)&gt;0,C71=""),"",
AND(H71="",I71=""),J71,
TRUE,"?")</f>
        <v/>
      </c>
      <c r="T71" s="65" t="str">
        <f>IFS(OR(COUNTIF(Info!$A$22:A97,C71)&gt;0,C71=""),"",
AND(L71&lt;&gt;0,OR(R71="?",R71="")),"Fyll i R-kolumnen",
OR(C71="3x3 FMC",C71="3x3 MBLD"),R71,
AND(L71&lt;&gt;0,OR(S71="?",S71="")),"Fyll i S-kolumnen",
OR(COUNTIF(Info!$A$22:A97,C71)&gt;0,C71=""),"",
TRUE,Y71*R71/L71)</f>
        <v/>
      </c>
      <c r="U71" s="65"/>
      <c r="V71" s="67" t="str">
        <f>IFS(OR(COUNTIF(Info!$A$22:A97,C71)&gt;0,C71=""),"",
OR("3x3 MBLD"=C71,"3x3 FMC"=C71)=TRUE,"",
TRUE,MROUND((J71/N71),0.01))</f>
        <v/>
      </c>
      <c r="W71" s="68" t="str">
        <f>IFS(OR(COUNTIF(Info!$A$22:A97,C71)&gt;0,C71=""),"",
TRUE,L71/N71)</f>
        <v/>
      </c>
      <c r="X71" s="67" t="str">
        <f>IFS(OR(COUNTIF(Info!$A$22:A97,C71)&gt;0,C71=""),"",
OR("3x3 MBLD"=C71,"3x3 FMC"=C71)=TRUE,"",
OR(C71="4x4 BLD",C71="5x5 BLD",C71="4x4 / 5x5 BLD",AND(C71="3x3 BLD",H71&lt;&gt;""))=TRUE,MIN(V71,P71),
TRUE,MIN(P71,V71,MROUND(((V71*2/3)+((Y71-1.625)/2)),0.01)))</f>
        <v/>
      </c>
      <c r="Y71" s="68" t="str">
        <f>IFERROR(__xludf.DUMMYFUNCTION("IFS(OR(COUNTIF(Info!$A$22:A97,C71)&gt;0,C71=""""),"""",
FILTER(Info!$F$2:F97, Info!$A$2:A97 = C71) = ""Yes"",H71/AA71,
""3x3 FMC""=C71,Info!$B$9,""3x3 MBLD""=C71,Info!$B$18,
AND(E71=1,I71="""",H71="""",Q71=""No"",G71&gt;SUMIF(Info!$A$2:A97,C71,Info!$B$2:B97)*1."&amp;"5),
MIN(SUMIF(Info!$A$2:A97,C71,Info!$B$2:B97)*1.1,SUMIF(Info!$A$2:A97,C71,Info!$B$2:B97)*(1.15-(0.15*(SUMIF(Info!$A$2:A97,C71,Info!$B$2:B97)*1.5)/G71))),
AND(E71=1,I71="""",H71="""",Q71=""Yes"",G71&gt;SUMIF(Info!$A$2:A97,C71,Info!$C$2:C97)*1.5),
MIN(SUMIF(I"&amp;"nfo!$A$2:A97,C71,Info!$C$2:C97)*1.1,SUMIF(Info!$A$2:A97,C71,Info!$C$2:C97)*(1.15-(0.15*(SUMIF(Info!$A$2:A97,C71,Info!$C$2:C97)*1.5)/G71))),
Q71=""No"",SUMIF(Info!$A$2:A97,C71,Info!$B$2:B97),
Q71=""Yes"",SUMIF(Info!$A$2:A97,C71,Info!$C$2:C97))"),"")</f>
        <v/>
      </c>
      <c r="Z71" s="67" t="str">
        <f>IFS(OR(COUNTIF(Info!$A$22:A97,C71)&gt;0,C71=""),"",
AND(OR("3x3 FMC"=C71,"3x3 MBLD"=C71),I71&lt;&gt;""),1,
AND(OR(H71&lt;&gt;"",I71&lt;&gt;""),F71="Avg of 5"),2,
F71="Avg of 5",AA71,
AND(OR(H71&lt;&gt;"",I71&lt;&gt;""),F71="Mean of 3",C71="6x6 / 7x7"),2,
AND(OR(H71&lt;&gt;"",I71&lt;&gt;""),F71="Mean of 3"),1,
F71="Mean of 3",AA71,
AND(OR(H71&lt;&gt;"",I71&lt;&gt;""),F71="Best of 3",C71="4x4 / 5x5 BLD"),2,
AND(OR(H71&lt;&gt;"",I71&lt;&gt;""),F71="Best of 3"),1,
F71="Best of 2",AA71,
F71="Best of 1",AA71)</f>
        <v/>
      </c>
      <c r="AA71" s="67" t="str">
        <f>IFS(OR(COUNTIF(Info!$A$22:A97,C71)&gt;0,C71=""),"",
AND(OR("3x3 MBLD"=C71,"3x3 FMC"=C71),F71="Best of 1"=TRUE),1,
AND(OR("3x3 MBLD"=C71,"3x3 FMC"=C71),F71="Best of 2"=TRUE),2,
AND(OR("3x3 MBLD"=C71,"3x3 FMC"=C71),OR(F71="Best of 3",F71="Mean of 3")=TRUE),3,
AND(F71="Mean of 3",C71="6x6 / 7x7"),6,
AND(F71="Best of 3",C71="4x4 / 5x5 BLD"),6,
F71="Avg of 5",5,F71="Mean of 3",3,F71="Best of 3",3,F71="Best of 2",2,F71="Best of 1",1)</f>
        <v/>
      </c>
      <c r="AB71" s="69"/>
    </row>
    <row r="72" ht="15.75" customHeight="1">
      <c r="A72" s="62">
        <f>IFERROR(__xludf.DUMMYFUNCTION("IFS(indirect(""A""&amp;row()-1)=""Start"",TIME(indirect(""A""&amp;row()-2),indirect(""B""&amp;row()-2),0),
$O$2=""No"",TIME(0,($A$6*60+$B$6)+CEILING(SUM($L$7:indirect(""L""&amp;row()-1)),5),0),
D72=$E$2,TIME(0,($A$6*60+$B$6)+CEILING(SUM(IFERROR(FILTER($L$7:indirect(""L"""&amp;"&amp;row()-1),REGEXMATCH($D$7:indirect(""D""&amp;row()-1),$E$2)),0)),5),0),
TRUE,""=time(hh;mm;ss)"")"),0.3645833333333335)</f>
        <v>0.3645833333</v>
      </c>
      <c r="B72" s="63">
        <f>IFERROR(__xludf.DUMMYFUNCTION("IFS($O$2=""No"",TIME(0,($A$6*60+$B$6)+CEILING(SUM($L$7:indirect(""L""&amp;row())),5),0),
D72=$E$2,TIME(0,($A$6*60+$B$6)+CEILING(SUM(FILTER($L$7:indirect(""L""&amp;row()),REGEXMATCH($D$7:indirect(""D""&amp;row()),$E$2))),5),0),
A72=""=time(hh;mm;ss)"",CONCATENATE(""Sk"&amp;"riv tid i A""&amp;row()),
AND(A72&lt;&gt;"""",A72&lt;&gt;""=time(hh;mm;ss)""),A72+TIME(0,CEILING(indirect(""L""&amp;row()),5),0))"),0.3645833333333335)</f>
        <v>0.3645833333</v>
      </c>
      <c r="C72" s="37"/>
      <c r="D72" s="64" t="str">
        <f t="shared" si="7"/>
        <v>Stora salen</v>
      </c>
      <c r="E72" s="64" t="str">
        <f>IFERROR(__xludf.DUMMYFUNCTION("IFS(COUNTIF(Info!$A$22:A98,C72)&gt;0,"""",
AND(OR(""3x3 FMC""=C72,""3x3 MBLD""=C72),COUNTIF($C$7:indirect(""C""&amp;row()),indirect(""C""&amp;row()))&gt;=13),""E - Error"",
AND(OR(""3x3 FMC""=C72,""3x3 MBLD""=C72),COUNTIF($C$7:indirect(""C""&amp;row()),indirect(""C""&amp;row()"&amp;"))=12),""Final - A3"",
AND(OR(""3x3 FMC""=C72,""3x3 MBLD""=C72),COUNTIF($C$7:indirect(""C""&amp;row()),indirect(""C""&amp;row()))=11),""Final - A2"",
AND(OR(""3x3 FMC""=C72,""3x3 MBLD""=C72),COUNTIF($C$7:indirect(""C""&amp;row()),indirect(""C""&amp;row()))=10),""Final - "&amp;"A1"",
AND(OR(""3x3 FMC""=C72,""3x3 MBLD""=C72),COUNTIF($C$7:indirect(""C""&amp;row()),indirect(""C""&amp;row()))=9,
COUNTIF($C$7:$C$102,indirect(""C""&amp;row()))&gt;9),""R3 - A3"",
AND(OR(""3x3 FMC""=C72,""3x3 MBLD""=C72),COUNTIF($C$7:indirect(""C""&amp;row()),indirect(""C"&amp;"""&amp;row()))=9,
COUNTIF($C$7:$C$102,indirect(""C""&amp;row()))&lt;=9),""Final - A3"",
AND(OR(""3x3 FMC""=C72,""3x3 MBLD""=C72),COUNTIF($C$7:indirect(""C""&amp;row()),indirect(""C""&amp;row()))=8,
COUNTIF($C$7:$C$102,indirect(""C""&amp;row()))&gt;9),""R3 - A2"",
AND(OR(""3x3 FMC"&amp;"""=C72,""3x3 MBLD""=C72),COUNTIF($C$7:indirect(""C""&amp;row()),indirect(""C""&amp;row()))=8,
COUNTIF($C$7:$C$102,indirect(""C""&amp;row()))&lt;=9),""Final - A2"",
AND(OR(""3x3 FMC""=C72,""3x3 MBLD""=C72),COUNTIF($C$7:indirect(""C""&amp;row()),indirect(""C""&amp;row()))=7,
COUN"&amp;"TIF($C$7:$C$102,indirect(""C""&amp;row()))&gt;9),""R3 - A1"",
AND(OR(""3x3 FMC""=C72,""3x3 MBLD""=C72),COUNTIF($C$7:indirect(""C""&amp;row()),indirect(""C""&amp;row()))=7,
COUNTIF($C$7:$C$102,indirect(""C""&amp;row()))&lt;=9),""Final - A1"",
AND(OR(""3x3 FMC""=C72,""3x3 MBLD"""&amp;"=C72),COUNTIF($C$7:indirect(""C""&amp;row()),indirect(""C""&amp;row()))=6,
COUNTIF($C$7:$C$102,indirect(""C""&amp;row()))&gt;6),""R2 - A3"",
AND(OR(""3x3 FMC""=C72,""3x3 MBLD""=C72),COUNTIF($C$7:indirect(""C""&amp;row()),indirect(""C""&amp;row()))=6,
COUNTIF($C$7:$C$102,indirec"&amp;"t(""C""&amp;row()))&lt;=6),""Final - A3"",
AND(OR(""3x3 FMC""=C72,""3x3 MBLD""=C72),COUNTIF($C$7:indirect(""C""&amp;row()),indirect(""C""&amp;row()))=5,
COUNTIF($C$7:$C$102,indirect(""C""&amp;row()))&gt;6),""R2 - A2"",
AND(OR(""3x3 FMC""=C72,""3x3 MBLD""=C72),COUNTIF($C$7:indi"&amp;"rect(""C""&amp;row()),indirect(""C""&amp;row()))=5,
COUNTIF($C$7:$C$102,indirect(""C""&amp;row()))&lt;=6),""Final - A2"",
AND(OR(""3x3 FMC""=C72,""3x3 MBLD""=C72),COUNTIF($C$7:indirect(""C""&amp;row()),indirect(""C""&amp;row()))=4,
COUNTIF($C$7:$C$102,indirect(""C""&amp;row()))&gt;6),"&amp;"""R2 - A1"",
AND(OR(""3x3 FMC""=C72,""3x3 MBLD""=C72),COUNTIF($C$7:indirect(""C""&amp;row()),indirect(""C""&amp;row()))=4,
COUNTIF($C$7:$C$102,indirect(""C""&amp;row()))&lt;=6),""Final - A1"",
AND(OR(""3x3 FMC""=C72,""3x3 MBLD""=C72),COUNTIF($C$7:indirect(""C""&amp;row()),i"&amp;"ndirect(""C""&amp;row()))=3),""R1 - A3"",
AND(OR(""3x3 FMC""=C72,""3x3 MBLD""=C72),COUNTIF($C$7:indirect(""C""&amp;row()),indirect(""C""&amp;row()))=2),""R1 - A2"",
AND(OR(""3x3 FMC""=C72,""3x3 MBLD""=C72),COUNTIF($C$7:indirect(""C""&amp;row()),indirect(""C""&amp;row()))=1),"&amp;"""R1 -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98, Info!$A$2:A98 = C72),ROUNDUP((FILTER(Info!$H$2:H98,Info!$A$2:A98=C72)/FILTER(Info!$H$2:H98,Info!$A$2:A98=$K$2))*$I$2)&gt;99),3,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98, Info!$A$2:A98 = C72),ROUNDUP((FILTER(Info!$H$2:H98,Info!$A$2:A98=C72)/FILTER(Info!$H$2:H98,Info!$A$2:A98=$K$2))*$I$2)&gt;15),2,
AND(COUNTIF($C$7:indirect(""C""&amp;row()),indirect(""C""&amp;row()))=2,COUNTIF($C$7:$C$102,indirect(""C""&amp;row()))=COUNTIF($"&amp;"C$7:indirect(""C""&amp;row()),indirect(""C""&amp;row()))),""Final"",
COUNTIF($C$7:indirect(""C""&amp;row()),indirect(""C""&amp;row()))=1,1,
COUNTIF($C$7:indirect(""C""&amp;row()),indirect(""C""&amp;row()))=0,"""")"),"")</f>
        <v/>
      </c>
      <c r="F72" s="64" t="str">
        <f>IFERROR(__xludf.DUMMYFUNCTION("IFS(C72="""","""",
AND(C72=""3x3 FMC"",MOD(COUNTIF($C$7:indirect(""C""&amp;row()),indirect(""C""&amp;row())),3)=0),""Mean of 3"",
AND(C72=""3x3 MBLD"",MOD(COUNTIF($C$7:indirect(""C""&amp;row()),indirect(""C""&amp;row())),3)=0),""Best of 3"",
AND(C72=""3x3 FMC"",MOD(COUNT"&amp;"IF($C$7:indirect(""C""&amp;row()),indirect(""C""&amp;row())),3)=2,
COUNTIF($C$7:$C$102,indirect(""C""&amp;row()))&lt;=COUNTIF($C$7:indirect(""C""&amp;row()),indirect(""C""&amp;row()))),""Best of 2"",
AND(C72=""3x3 FMC"",MOD(COUNTIF($C$7:indirect(""C""&amp;row()),indirect(""C""&amp;row("&amp;"))),3)=2,
COUNTIF($C$7:$C$102,indirect(""C""&amp;row()))&gt;COUNTIF($C$7:indirect(""C""&amp;row()),indirect(""C""&amp;row()))),""Mean of 3"",
AND(C72=""3x3 MBLD"",MOD(COUNTIF($C$7:indirect(""C""&amp;row()),indirect(""C""&amp;row())),3)=2,
COUNTIF($C$7:$C$102,indirect(""C""&amp;row("&amp;")))&lt;=COUNTIF($C$7:indirect(""C""&amp;row()),indirect(""C""&amp;row()))),""Best of 2"",
AND(C72=""3x3 MBLD"",MOD(COUNTIF($C$7:indirect(""C""&amp;row()),indirect(""C""&amp;row())),3)=2,
COUNTIF($C$7:$C$102,indirect(""C""&amp;row()))&gt;COUNTIF($C$7:indirect(""C""&amp;row()),indirect("&amp;"""C""&amp;row()))),""Best of 3"",
AND(C72=""3x3 FMC"",MOD(COUNTIF($C$7:indirect(""C""&amp;row()),indirect(""C""&amp;row())),3)=1,
COUNTIF($C$7:$C$102,indirect(""C""&amp;row()))&lt;=COUNTIF($C$7:indirect(""C""&amp;row()),indirect(""C""&amp;row()))),""Best of 1"",
AND(C72=""3x3 FMC"""&amp;",MOD(COUNTIF($C$7:indirect(""C""&amp;row()),indirect(""C""&amp;row())),3)=1,
COUNTIF($C$7:$C$102,indirect(""C""&amp;row()))=COUNTIF($C$7:indirect(""C""&amp;row()),indirect(""C""&amp;row()))+1),""Best of 2"",
AND(C72=""3x3 FMC"",MOD(COUNTIF($C$7:indirect(""C""&amp;row()),indirect"&amp;"(""C""&amp;row())),3)=1,
COUNTIF($C$7:$C$102,indirect(""C""&amp;row()))&gt;COUNTIF($C$7:indirect(""C""&amp;row()),indirect(""C""&amp;row()))),""Mean of 3"",
AND(C72=""3x3 MBLD"",MOD(COUNTIF($C$7:indirect(""C""&amp;row()),indirect(""C""&amp;row())),3)=1,
COUNTIF($C$7:$C$102,indirect"&amp;"(""C""&amp;row()))&lt;=COUNTIF($C$7:indirect(""C""&amp;row()),indirect(""C""&amp;row()))),""Best of 1"",
AND(C72=""3x3 MBLD"",MOD(COUNTIF($C$7:indirect(""C""&amp;row()),indirect(""C""&amp;row())),3)=1,
COUNTIF($C$7:$C$102,indirect(""C""&amp;row()))=COUNTIF($C$7:indirect(""C""&amp;row()"&amp;"),indirect(""C""&amp;row()))+1),""Best of 2"",
AND(C72=""3x3 MBLD"",MOD(COUNTIF($C$7:indirect(""C""&amp;row()),indirect(""C""&amp;row())),3)=1,
COUNTIF($C$7:$C$102,indirect(""C""&amp;row()))&gt;COUNTIF($C$7:indirect(""C""&amp;row()),indirect(""C""&amp;row()))),""Best of 3"",
TRUE,("&amp;"IFERROR(FILTER(Info!$D$2:D98, Info!$A$2:A98 = C72), """")))"),"")</f>
        <v/>
      </c>
      <c r="G72" s="64" t="str">
        <f>IFERROR(__xludf.DUMMYFUNCTION("IFS(OR(COUNTIF(Info!$A$22:A98,C72)&gt;0,C72=""""),"""",
OR(""3x3 MBLD""=C72,""3x3 FMC""=C72),60,
AND(E72=1,FILTER(Info!$F$2:F98, Info!$A$2:A98 = C72) = ""No""),FILTER(Info!$P$2:P98, Info!$A$2:A98 = C72),
AND(E72=2,FILTER(Info!$F$2:F98, Info!$A$2:A98 = C72) ="&amp;" ""No""),FILTER(Info!$Q$2:Q98, Info!$A$2:A98 = C72),
AND(E72=3,FILTER(Info!$F$2:F98, Info!$A$2:A98 = C72) = ""No""),FILTER(Info!$R$2:R98, Info!$A$2:A98 = C72),
AND(E72=""Final"",FILTER(Info!$F$2:F98, Info!$A$2:A98 = C72) = ""No""),FILTER(Info!$S$2:S98, In"&amp;"fo!$A$2:A98 = C72),
FILTER(Info!$F$2:F98, Info!$A$2:A98 = C72) = ""Yes"","""")"),"")</f>
        <v/>
      </c>
      <c r="H72" s="64" t="str">
        <f>IFERROR(__xludf.DUMMYFUNCTION("IFS(OR(COUNTIF(Info!$A$22:A98,C72)&gt;0,C72=""""),"""",
OR(""3x3 MBLD""=C72,""3x3 FMC""=C72)=TRUE,"""",
FILTER(Info!$F$2:F98, Info!$A$2:A98 = C72) = ""Yes"",FILTER(Info!$O$2:O98, Info!$A$2:A98 = C72),
FILTER(Info!$F$2:F98, Info!$A$2:A98 = C72) = ""No"",IF(G7"&amp;"2="""",FILTER(Info!$O$2:O98, Info!$A$2:A98 = C72),""""))"),"")</f>
        <v/>
      </c>
      <c r="I72" s="64" t="str">
        <f>IFERROR(__xludf.DUMMYFUNCTION("IFS(OR(COUNTIF(Info!$A$22:A98,C72)&gt;0,C72="""",H72&lt;&gt;""""),"""",
AND(E72&lt;&gt;1,E72&lt;&gt;""R1 - A1"",E72&lt;&gt;""R1 - A2"",E72&lt;&gt;""R1 - A3""),"""",
FILTER(Info!$E$2:E98, Info!$A$2:A98 = C72) = ""Yes"",IF(H72="""",FILTER(Info!$L$2:L98, Info!$A$2:A98 = C72),""""),
FILTER(I"&amp;"nfo!$E$2:E98, Info!$A$2:A98 = C72) = ""No"","""")"),"")</f>
        <v/>
      </c>
      <c r="J72" s="64" t="str">
        <f>IFERROR(__xludf.DUMMYFUNCTION("IFS(OR(COUNTIF(Info!$A$22:A98,C72)&gt;0,C72="""",""3x3 MBLD""=C72,""3x3 FMC""=C72),"""",
AND(E72=1,FILTER(Info!$H$2:H98,Info!$A$2:A98 = C72)&lt;=FILTER(Info!$H$2:H98,Info!$A$2:A98=$K$2)),
ROUNDUP((FILTER(Info!$H$2:H98,Info!$A$2:A98 = C72)/FILTER(Info!$H$2:H98,I"&amp;"nfo!$A$2:A98=$K$2))*$I$2),
AND(E72=1,FILTER(Info!$H$2:H98,Info!$A$2:A98 = C72)&gt;FILTER(Info!$H$2:H98,Info!$A$2:A98=$K$2)),""K2 - Error"",
AND(E72=2,FILTER($J$7:indirect(""J""&amp;row()-1),$C$7:indirect(""C""&amp;row()-1)=C72)&lt;=7),""J - Error"",
E72=2,FLOOR(FILTER("&amp;"$J$7:indirect(""J""&amp;row()-1),$C$7:indirect(""C""&amp;row()-1)=C72)*Info!$T$32),
AND(E72=3,FILTER($J$7:indirect(""J""&amp;row()-1),$C$7:indirect(""C""&amp;row()-1)=C72)&lt;=15),""J - Error"",
E72=3,FLOOR(Info!$T$32*FLOOR(FILTER($J$7:indirect(""J""&amp;row()-1),$C$7:indirect("&amp;"""C""&amp;row()-1)=C72)*Info!$T$32)),
AND(E72=""Final"",COUNTIF($C$7:$C$102,C72)=2,FILTER($J$7:indirect(""J""&amp;row()-1),$C$7:indirect(""C""&amp;row()-1)=C72)&lt;=7),""J - Error"",
AND(E72=""Final"",COUNTIF($C$7:$C$102,C72)=2),
MIN(P72,FLOOR(FILTER($J$7:indirect(""J"""&amp;"&amp;row()-1),$C$7:indirect(""C""&amp;row()-1)=C72)*Info!$T$32)),
AND(E72=""Final"",COUNTIF($C$7:$C$102,C72)=3,FILTER($J$7:indirect(""J""&amp;row()-1),$C$7:indirect(""C""&amp;row()-1)=C72)&lt;=15),""J - Error"",
AND(E72=""Final"",COUNTIF($C$7:$C$102,C72)=3),
MIN(P72,FLOOR(I"&amp;"nfo!$T$32*FLOOR(FILTER($J$7:indirect(""J""&amp;row()-1),$C$7:indirect(""C""&amp;row()-1)=C72)*Info!$T$32))),
AND(E72=""Final"",COUNTIF($C$7:$C$102,C72)&gt;=4,FILTER($J$7:indirect(""J""&amp;row()-1),$C$7:indirect(""C""&amp;row()-1)=C72)&lt;=99),""J - Error"",
AND(E72=""Final"","&amp;"COUNTIF($C$7:$C$102,C72)&gt;=4),
MIN(P72,FLOOR(Info!$T$32*FLOOR(Info!$T$32*FLOOR(FILTER($J$7:indirect(""J""&amp;row()-1),$C$7:indirect(""C""&amp;row()-1)=C72)*Info!$T$32)))))"),"")</f>
        <v/>
      </c>
      <c r="K72" s="41" t="str">
        <f>IFERROR(__xludf.DUMMYFUNCTION("IFS(AND(indirect(""D""&amp;row()+2)&lt;&gt;$E$2,indirect(""D""&amp;row()+1)=""""),CONCATENATE(""Tom rad! Kopiera hela rad ""&amp;row()&amp;"" dit""),
AND(indirect(""D""&amp;row()-1)&lt;&gt;""Rum"",indirect(""D""&amp;row()-1)=""""),CONCATENATE(""Tom rad! Kopiera hela rad ""&amp;row()&amp;"" dit""),
"&amp;"C72="""","""",
COUNTIF(Info!$A$22:A98,$K$2)&gt;0,""Det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OR(AND(D72&lt;&gt;$E$2,D72&lt;&gt;$E$4,D72&lt;&gt;$K$4,D72&lt;&gt;$Q$4),D72="&amp;"""""),CONCATENATE(""Rum: ""&amp;D72&amp;"" finns ej, byt i D""&amp;row()),
AND(indirect(""D""&amp;row()-1)=""Rum"",C72=""""),CONCATENATE(""För att börja: skriv i cell C""&amp;row()),
AND(C72=""Paus"",M72&lt;=0),CONCATENATE(""Skriv pausens längd i M""&amp;row()),
OR(COUNTIF(Info!$A$"&amp;"22:A98,C72)&gt;0,C72=""""),"""",
AND(D72&lt;&gt;$E$2,$O$2=""Yes"",A72=""=time(hh;mm;ss)""),CONCATENATE(""Skriv starttid för ""&amp;C72&amp;"" i A""&amp;row()),
E72=""E - Error"",CONCATENATE(""För många ""&amp;C72&amp;"" rundor!""),
AND(C72&lt;&gt;""3x3 FMC"",C72&lt;&gt;""3x3 MBLD"",E72&lt;&gt;1,E72&lt;&gt;"&amp;"""Final"",IFERROR(FILTER($E$7:indirect(""E""&amp;row()-1),
$E$7:indirect(""E""&amp;row()-1)=E72-1,$C$7:indirect(""C""&amp;row()-1)=C72))=FALSE),CONCATENATE(""Kan ej vara R""&amp;E72&amp;"", saknar R""&amp;(E72-1)),
AND(indirect(""E""&amp;row()-1)&lt;&gt;""Omgång"",IFERROR(FILTER($E$7:indi"&amp;"rect(""E""&amp;row()-1),
$E$7:indirect(""E""&amp;row()-1)=E72,$C$7:indirect(""C""&amp;row()-1)=C72)=E72)=TRUE),CONCATENATE(""Runda ""&amp;E72&amp;"" i ""&amp;C72&amp;"" finns redan""),
AND(C72&lt;&gt;""3x3 BLD"",C72&lt;&gt;""4x4 BLD"",C72&lt;&gt;""5x5 BLD"",C72&lt;&gt;""4x4 / 5x5 BLD"",OR(E72=2,E72=3,E72="&amp;"""Final""),H72&lt;&gt;""""),CONCATENATE(E72&amp;""-rundor brukar ej ha c.t.l.""),
AND(OR(E72=2,E72=3,E72=""Final""),I72&lt;&gt;""""),CONCATENATE(E72&amp;""-rundor brukar ej ha cutoff""),
AND(OR(C72=""3x3 FMC"",C72=""3x3 MBLD""),OR(E72=1,E72=2,E72=3,E72=""Final"")),CONCATENAT"&amp;"E(C72&amp;""s omgång är Rx - Ax""),
AND(C72&lt;&gt;""3x3 MBLD"",C72&lt;&gt;""3x3 FMC"",FILTER(Info!$D$2:D98, Info!$A$2:A98 = C72)&lt;&gt;F72),CONCATENATE(C72&amp;"" måste ha formatet ""&amp;FILTER(Info!$D$2:D98, Info!$A$2:A98 = C72)),
AND(C72=""3x3 MBLD"",OR(F72=""Avg of 5"",F72=""Mea"&amp;"n of 3"")),CONCATENATE(""Ogiltigt format för ""&amp;C72),
AND(C72=""3x3 FMC"",OR(F72=""Avg of 5"",F72=""Best of 3"")),CONCATENATE(""Ogiltigt format för ""&amp;C72),
AND(OR(F72=""Best of 1"",F72=""Best of 2"",F72=""Best of 3""),I72&lt;&gt;""""),CONCATENATE(F72&amp;""-rundor"&amp;" får ej ha cutoff""),
AND(OR(C72=""3x3 FMC"",C72=""3x3 MBLD""),G72&lt;&gt;60),CONCATENATE(C72&amp;"" måste ha time limit: 60""),
AND(OR(C72=""3x3 FMC"",C72=""3x3 MBLD""),H72&lt;&gt;""""),CONCATENATE(C72&amp;"" kan inte ha c.t.l.""),
AND(G72&lt;&gt;"""",H72&lt;&gt;""""),""Välj time limit"&amp;" ELLER c.t.l"",
AND(C72=""6x6 / 7x7"",G72="""",H72=""""),""Sätt time limit (x / y) eller c.t.l (z)"",
AND(G72="""",H72=""""),""Sätt en time limit eller c.t.l"",
AND(OR(C72=""6x6 / 7x7"",C72=""4x4 / 5x5 BLD""),G72&lt;&gt;"""",REGEXMATCH(TO_TEXT(G72),"" / "")=FAL"&amp;"SE),CONCATENATE(""Time limit måste vara x / y""),
AND(H72&lt;&gt;"""",I72&lt;&gt;""""),CONCATENATE(C72&amp;"" brukar ej ha cutoff OCH c.t.l""),
AND(E72=1,H72="""",I72="""",OR(FILTER(Info!$E$2:E98, Info!$A$2:A98 = C72) = ""Yes"",FILTER(Info!$F$2:F98, Info!$A$2:A98 = C72) "&amp;"= ""Yes""),OR(F72=""Avg of 5"",F72=""Mean of 3"")),CONCATENATE(C72&amp;"" bör ha cutoff eller c.t.l""),
AND(C72=""6x6 / 7x7"",I72&lt;&gt;"""",REGEXMATCH(TO_TEXT(I72),"" / "")=FALSE),CONCATENATE(""Cutoff måste vara x / y""),
AND(H72&lt;&gt;"""",ISNUMBER(H72)=FALSE),""C.t."&amp;"l. måste vara positivt tal (x)"",
AND(C72&lt;&gt;""6x6 / 7x7"",I72&lt;&gt;"""",ISNUMBER(I72)=FALSE),""Cutoff måste vara positivt tal (x)"",
AND(H72&lt;&gt;"""",FILTER(Info!$E$2:E98, Info!$A$2:A98 = C72) = ""No"",FILTER(Info!$F$2:F98, Info!$A$2:A98 = C72) = ""No""),CONCATEN"&amp;"ATE(C72&amp;"" brukar inte ha c.t.l.""),
AND(I72&lt;&gt;"""",FILTER(Info!$E$2:E98, Info!$A$2:A98 = C72) = ""No"",FILTER(Info!$F$2:F98, Info!$A$2:A98 = C72) = ""No""),CONCATENATE(C72&amp;"" brukar inte ha cutoff""),
AND(H72="""",FILTER(Info!$F$2:F98, Info!$A$2:A98 = C72"&amp;") = ""Yes""),CONCATENATE(C72&amp;"" brukar ha c.t.l.""),
AND(C72&lt;&gt;""6x6 / 7x7"",C72&lt;&gt;""4x4 / 5x5 BLD"",G72&lt;&gt;"""",ISNUMBER(G72)=FALSE),""Time limit måste vara positivt tal (x)"",
J72=""J - Error"",CONCATENATE(""För få deltagare i R1 för ""&amp;COUNTIF($C$7:$C$102,"&amp;"indirect(""C""&amp;row()))&amp;"" rundor""),
J72=""K2 - Error"",CONCATENATE(C72&amp;"" är mer populär - byt i K2!""),
AND(C72&lt;&gt;""6x6 / 7x7"",C72&lt;&gt;""4x4 / 5x5 BLD"",G72&lt;&gt;"""",I72&lt;&gt;"""",G72&lt;=I72),""Time limit måste vara &gt; cutoff"",
AND(C72&lt;&gt;""6x6 / 7x7"",C72&lt;&gt;""4x4 / 5"&amp;"x5 BLD"",H72&lt;&gt;"""",I72&lt;&gt;"""",H72&lt;=I72),""C.t.l. måste vara &gt; cutoff"",
AND(C72&lt;&gt;""3x3 FMC"",C72&lt;&gt;""3x3 MBLD"",J72=""""),CONCATENATE(""Fyll i antal deltagare i J""&amp;row()),
AND(C72="""",OR(E72&lt;&gt;"""",F72&lt;&gt;"""",G72&lt;&gt;"""",H72&lt;&gt;"""",I72&lt;&gt;"""",J72&lt;&gt;"""")),""Skri"&amp;"v ALLTID gren / aktivitet först"",
AND(I72="""",H72="""",J72&lt;&gt;""""),J72,
OR(""3x3 FMC""=C72,""3x3 MBLD""=C72),J72,
AND(I72&lt;&gt;"""",""6x6 / 7x7""=C72),
IFS(ArrayFormula(SUM(IFERROR(SPLIT(I72,"" / ""))))&lt;(Info!$J$6+Info!$J$7)*2/3,CONCATENATE(""Höj helst cutof"&amp;"fs i ""&amp;C72),
ArrayFormula(SUM(IFERROR(SPLIT(I72,"" / ""))))&lt;=(Info!$J$6+Info!$J$7),ROUNDUP(J72*Info!$J$22),
ArrayFormula(SUM(IFERROR(SPLIT(I72,"" / ""))))&lt;=Info!$J$6+Info!$J$7,ROUNDUP(J72*Info!$K$22),
ArrayFormula(SUM(IFERROR(SPLIT(I72,"" / ""))))&lt;=Info!"&amp;"$K$6+Info!$K$7,ROUNDUP(J72*Info!L$22),
ArrayFormula(SUM(IFERROR(SPLIT(I72,"" / ""))))&lt;=Info!$L$6+Info!$L$7,ROUNDUP(J72*Info!$M$22),
ArrayFormula(SUM(IFERROR(SPLIT(I72,"" / ""))))&lt;=Info!$M$6+Info!$M$7,ROUNDUP(J72*Info!$N$22),
ArrayFormula(SUM(IFERROR(SPLIT"&amp;"(I72,"" / ""))))&lt;=(Info!$N$6+Info!$N$7)*3/2,ROUNDUP(J72*Info!$J$26),
ArrayFormula(SUM(IFERROR(SPLIT(I72,"" / ""))))&gt;(Info!$N$6+Info!$N$7)*3/2,CONCATENATE(""Sänk helst cutoffs i ""&amp;C72)),
AND(I72&lt;&gt;"""",FILTER(Info!$E$2:E98, Info!$A$2:A98 = C72) = ""Yes""),"&amp;"
IFS(I72&lt;FILTER(Info!$J$2:J98, Info!$A$2:A98 = C72)*2/3,CONCATENATE(""Höj helst cutoff i ""&amp;C72),
I72&lt;=FILTER(Info!$J$2:J98, Info!$A$2:A98 = C72),ROUNDUP(J72*Info!$J$22),
I72&lt;=FILTER(Info!$K$2:K98, Info!$A$2:A98 = C72),ROUNDUP(J72*Info!$K$22),
I72&lt;=FILTER"&amp;"(Info!$L$2:L98, Info!$A$2:A98 = C72),ROUNDUP(J72*Info!L$22),
I72&lt;=FILTER(Info!$M$2:M98, Info!$A$2:A98 = C72),ROUNDUP(J72*Info!$M$22),
I72&lt;=FILTER(Info!$N$2:N98, Info!$A$2:A98 = C72),ROUNDUP(J72*Info!$N$22),
I72&lt;=FILTER(Info!$N$2:N98, Info!$A$2:A98 = C72)*"&amp;"3/2,ROUNDUP(J72*Info!$J$26),
I72&gt;FILTER(Info!$N$2:N98, Info!$A$2:A98 = C72)*3/2,CONCATENATE(""Sänk helst cutoff i ""&amp;C72)),
AND(H72&lt;&gt;"""",""6x6 / 7x7""=C72),
IFS(H72/3&lt;=(Info!$J$6+Info!$J$7)*2/3,""Höj helst cumulative time limit"",
H72/3&lt;=Info!$J$6+Info!$"&amp;"J$7,ROUNDUP(J72*Info!$J$24),
H72/3&lt;=Info!$K$6+Info!$K$7,ROUNDUP(J72*Info!$K$24),
H72/3&lt;=Info!$L$6+Info!$L$7,ROUNDUP(J72*Info!L$24),
H72/3&lt;=Info!$M$6+Info!$M$7,ROUNDUP(J72*Info!$M$24),
H72/3&lt;=Info!$N$6+Info!$N$7,ROUNDUP(J72*Info!$N$24),
H72/3&lt;=(Info!$N$6+I"&amp;"nfo!$N$7)*3/2,ROUNDUP(J72*Info!$L$26),
H72/3&gt;(Info!$J$6+Info!$J$7)*3/2,""Sänk helst cumulative time limit""),
AND(H72&lt;&gt;"""",FILTER(Info!$F$2:F98, Info!$A$2:A98 = C72) = ""Yes""),
IFS(H72&lt;=FILTER(Info!$J$2:J98, Info!$A$2:A98 = C72)*2/3,CONCATENATE(""Höj he"&amp;"lst c.t.l. i ""&amp;C72),
H72&lt;=FILTER(Info!$J$2:J98, Info!$A$2:A98 = C72),ROUNDUP(J72*Info!$J$24),
H72&lt;=FILTER(Info!$K$2:K98, Info!$A$2:A98 = C72),ROUNDUP(J72*Info!$K$24),
H72&lt;=FILTER(Info!$L$2:L98, Info!$A$2:A98 = C72),ROUNDUP(J72*Info!L$24),
H72&lt;=FILTER(Inf"&amp;"o!$M$2:M98, Info!$A$2:A98 = C72),ROUNDUP(J72*Info!$M$24),
H72&lt;=FILTER(Info!$N$2:N98, Info!$A$2:A98 = C72),ROUNDUP(J72*Info!$N$24),
H72&lt;=FILTER(Info!$N$2:N98, Info!$A$2:A98 = C72)*3/2,ROUNDUP(J72*Info!$L$26),
H72&gt;FILTER(Info!$N$2:N98, Info!$A$2:A98 = C72)*"&amp;"3/2,CONCATENATE(""Sänk helst c.t.l. i ""&amp;C72)),
AND(H72&lt;&gt;"""",FILTER(Info!$F$2:F98, Info!$A$2:A98 = C72) = ""No""),
IFS(H72/AA72&lt;=FILTER(Info!$J$2:J98, Info!$A$2:A98 = C72)*2/3,CONCATENATE(""Höj helst c.t.l. i ""&amp;C72),
H72/AA72&lt;=FILTER(Info!$J$2:J98, Info"&amp;"!$A$2:A98 = C72),ROUNDUP(J72*Info!$J$24),
H72/AA72&lt;=FILTER(Info!$K$2:K98, Info!$A$2:A98 = C72),ROUNDUP(J72*Info!$K$24),
H72/AA72&lt;=FILTER(Info!$L$2:L98, Info!$A$2:A98 = C72),ROUNDUP(J72*Info!L$24),
H72/AA72&lt;=FILTER(Info!$M$2:M98, Info!$A$2:A98 = C72),ROUND"&amp;"UP(J72*Info!$M$24),
H72/AA72&lt;=FILTER(Info!$N$2:N98, Info!$A$2:A98 = C72),ROUNDUP(J72*Info!$N$24),
H72/AA72&lt;=FILTER(Info!$N$2:N98, Info!$A$2:A98 = C72)*3/2,ROUNDUP(J72*Info!$L$26),
H72/AA72&gt;FILTER(Info!$N$2:N98, Info!$A$2:A98 = C72)*3/2,CONCATENATE(""Sänk "&amp;"helst c.t.l. i ""&amp;C72)),
AND(I72="""",H72&lt;&gt;"""",J72&lt;&gt;""""),ROUNDUP(J72*Info!$T$29),
AND(I72&lt;&gt;"""",H72="""",J72&lt;&gt;""""),ROUNDUP(J72*Info!$T$26))"),"")</f>
        <v/>
      </c>
      <c r="L72" s="42">
        <f>IFERROR(__xludf.DUMMYFUNCTION("IFS(C72="""",0,
C72=""3x3 FMC"",Info!$B$9*N72+M72, C72=""3x3 MBLD"",Info!$B$18*N72+M72,
COUNTIF(Info!$A$22:A98,C72)&gt;0,FILTER(Info!$B$22:B98,Info!$A$22:A98=C72)+M72,
AND(C72&lt;&gt;"""",E72=""""),CONCATENATE(""Fyll i E""&amp;row()),
AND(C72&lt;&gt;"""",E72&lt;&gt;"""",E72&lt;&gt;1,E7"&amp;"2&lt;&gt;2,E72&lt;&gt;3,E72&lt;&gt;""Final""),CONCATENATE(""Fel format på E""&amp;row()),
K72=CONCATENATE(""Runda ""&amp;E72&amp;"" i ""&amp;C72&amp;"" finns redan""),CONCATENATE(""Fel i E""&amp;row()),
AND(C72&lt;&gt;"""",F72=""""),CONCATENATE(""Fyll i F""&amp;row()),
K72=CONCATENATE(C72&amp;"" måste ha forma"&amp;"tet ""&amp;FILTER(Info!$D$2:D98, Info!$A$2:A98 = C72)),CONCATENATE(""Fel format på F""&amp;row()),
AND(C72&lt;&gt;"""",D72=1,H72="""",FILTER(Info!$F$2:F98, Info!$A$2:A98 = C72) = ""Yes""),CONCATENATE(""Fyll i H""&amp;row()),
AND(C72&lt;&gt;"""",D72=1,I72="""",FILTER(Info!$E$2:E9"&amp;"8, Info!$A$2:A98 = C72) = ""Yes""),CONCATENATE(""Fyll i I""&amp;row()),
AND(C72&lt;&gt;"""",J72=""""),CONCATENATE(""Fyll i J""&amp;row()),
AND(C72&lt;&gt;"""",K72="""",OR(H72&lt;&gt;"""",I72&lt;&gt;"""")),CONCATENATE(""Fyll i K""&amp;row()),
AND(C72&lt;&gt;"""",K72=""""),CONCATENATE(""Skriv samma"&amp;" i K""&amp;row()&amp;"" som i J""&amp;row()),
AND(OR(C72=""4x4 BLD"",C72=""5x5 BLD"",C72=""4x4 / 5x5 BLD"")=TRUE,V72&lt;=P72),
MROUND(H72*(Info!$T$20-((Info!$T$20-1)/2)*(1-V72/P72))*(1+((J72/K72)-1)*(1-Info!$J$24))*N72+(Info!$T$11/2)+(N72*Info!$T$11)+(N72*Info!$T$14*(O7"&amp;"2-1)),0.01)+M72,
AND(OR(C72=""4x4 BLD"",C72=""5x5 BLD"",C72=""4x4 / 5x5 BLD"")=TRUE,V72&gt;P72),
MROUND((((J72*Z72+K72*(AA72-Z72))*(H72*Info!$T$20/AA72))/X72)*(1+((J72/K72)-1)*(1-Info!$J$24))*(1+(X72-Info!$T$8)/100)+(Info!$T$11/2)+(N72*Info!$T$11)+(N72*Info!"&amp;"$T$14*(O72-1)),0.01)+M72,
AND(C72=""3x3 BLD"",V72&lt;=P72),
MROUND(H72*(Info!$T$23-((Info!$T$23-1)/2)*(1-V72/P72))*(1+((J72/K72)-1)*(1-Info!$J$24))*N72+(Info!$T$11/2)+(N72*Info!$T$11)+(N72*Info!$T$14*(O72-1)),0.01)+M72,
AND(C72=""3x3 BLD"",V72&gt;P72),
MROUND(("&amp;"((J72*Z72+K72*(AA72-Z72))*(H72*Info!$T$23/AA72))/X72)*(1+((J72/K72)-1)*(1-Info!$J$24))*(1+(X72-Info!$T$8)/100)+(Info!$T$11/2)+(N72*Info!$T$11)+(N72*Info!$T$14*(O72-1)),0.01)+M72,
E72=1,MROUND((((J72*Z72+K72*(AA72-Z72))*Y72)/X72)*(1+(X72-Info!$T$8)/100)+(N"&amp;"72*Info!$T$11)+(N72*Info!$T$14*(O72-1)),0.01)+M72,
AND(E72=""Final"",N72=1,FILTER(Info!$G$2:$G$20,Info!$A$2:$A$20=C72)=""Mycket svår""),
MROUND((((J72*Z72+K72*(AA72-Z72))*(Y72*Info!$T$38))/X72)*(1+(X72-Info!$T$8)/100)+(N72*Info!$T$11)+(N72*Info!$T$14*(O72"&amp;"-1)),0.01)+M72,
AND(E72=""Final"",N72=1,FILTER(Info!$G$2:$G$20,Info!$A$2:$A$20=C72)=""Svår""),
MROUND((((J72*Z72+K72*(AA72-Z72))*(Y72*Info!$T$35))/X72)*(1+(X72-Info!$T$8)/100)+(N72*Info!$T$11)+(N72*Info!$T$14*(O72-1)),0.01)+M72,
E72=""Final"",MROUND((((J7"&amp;"2*Z72+K72*(AA72-Z72))*(Y72*Info!$T$5))/X72)*(1+(X72-Info!$T$8)/100)+(N72*Info!$T$11)+(N72*Info!$T$14*(O72-1)),0.01)+M72,
OR(E72=2,E72=3),MROUND((((J72*Z72+K72*(AA72-Z72))*(Y72*Info!$T$2))/X72)*(1+(X72-Info!$T$8)/100)+(N72*Info!$T$11)+(N72*Info!$T$14*(O72-"&amp;"1)),0.01)+M72)"),0.0)</f>
        <v>0</v>
      </c>
      <c r="M72" s="43">
        <f t="shared" si="6"/>
        <v>0</v>
      </c>
      <c r="N72" s="43" t="str">
        <f>IFS(OR(COUNTIF(Info!$A$22:A98,C72)&gt;0,C72=""),"",
OR(C72="4x4 BLD",C72="5x5 BLD",C72="3x3 MBLD",C72="3x3 FMC",C72="4x4 / 5x5 BLD"),1,
AND(E72="Final",Q72="Yes",MAX(1,ROUNDUP(J72/P72))&gt;1),MAX(2,ROUNDUP(J72/P72)),
AND(E72="Final",Q72="No",MAX(1,ROUNDUP(J72/((P72*2)+2.625-Y72*1.5)))&gt;1),MAX(2,ROUNDUP(J72/((P72*2)+2.625-Y72*1.5))),
E72="Final",1,
Q72="Yes",MAX(2,ROUNDUP(J72/P72)),
TRUE,MAX(2,ROUNDUP(J72/((P72*2)+2.625-Y72*1.5))))</f>
        <v/>
      </c>
      <c r="O72" s="43" t="str">
        <f>IFS(OR(COUNTIF(Info!$A$22:A98,C72)&gt;0,C72=""),"",
OR("3x3 MBLD"=C72,"3x3 FMC"=C72)=TRUE,"",
D72=$E$4,$G$6,D72=$K$4,$M$6,D72=$Q$4,$S$6,D72=$W$4,$Y$6,
TRUE,$S$2)</f>
        <v/>
      </c>
      <c r="P72" s="43" t="str">
        <f>IFS(OR(COUNTIF(Info!$A$22:A98,C72)&gt;0,C72=""),"",
OR("3x3 MBLD"=C72,"3x3 FMC"=C72)=TRUE,"",
D72=$E$4,$E$6,D72=$K$4,$K$6,D72=$Q$4,$Q$6,D72=$W$4,$W$6,
TRUE,$Q$2)</f>
        <v/>
      </c>
      <c r="Q72" s="44" t="str">
        <f>IFS(OR(COUNTIF(Info!$A$22:A98,C72)&gt;0,C72=""),"",
OR("3x3 MBLD"=C72,"3x3 FMC"=C72)=TRUE,"",
D72=$E$4,$I$6,D72=$K$4,$O$6,D72=$Q$4,$U$6,D72=$W$4,$AA$6,
TRUE,$U$2)</f>
        <v/>
      </c>
      <c r="R72" s="65" t="str">
        <f>IFERROR(__xludf.DUMMYFUNCTION("IF(C72="""","""",IFERROR(FILTER(Info!$B$22:B98,Info!$A$22:A98=C72)+M72,""?""))"),"")</f>
        <v/>
      </c>
      <c r="S72" s="66" t="str">
        <f>IFS(OR(COUNTIF(Info!$A$22:A98,C72)&gt;0,C72=""),"",
AND(H72="",I72=""),J72,
TRUE,"?")</f>
        <v/>
      </c>
      <c r="T72" s="65" t="str">
        <f>IFS(OR(COUNTIF(Info!$A$22:A98,C72)&gt;0,C72=""),"",
AND(L72&lt;&gt;0,OR(R72="?",R72="")),"Fyll i R-kolumnen",
OR(C72="3x3 FMC",C72="3x3 MBLD"),R72,
AND(L72&lt;&gt;0,OR(S72="?",S72="")),"Fyll i S-kolumnen",
OR(COUNTIF(Info!$A$22:A98,C72)&gt;0,C72=""),"",
TRUE,Y72*R72/L72)</f>
        <v/>
      </c>
      <c r="U72" s="65"/>
      <c r="V72" s="67" t="str">
        <f>IFS(OR(COUNTIF(Info!$A$22:A98,C72)&gt;0,C72=""),"",
OR("3x3 MBLD"=C72,"3x3 FMC"=C72)=TRUE,"",
TRUE,MROUND((J72/N72),0.01))</f>
        <v/>
      </c>
      <c r="W72" s="68" t="str">
        <f>IFS(OR(COUNTIF(Info!$A$22:A98,C72)&gt;0,C72=""),"",
TRUE,L72/N72)</f>
        <v/>
      </c>
      <c r="X72" s="67" t="str">
        <f>IFS(OR(COUNTIF(Info!$A$22:A98,C72)&gt;0,C72=""),"",
OR("3x3 MBLD"=C72,"3x3 FMC"=C72)=TRUE,"",
OR(C72="4x4 BLD",C72="5x5 BLD",C72="4x4 / 5x5 BLD",AND(C72="3x3 BLD",H72&lt;&gt;""))=TRUE,MIN(V72,P72),
TRUE,MIN(P72,V72,MROUND(((V72*2/3)+((Y72-1.625)/2)),0.01)))</f>
        <v/>
      </c>
      <c r="Y72" s="68" t="str">
        <f>IFERROR(__xludf.DUMMYFUNCTION("IFS(OR(COUNTIF(Info!$A$22:A98,C72)&gt;0,C72=""""),"""",
FILTER(Info!$F$2:F98, Info!$A$2:A98 = C72) = ""Yes"",H72/AA72,
""3x3 FMC""=C72,Info!$B$9,""3x3 MBLD""=C72,Info!$B$18,
AND(E72=1,I72="""",H72="""",Q72=""No"",G72&gt;SUMIF(Info!$A$2:A98,C72,Info!$B$2:B98)*1."&amp;"5),
MIN(SUMIF(Info!$A$2:A98,C72,Info!$B$2:B98)*1.1,SUMIF(Info!$A$2:A98,C72,Info!$B$2:B98)*(1.15-(0.15*(SUMIF(Info!$A$2:A98,C72,Info!$B$2:B98)*1.5)/G72))),
AND(E72=1,I72="""",H72="""",Q72=""Yes"",G72&gt;SUMIF(Info!$A$2:A98,C72,Info!$C$2:C98)*1.5),
MIN(SUMIF(I"&amp;"nfo!$A$2:A98,C72,Info!$C$2:C98)*1.1,SUMIF(Info!$A$2:A98,C72,Info!$C$2:C98)*(1.15-(0.15*(SUMIF(Info!$A$2:A98,C72,Info!$C$2:C98)*1.5)/G72))),
Q72=""No"",SUMIF(Info!$A$2:A98,C72,Info!$B$2:B98),
Q72=""Yes"",SUMIF(Info!$A$2:A98,C72,Info!$C$2:C98))"),"")</f>
        <v/>
      </c>
      <c r="Z72" s="67" t="str">
        <f>IFS(OR(COUNTIF(Info!$A$22:A98,C72)&gt;0,C72=""),"",
AND(OR("3x3 FMC"=C72,"3x3 MBLD"=C72),I72&lt;&gt;""),1,
AND(OR(H72&lt;&gt;"",I72&lt;&gt;""),F72="Avg of 5"),2,
F72="Avg of 5",AA72,
AND(OR(H72&lt;&gt;"",I72&lt;&gt;""),F72="Mean of 3",C72="6x6 / 7x7"),2,
AND(OR(H72&lt;&gt;"",I72&lt;&gt;""),F72="Mean of 3"),1,
F72="Mean of 3",AA72,
AND(OR(H72&lt;&gt;"",I72&lt;&gt;""),F72="Best of 3",C72="4x4 / 5x5 BLD"),2,
AND(OR(H72&lt;&gt;"",I72&lt;&gt;""),F72="Best of 3"),1,
F72="Best of 2",AA72,
F72="Best of 1",AA72)</f>
        <v/>
      </c>
      <c r="AA72" s="67" t="str">
        <f>IFS(OR(COUNTIF(Info!$A$22:A98,C72)&gt;0,C72=""),"",
AND(OR("3x3 MBLD"=C72,"3x3 FMC"=C72),F72="Best of 1"=TRUE),1,
AND(OR("3x3 MBLD"=C72,"3x3 FMC"=C72),F72="Best of 2"=TRUE),2,
AND(OR("3x3 MBLD"=C72,"3x3 FMC"=C72),OR(F72="Best of 3",F72="Mean of 3")=TRUE),3,
AND(F72="Mean of 3",C72="6x6 / 7x7"),6,
AND(F72="Best of 3",C72="4x4 / 5x5 BLD"),6,
F72="Avg of 5",5,F72="Mean of 3",3,F72="Best of 3",3,F72="Best of 2",2,F72="Best of 1",1)</f>
        <v/>
      </c>
      <c r="AB72" s="69"/>
    </row>
    <row r="73" ht="15.75" customHeight="1">
      <c r="A73" s="62">
        <f>IFERROR(__xludf.DUMMYFUNCTION("IFS(indirect(""A""&amp;row()-1)=""Start"",TIME(indirect(""A""&amp;row()-2),indirect(""B""&amp;row()-2),0),
$O$2=""No"",TIME(0,($A$6*60+$B$6)+CEILING(SUM($L$7:indirect(""L""&amp;row()-1)),5),0),
D73=$E$2,TIME(0,($A$6*60+$B$6)+CEILING(SUM(IFERROR(FILTER($L$7:indirect(""L"""&amp;"&amp;row()-1),REGEXMATCH($D$7:indirect(""D""&amp;row()-1),$E$2)),0)),5),0),
TRUE,""=time(hh;mm;ss)"")"),0.3645833333333335)</f>
        <v>0.3645833333</v>
      </c>
      <c r="B73" s="63">
        <f>IFERROR(__xludf.DUMMYFUNCTION("IFS($O$2=""No"",TIME(0,($A$6*60+$B$6)+CEILING(SUM($L$7:indirect(""L""&amp;row())),5),0),
D73=$E$2,TIME(0,($A$6*60+$B$6)+CEILING(SUM(FILTER($L$7:indirect(""L""&amp;row()),REGEXMATCH($D$7:indirect(""D""&amp;row()),$E$2))),5),0),
A73=""=time(hh;mm;ss)"",CONCATENATE(""Sk"&amp;"riv tid i A""&amp;row()),
AND(A73&lt;&gt;"""",A73&lt;&gt;""=time(hh;mm;ss)""),A73+TIME(0,CEILING(indirect(""L""&amp;row()),5),0))"),0.3645833333333335)</f>
        <v>0.3645833333</v>
      </c>
      <c r="C73" s="37"/>
      <c r="D73" s="64" t="str">
        <f t="shared" si="7"/>
        <v>Stora salen</v>
      </c>
      <c r="E73" s="64" t="str">
        <f>IFERROR(__xludf.DUMMYFUNCTION("IFS(COUNTIF(Info!$A$22:A99,C73)&gt;0,"""",
AND(OR(""3x3 FMC""=C73,""3x3 MBLD""=C73),COUNTIF($C$7:indirect(""C""&amp;row()),indirect(""C""&amp;row()))&gt;=13),""E - Error"",
AND(OR(""3x3 FMC""=C73,""3x3 MBLD""=C73),COUNTIF($C$7:indirect(""C""&amp;row()),indirect(""C""&amp;row()"&amp;"))=12),""Final - A3"",
AND(OR(""3x3 FMC""=C73,""3x3 MBLD""=C73),COUNTIF($C$7:indirect(""C""&amp;row()),indirect(""C""&amp;row()))=11),""Final - A2"",
AND(OR(""3x3 FMC""=C73,""3x3 MBLD""=C73),COUNTIF($C$7:indirect(""C""&amp;row()),indirect(""C""&amp;row()))=10),""Final - "&amp;"A1"",
AND(OR(""3x3 FMC""=C73,""3x3 MBLD""=C73),COUNTIF($C$7:indirect(""C""&amp;row()),indirect(""C""&amp;row()))=9,
COUNTIF($C$7:$C$102,indirect(""C""&amp;row()))&gt;9),""R3 - A3"",
AND(OR(""3x3 FMC""=C73,""3x3 MBLD""=C73),COUNTIF($C$7:indirect(""C""&amp;row()),indirect(""C"&amp;"""&amp;row()))=9,
COUNTIF($C$7:$C$102,indirect(""C""&amp;row()))&lt;=9),""Final - A3"",
AND(OR(""3x3 FMC""=C73,""3x3 MBLD""=C73),COUNTIF($C$7:indirect(""C""&amp;row()),indirect(""C""&amp;row()))=8,
COUNTIF($C$7:$C$102,indirect(""C""&amp;row()))&gt;9),""R3 - A2"",
AND(OR(""3x3 FMC"&amp;"""=C73,""3x3 MBLD""=C73),COUNTIF($C$7:indirect(""C""&amp;row()),indirect(""C""&amp;row()))=8,
COUNTIF($C$7:$C$102,indirect(""C""&amp;row()))&lt;=9),""Final - A2"",
AND(OR(""3x3 FMC""=C73,""3x3 MBLD""=C73),COUNTIF($C$7:indirect(""C""&amp;row()),indirect(""C""&amp;row()))=7,
COUN"&amp;"TIF($C$7:$C$102,indirect(""C""&amp;row()))&gt;9),""R3 - A1"",
AND(OR(""3x3 FMC""=C73,""3x3 MBLD""=C73),COUNTIF($C$7:indirect(""C""&amp;row()),indirect(""C""&amp;row()))=7,
COUNTIF($C$7:$C$102,indirect(""C""&amp;row()))&lt;=9),""Final - A1"",
AND(OR(""3x3 FMC""=C73,""3x3 MBLD"""&amp;"=C73),COUNTIF($C$7:indirect(""C""&amp;row()),indirect(""C""&amp;row()))=6,
COUNTIF($C$7:$C$102,indirect(""C""&amp;row()))&gt;6),""R2 - A3"",
AND(OR(""3x3 FMC""=C73,""3x3 MBLD""=C73),COUNTIF($C$7:indirect(""C""&amp;row()),indirect(""C""&amp;row()))=6,
COUNTIF($C$7:$C$102,indirec"&amp;"t(""C""&amp;row()))&lt;=6),""Final - A3"",
AND(OR(""3x3 FMC""=C73,""3x3 MBLD""=C73),COUNTIF($C$7:indirect(""C""&amp;row()),indirect(""C""&amp;row()))=5,
COUNTIF($C$7:$C$102,indirect(""C""&amp;row()))&gt;6),""R2 - A2"",
AND(OR(""3x3 FMC""=C73,""3x3 MBLD""=C73),COUNTIF($C$7:indi"&amp;"rect(""C""&amp;row()),indirect(""C""&amp;row()))=5,
COUNTIF($C$7:$C$102,indirect(""C""&amp;row()))&lt;=6),""Final - A2"",
AND(OR(""3x3 FMC""=C73,""3x3 MBLD""=C73),COUNTIF($C$7:indirect(""C""&amp;row()),indirect(""C""&amp;row()))=4,
COUNTIF($C$7:$C$102,indirect(""C""&amp;row()))&gt;6),"&amp;"""R2 - A1"",
AND(OR(""3x3 FMC""=C73,""3x3 MBLD""=C73),COUNTIF($C$7:indirect(""C""&amp;row()),indirect(""C""&amp;row()))=4,
COUNTIF($C$7:$C$102,indirect(""C""&amp;row()))&lt;=6),""Final - A1"",
AND(OR(""3x3 FMC""=C73,""3x3 MBLD""=C73),COUNTIF($C$7:indirect(""C""&amp;row()),i"&amp;"ndirect(""C""&amp;row()))=3),""R1 - A3"",
AND(OR(""3x3 FMC""=C73,""3x3 MBLD""=C73),COUNTIF($C$7:indirect(""C""&amp;row()),indirect(""C""&amp;row()))=2),""R1 - A2"",
AND(OR(""3x3 FMC""=C73,""3x3 MBLD""=C73),COUNTIF($C$7:indirect(""C""&amp;row()),indirect(""C""&amp;row()))=1),"&amp;"""R1 -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99, Info!$A$2:A99 = C73),ROUNDUP((FILTER(Info!$H$2:H99,Info!$A$2:A99=C73)/FILTER(Info!$H$2:H99,Info!$A$2:A99=$K$2))*$I$2)&gt;99),3,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99, Info!$A$2:A99 = C73),ROUNDUP((FILTER(Info!$H$2:H99,Info!$A$2:A99=C73)/FILTER(Info!$H$2:H99,Info!$A$2:A99=$K$2))*$I$2)&gt;15),2,
AND(COUNTIF($C$7:indirect(""C""&amp;row()),indirect(""C""&amp;row()))=2,COUNTIF($C$7:$C$102,indirect(""C""&amp;row()))=COUNTIF($"&amp;"C$7:indirect(""C""&amp;row()),indirect(""C""&amp;row()))),""Final"",
COUNTIF($C$7:indirect(""C""&amp;row()),indirect(""C""&amp;row()))=1,1,
COUNTIF($C$7:indirect(""C""&amp;row()),indirect(""C""&amp;row()))=0,"""")"),"")</f>
        <v/>
      </c>
      <c r="F73" s="64" t="str">
        <f>IFERROR(__xludf.DUMMYFUNCTION("IFS(C73="""","""",
AND(C73=""3x3 FMC"",MOD(COUNTIF($C$7:indirect(""C""&amp;row()),indirect(""C""&amp;row())),3)=0),""Mean of 3"",
AND(C73=""3x3 MBLD"",MOD(COUNTIF($C$7:indirect(""C""&amp;row()),indirect(""C""&amp;row())),3)=0),""Best of 3"",
AND(C73=""3x3 FMC"",MOD(COUNT"&amp;"IF($C$7:indirect(""C""&amp;row()),indirect(""C""&amp;row())),3)=2,
COUNTIF($C$7:$C$102,indirect(""C""&amp;row()))&lt;=COUNTIF($C$7:indirect(""C""&amp;row()),indirect(""C""&amp;row()))),""Best of 2"",
AND(C73=""3x3 FMC"",MOD(COUNTIF($C$7:indirect(""C""&amp;row()),indirect(""C""&amp;row("&amp;"))),3)=2,
COUNTIF($C$7:$C$102,indirect(""C""&amp;row()))&gt;COUNTIF($C$7:indirect(""C""&amp;row()),indirect(""C""&amp;row()))),""Mean of 3"",
AND(C73=""3x3 MBLD"",MOD(COUNTIF($C$7:indirect(""C""&amp;row()),indirect(""C""&amp;row())),3)=2,
COUNTIF($C$7:$C$102,indirect(""C""&amp;row("&amp;")))&lt;=COUNTIF($C$7:indirect(""C""&amp;row()),indirect(""C""&amp;row()))),""Best of 2"",
AND(C73=""3x3 MBLD"",MOD(COUNTIF($C$7:indirect(""C""&amp;row()),indirect(""C""&amp;row())),3)=2,
COUNTIF($C$7:$C$102,indirect(""C""&amp;row()))&gt;COUNTIF($C$7:indirect(""C""&amp;row()),indirect("&amp;"""C""&amp;row()))),""Best of 3"",
AND(C73=""3x3 FMC"",MOD(COUNTIF($C$7:indirect(""C""&amp;row()),indirect(""C""&amp;row())),3)=1,
COUNTIF($C$7:$C$102,indirect(""C""&amp;row()))&lt;=COUNTIF($C$7:indirect(""C""&amp;row()),indirect(""C""&amp;row()))),""Best of 1"",
AND(C73=""3x3 FMC"""&amp;",MOD(COUNTIF($C$7:indirect(""C""&amp;row()),indirect(""C""&amp;row())),3)=1,
COUNTIF($C$7:$C$102,indirect(""C""&amp;row()))=COUNTIF($C$7:indirect(""C""&amp;row()),indirect(""C""&amp;row()))+1),""Best of 2"",
AND(C73=""3x3 FMC"",MOD(COUNTIF($C$7:indirect(""C""&amp;row()),indirect"&amp;"(""C""&amp;row())),3)=1,
COUNTIF($C$7:$C$102,indirect(""C""&amp;row()))&gt;COUNTIF($C$7:indirect(""C""&amp;row()),indirect(""C""&amp;row()))),""Mean of 3"",
AND(C73=""3x3 MBLD"",MOD(COUNTIF($C$7:indirect(""C""&amp;row()),indirect(""C""&amp;row())),3)=1,
COUNTIF($C$7:$C$102,indirect"&amp;"(""C""&amp;row()))&lt;=COUNTIF($C$7:indirect(""C""&amp;row()),indirect(""C""&amp;row()))),""Best of 1"",
AND(C73=""3x3 MBLD"",MOD(COUNTIF($C$7:indirect(""C""&amp;row()),indirect(""C""&amp;row())),3)=1,
COUNTIF($C$7:$C$102,indirect(""C""&amp;row()))=COUNTIF($C$7:indirect(""C""&amp;row()"&amp;"),indirect(""C""&amp;row()))+1),""Best of 2"",
AND(C73=""3x3 MBLD"",MOD(COUNTIF($C$7:indirect(""C""&amp;row()),indirect(""C""&amp;row())),3)=1,
COUNTIF($C$7:$C$102,indirect(""C""&amp;row()))&gt;COUNTIF($C$7:indirect(""C""&amp;row()),indirect(""C""&amp;row()))),""Best of 3"",
TRUE,("&amp;"IFERROR(FILTER(Info!$D$2:D99, Info!$A$2:A99 = C73), """")))"),"")</f>
        <v/>
      </c>
      <c r="G73" s="64" t="str">
        <f>IFERROR(__xludf.DUMMYFUNCTION("IFS(OR(COUNTIF(Info!$A$22:A99,C73)&gt;0,C73=""""),"""",
OR(""3x3 MBLD""=C73,""3x3 FMC""=C73),60,
AND(E73=1,FILTER(Info!$F$2:F99, Info!$A$2:A99 = C73) = ""No""),FILTER(Info!$P$2:P99, Info!$A$2:A99 = C73),
AND(E73=2,FILTER(Info!$F$2:F99, Info!$A$2:A99 = C73) ="&amp;" ""No""),FILTER(Info!$Q$2:Q99, Info!$A$2:A99 = C73),
AND(E73=3,FILTER(Info!$F$2:F99, Info!$A$2:A99 = C73) = ""No""),FILTER(Info!$R$2:R99, Info!$A$2:A99 = C73),
AND(E73=""Final"",FILTER(Info!$F$2:F99, Info!$A$2:A99 = C73) = ""No""),FILTER(Info!$S$2:S99, In"&amp;"fo!$A$2:A99 = C73),
FILTER(Info!$F$2:F99, Info!$A$2:A99 = C73) = ""Yes"","""")"),"")</f>
        <v/>
      </c>
      <c r="H73" s="64" t="str">
        <f>IFERROR(__xludf.DUMMYFUNCTION("IFS(OR(COUNTIF(Info!$A$22:A99,C73)&gt;0,C73=""""),"""",
OR(""3x3 MBLD""=C73,""3x3 FMC""=C73)=TRUE,"""",
FILTER(Info!$F$2:F99, Info!$A$2:A99 = C73) = ""Yes"",FILTER(Info!$O$2:O99, Info!$A$2:A99 = C73),
FILTER(Info!$F$2:F99, Info!$A$2:A99 = C73) = ""No"",IF(G7"&amp;"3="""",FILTER(Info!$O$2:O99, Info!$A$2:A99 = C73),""""))"),"")</f>
        <v/>
      </c>
      <c r="I73" s="64" t="str">
        <f>IFERROR(__xludf.DUMMYFUNCTION("IFS(OR(COUNTIF(Info!$A$22:A99,C73)&gt;0,C73="""",H73&lt;&gt;""""),"""",
AND(E73&lt;&gt;1,E73&lt;&gt;""R1 - A1"",E73&lt;&gt;""R1 - A2"",E73&lt;&gt;""R1 - A3""),"""",
FILTER(Info!$E$2:E99, Info!$A$2:A99 = C73) = ""Yes"",IF(H73="""",FILTER(Info!$L$2:L99, Info!$A$2:A99 = C73),""""),
FILTER(I"&amp;"nfo!$E$2:E99, Info!$A$2:A99 = C73) = ""No"","""")"),"")</f>
        <v/>
      </c>
      <c r="J73" s="64" t="str">
        <f>IFERROR(__xludf.DUMMYFUNCTION("IFS(OR(COUNTIF(Info!$A$22:A99,C73)&gt;0,C73="""",""3x3 MBLD""=C73,""3x3 FMC""=C73),"""",
AND(E73=1,FILTER(Info!$H$2:H99,Info!$A$2:A99 = C73)&lt;=FILTER(Info!$H$2:H99,Info!$A$2:A99=$K$2)),
ROUNDUP((FILTER(Info!$H$2:H99,Info!$A$2:A99 = C73)/FILTER(Info!$H$2:H99,I"&amp;"nfo!$A$2:A99=$K$2))*$I$2),
AND(E73=1,FILTER(Info!$H$2:H99,Info!$A$2:A99 = C73)&gt;FILTER(Info!$H$2:H99,Info!$A$2:A99=$K$2)),""K2 - Error"",
AND(E73=2,FILTER($J$7:indirect(""J""&amp;row()-1),$C$7:indirect(""C""&amp;row()-1)=C73)&lt;=7),""J - Error"",
E73=2,FLOOR(FILTER("&amp;"$J$7:indirect(""J""&amp;row()-1),$C$7:indirect(""C""&amp;row()-1)=C73)*Info!$T$32),
AND(E73=3,FILTER($J$7:indirect(""J""&amp;row()-1),$C$7:indirect(""C""&amp;row()-1)=C73)&lt;=15),""J - Error"",
E73=3,FLOOR(Info!$T$32*FLOOR(FILTER($J$7:indirect(""J""&amp;row()-1),$C$7:indirect("&amp;"""C""&amp;row()-1)=C73)*Info!$T$32)),
AND(E73=""Final"",COUNTIF($C$7:$C$102,C73)=2,FILTER($J$7:indirect(""J""&amp;row()-1),$C$7:indirect(""C""&amp;row()-1)=C73)&lt;=7),""J - Error"",
AND(E73=""Final"",COUNTIF($C$7:$C$102,C73)=2),
MIN(P73,FLOOR(FILTER($J$7:indirect(""J"""&amp;"&amp;row()-1),$C$7:indirect(""C""&amp;row()-1)=C73)*Info!$T$32)),
AND(E73=""Final"",COUNTIF($C$7:$C$102,C73)=3,FILTER($J$7:indirect(""J""&amp;row()-1),$C$7:indirect(""C""&amp;row()-1)=C73)&lt;=15),""J - Error"",
AND(E73=""Final"",COUNTIF($C$7:$C$102,C73)=3),
MIN(P73,FLOOR(I"&amp;"nfo!$T$32*FLOOR(FILTER($J$7:indirect(""J""&amp;row()-1),$C$7:indirect(""C""&amp;row()-1)=C73)*Info!$T$32))),
AND(E73=""Final"",COUNTIF($C$7:$C$102,C73)&gt;=4,FILTER($J$7:indirect(""J""&amp;row()-1),$C$7:indirect(""C""&amp;row()-1)=C73)&lt;=99),""J - Error"",
AND(E73=""Final"","&amp;"COUNTIF($C$7:$C$102,C73)&gt;=4),
MIN(P73,FLOOR(Info!$T$32*FLOOR(Info!$T$32*FLOOR(FILTER($J$7:indirect(""J""&amp;row()-1),$C$7:indirect(""C""&amp;row()-1)=C73)*Info!$T$32)))))"),"")</f>
        <v/>
      </c>
      <c r="K73" s="41" t="str">
        <f>IFERROR(__xludf.DUMMYFUNCTION("IFS(AND(indirect(""D""&amp;row()+2)&lt;&gt;$E$2,indirect(""D""&amp;row()+1)=""""),CONCATENATE(""Tom rad! Kopiera hela rad ""&amp;row()&amp;"" dit""),
AND(indirect(""D""&amp;row()-1)&lt;&gt;""Rum"",indirect(""D""&amp;row()-1)=""""),CONCATENATE(""Tom rad! Kopiera hela rad ""&amp;row()&amp;"" dit""),
"&amp;"C73="""","""",
COUNTIF(Info!$A$22:A99,$K$2)&gt;0,""Det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OR(AND(D73&lt;&gt;$E$2,D73&lt;&gt;$E$4,D73&lt;&gt;$K$4,D73&lt;&gt;$Q$4),D73="&amp;"""""),CONCATENATE(""Rum: ""&amp;D73&amp;"" finns ej, byt i D""&amp;row()),
AND(indirect(""D""&amp;row()-1)=""Rum"",C73=""""),CONCATENATE(""För att börja: skriv i cell C""&amp;row()),
AND(C73=""Paus"",M73&lt;=0),CONCATENATE(""Skriv pausens längd i M""&amp;row()),
OR(COUNTIF(Info!$A$"&amp;"22:A99,C73)&gt;0,C73=""""),"""",
AND(D73&lt;&gt;$E$2,$O$2=""Yes"",A73=""=time(hh;mm;ss)""),CONCATENATE(""Skriv starttid för ""&amp;C73&amp;"" i A""&amp;row()),
E73=""E - Error"",CONCATENATE(""För många ""&amp;C73&amp;"" rundor!""),
AND(C73&lt;&gt;""3x3 FMC"",C73&lt;&gt;""3x3 MBLD"",E73&lt;&gt;1,E73&lt;&gt;"&amp;"""Final"",IFERROR(FILTER($E$7:indirect(""E""&amp;row()-1),
$E$7:indirect(""E""&amp;row()-1)=E73-1,$C$7:indirect(""C""&amp;row()-1)=C73))=FALSE),CONCATENATE(""Kan ej vara R""&amp;E73&amp;"", saknar R""&amp;(E73-1)),
AND(indirect(""E""&amp;row()-1)&lt;&gt;""Omgång"",IFERROR(FILTER($E$7:indi"&amp;"rect(""E""&amp;row()-1),
$E$7:indirect(""E""&amp;row()-1)=E73,$C$7:indirect(""C""&amp;row()-1)=C73)=E73)=TRUE),CONCATENATE(""Runda ""&amp;E73&amp;"" i ""&amp;C73&amp;"" finns redan""),
AND(C73&lt;&gt;""3x3 BLD"",C73&lt;&gt;""4x4 BLD"",C73&lt;&gt;""5x5 BLD"",C73&lt;&gt;""4x4 / 5x5 BLD"",OR(E73=2,E73=3,E73="&amp;"""Final""),H73&lt;&gt;""""),CONCATENATE(E73&amp;""-rundor brukar ej ha c.t.l.""),
AND(OR(E73=2,E73=3,E73=""Final""),I73&lt;&gt;""""),CONCATENATE(E73&amp;""-rundor brukar ej ha cutoff""),
AND(OR(C73=""3x3 FMC"",C73=""3x3 MBLD""),OR(E73=1,E73=2,E73=3,E73=""Final"")),CONCATENAT"&amp;"E(C73&amp;""s omgång är Rx - Ax""),
AND(C73&lt;&gt;""3x3 MBLD"",C73&lt;&gt;""3x3 FMC"",FILTER(Info!$D$2:D99, Info!$A$2:A99 = C73)&lt;&gt;F73),CONCATENATE(C73&amp;"" måste ha formatet ""&amp;FILTER(Info!$D$2:D99, Info!$A$2:A99 = C73)),
AND(C73=""3x3 MBLD"",OR(F73=""Avg of 5"",F73=""Mea"&amp;"n of 3"")),CONCATENATE(""Ogiltigt format för ""&amp;C73),
AND(C73=""3x3 FMC"",OR(F73=""Avg of 5"",F73=""Best of 3"")),CONCATENATE(""Ogiltigt format för ""&amp;C73),
AND(OR(F73=""Best of 1"",F73=""Best of 2"",F73=""Best of 3""),I73&lt;&gt;""""),CONCATENATE(F73&amp;""-rundor"&amp;" får ej ha cutoff""),
AND(OR(C73=""3x3 FMC"",C73=""3x3 MBLD""),G73&lt;&gt;60),CONCATENATE(C73&amp;"" måste ha time limit: 60""),
AND(OR(C73=""3x3 FMC"",C73=""3x3 MBLD""),H73&lt;&gt;""""),CONCATENATE(C73&amp;"" kan inte ha c.t.l.""),
AND(G73&lt;&gt;"""",H73&lt;&gt;""""),""Välj time limit"&amp;" ELLER c.t.l"",
AND(C73=""6x6 / 7x7"",G73="""",H73=""""),""Sätt time limit (x / y) eller c.t.l (z)"",
AND(G73="""",H73=""""),""Sätt en time limit eller c.t.l"",
AND(OR(C73=""6x6 / 7x7"",C73=""4x4 / 5x5 BLD""),G73&lt;&gt;"""",REGEXMATCH(TO_TEXT(G73),"" / "")=FAL"&amp;"SE),CONCATENATE(""Time limit måste vara x / y""),
AND(H73&lt;&gt;"""",I73&lt;&gt;""""),CONCATENATE(C73&amp;"" brukar ej ha cutoff OCH c.t.l""),
AND(E73=1,H73="""",I73="""",OR(FILTER(Info!$E$2:E99, Info!$A$2:A99 = C73) = ""Yes"",FILTER(Info!$F$2:F99, Info!$A$2:A99 = C73) "&amp;"= ""Yes""),OR(F73=""Avg of 5"",F73=""Mean of 3"")),CONCATENATE(C73&amp;"" bör ha cutoff eller c.t.l""),
AND(C73=""6x6 / 7x7"",I73&lt;&gt;"""",REGEXMATCH(TO_TEXT(I73),"" / "")=FALSE),CONCATENATE(""Cutoff måste vara x / y""),
AND(H73&lt;&gt;"""",ISNUMBER(H73)=FALSE),""C.t."&amp;"l. måste vara positivt tal (x)"",
AND(C73&lt;&gt;""6x6 / 7x7"",I73&lt;&gt;"""",ISNUMBER(I73)=FALSE),""Cutoff måste vara positivt tal (x)"",
AND(H73&lt;&gt;"""",FILTER(Info!$E$2:E99, Info!$A$2:A99 = C73) = ""No"",FILTER(Info!$F$2:F99, Info!$A$2:A99 = C73) = ""No""),CONCATEN"&amp;"ATE(C73&amp;"" brukar inte ha c.t.l.""),
AND(I73&lt;&gt;"""",FILTER(Info!$E$2:E99, Info!$A$2:A99 = C73) = ""No"",FILTER(Info!$F$2:F99, Info!$A$2:A99 = C73) = ""No""),CONCATENATE(C73&amp;"" brukar inte ha cutoff""),
AND(H73="""",FILTER(Info!$F$2:F99, Info!$A$2:A99 = C73"&amp;") = ""Yes""),CONCATENATE(C73&amp;"" brukar ha c.t.l.""),
AND(C73&lt;&gt;""6x6 / 7x7"",C73&lt;&gt;""4x4 / 5x5 BLD"",G73&lt;&gt;"""",ISNUMBER(G73)=FALSE),""Time limit måste vara positivt tal (x)"",
J73=""J - Error"",CONCATENATE(""För få deltagare i R1 för ""&amp;COUNTIF($C$7:$C$102,"&amp;"indirect(""C""&amp;row()))&amp;"" rundor""),
J73=""K2 - Error"",CONCATENATE(C73&amp;"" är mer populär - byt i K2!""),
AND(C73&lt;&gt;""6x6 / 7x7"",C73&lt;&gt;""4x4 / 5x5 BLD"",G73&lt;&gt;"""",I73&lt;&gt;"""",G73&lt;=I73),""Time limit måste vara &gt; cutoff"",
AND(C73&lt;&gt;""6x6 / 7x7"",C73&lt;&gt;""4x4 / 5"&amp;"x5 BLD"",H73&lt;&gt;"""",I73&lt;&gt;"""",H73&lt;=I73),""C.t.l. måste vara &gt; cutoff"",
AND(C73&lt;&gt;""3x3 FMC"",C73&lt;&gt;""3x3 MBLD"",J73=""""),CONCATENATE(""Fyll i antal deltagare i J""&amp;row()),
AND(C73="""",OR(E73&lt;&gt;"""",F73&lt;&gt;"""",G73&lt;&gt;"""",H73&lt;&gt;"""",I73&lt;&gt;"""",J73&lt;&gt;"""")),""Skri"&amp;"v ALLTID gren / aktivitet först"",
AND(I73="""",H73="""",J73&lt;&gt;""""),J73,
OR(""3x3 FMC""=C73,""3x3 MBLD""=C73),J73,
AND(I73&lt;&gt;"""",""6x6 / 7x7""=C73),
IFS(ArrayFormula(SUM(IFERROR(SPLIT(I73,"" / ""))))&lt;(Info!$J$6+Info!$J$7)*2/3,CONCATENATE(""Höj helst cutof"&amp;"fs i ""&amp;C73),
ArrayFormula(SUM(IFERROR(SPLIT(I73,"" / ""))))&lt;=(Info!$J$6+Info!$J$7),ROUNDUP(J73*Info!$J$22),
ArrayFormula(SUM(IFERROR(SPLIT(I73,"" / ""))))&lt;=Info!$J$6+Info!$J$7,ROUNDUP(J73*Info!$K$22),
ArrayFormula(SUM(IFERROR(SPLIT(I73,"" / ""))))&lt;=Info!"&amp;"$K$6+Info!$K$7,ROUNDUP(J73*Info!L$22),
ArrayFormula(SUM(IFERROR(SPLIT(I73,"" / ""))))&lt;=Info!$L$6+Info!$L$7,ROUNDUP(J73*Info!$M$22),
ArrayFormula(SUM(IFERROR(SPLIT(I73,"" / ""))))&lt;=Info!$M$6+Info!$M$7,ROUNDUP(J73*Info!$N$22),
ArrayFormula(SUM(IFERROR(SPLIT"&amp;"(I73,"" / ""))))&lt;=(Info!$N$6+Info!$N$7)*3/2,ROUNDUP(J73*Info!$J$26),
ArrayFormula(SUM(IFERROR(SPLIT(I73,"" / ""))))&gt;(Info!$N$6+Info!$N$7)*3/2,CONCATENATE(""Sänk helst cutoffs i ""&amp;C73)),
AND(I73&lt;&gt;"""",FILTER(Info!$E$2:E99, Info!$A$2:A99 = C73) = ""Yes""),"&amp;"
IFS(I73&lt;FILTER(Info!$J$2:J99, Info!$A$2:A99 = C73)*2/3,CONCATENATE(""Höj helst cutoff i ""&amp;C73),
I73&lt;=FILTER(Info!$J$2:J99, Info!$A$2:A99 = C73),ROUNDUP(J73*Info!$J$22),
I73&lt;=FILTER(Info!$K$2:K99, Info!$A$2:A99 = C73),ROUNDUP(J73*Info!$K$22),
I73&lt;=FILTER"&amp;"(Info!$L$2:L99, Info!$A$2:A99 = C73),ROUNDUP(J73*Info!L$22),
I73&lt;=FILTER(Info!$M$2:M99, Info!$A$2:A99 = C73),ROUNDUP(J73*Info!$M$22),
I73&lt;=FILTER(Info!$N$2:N99, Info!$A$2:A99 = C73),ROUNDUP(J73*Info!$N$22),
I73&lt;=FILTER(Info!$N$2:N99, Info!$A$2:A99 = C73)*"&amp;"3/2,ROUNDUP(J73*Info!$J$26),
I73&gt;FILTER(Info!$N$2:N99, Info!$A$2:A99 = C73)*3/2,CONCATENATE(""Sänk helst cutoff i ""&amp;C73)),
AND(H73&lt;&gt;"""",""6x6 / 7x7""=C73),
IFS(H73/3&lt;=(Info!$J$6+Info!$J$7)*2/3,""Höj helst cumulative time limit"",
H73/3&lt;=Info!$J$6+Info!$"&amp;"J$7,ROUNDUP(J73*Info!$J$24),
H73/3&lt;=Info!$K$6+Info!$K$7,ROUNDUP(J73*Info!$K$24),
H73/3&lt;=Info!$L$6+Info!$L$7,ROUNDUP(J73*Info!L$24),
H73/3&lt;=Info!$M$6+Info!$M$7,ROUNDUP(J73*Info!$M$24),
H73/3&lt;=Info!$N$6+Info!$N$7,ROUNDUP(J73*Info!$N$24),
H73/3&lt;=(Info!$N$6+I"&amp;"nfo!$N$7)*3/2,ROUNDUP(J73*Info!$L$26),
H73/3&gt;(Info!$J$6+Info!$J$7)*3/2,""Sänk helst cumulative time limit""),
AND(H73&lt;&gt;"""",FILTER(Info!$F$2:F99, Info!$A$2:A99 = C73) = ""Yes""),
IFS(H73&lt;=FILTER(Info!$J$2:J99, Info!$A$2:A99 = C73)*2/3,CONCATENATE(""Höj he"&amp;"lst c.t.l. i ""&amp;C73),
H73&lt;=FILTER(Info!$J$2:J99, Info!$A$2:A99 = C73),ROUNDUP(J73*Info!$J$24),
H73&lt;=FILTER(Info!$K$2:K99, Info!$A$2:A99 = C73),ROUNDUP(J73*Info!$K$24),
H73&lt;=FILTER(Info!$L$2:L99, Info!$A$2:A99 = C73),ROUNDUP(J73*Info!L$24),
H73&lt;=FILTER(Inf"&amp;"o!$M$2:M99, Info!$A$2:A99 = C73),ROUNDUP(J73*Info!$M$24),
H73&lt;=FILTER(Info!$N$2:N99, Info!$A$2:A99 = C73),ROUNDUP(J73*Info!$N$24),
H73&lt;=FILTER(Info!$N$2:N99, Info!$A$2:A99 = C73)*3/2,ROUNDUP(J73*Info!$L$26),
H73&gt;FILTER(Info!$N$2:N99, Info!$A$2:A99 = C73)*"&amp;"3/2,CONCATENATE(""Sänk helst c.t.l. i ""&amp;C73)),
AND(H73&lt;&gt;"""",FILTER(Info!$F$2:F99, Info!$A$2:A99 = C73) = ""No""),
IFS(H73/AA73&lt;=FILTER(Info!$J$2:J99, Info!$A$2:A99 = C73)*2/3,CONCATENATE(""Höj helst c.t.l. i ""&amp;C73),
H73/AA73&lt;=FILTER(Info!$J$2:J99, Info"&amp;"!$A$2:A99 = C73),ROUNDUP(J73*Info!$J$24),
H73/AA73&lt;=FILTER(Info!$K$2:K99, Info!$A$2:A99 = C73),ROUNDUP(J73*Info!$K$24),
H73/AA73&lt;=FILTER(Info!$L$2:L99, Info!$A$2:A99 = C73),ROUNDUP(J73*Info!L$24),
H73/AA73&lt;=FILTER(Info!$M$2:M99, Info!$A$2:A99 = C73),ROUND"&amp;"UP(J73*Info!$M$24),
H73/AA73&lt;=FILTER(Info!$N$2:N99, Info!$A$2:A99 = C73),ROUNDUP(J73*Info!$N$24),
H73/AA73&lt;=FILTER(Info!$N$2:N99, Info!$A$2:A99 = C73)*3/2,ROUNDUP(J73*Info!$L$26),
H73/AA73&gt;FILTER(Info!$N$2:N99, Info!$A$2:A99 = C73)*3/2,CONCATENATE(""Sänk "&amp;"helst c.t.l. i ""&amp;C73)),
AND(I73="""",H73&lt;&gt;"""",J73&lt;&gt;""""),ROUNDUP(J73*Info!$T$29),
AND(I73&lt;&gt;"""",H73="""",J73&lt;&gt;""""),ROUNDUP(J73*Info!$T$26))"),"")</f>
        <v/>
      </c>
      <c r="L73" s="42">
        <f>IFERROR(__xludf.DUMMYFUNCTION("IFS(C73="""",0,
C73=""3x3 FMC"",Info!$B$9*N73+M73, C73=""3x3 MBLD"",Info!$B$18*N73+M73,
COUNTIF(Info!$A$22:A99,C73)&gt;0,FILTER(Info!$B$22:B99,Info!$A$22:A99=C73)+M73,
AND(C73&lt;&gt;"""",E73=""""),CONCATENATE(""Fyll i E""&amp;row()),
AND(C73&lt;&gt;"""",E73&lt;&gt;"""",E73&lt;&gt;1,E7"&amp;"3&lt;&gt;2,E73&lt;&gt;3,E73&lt;&gt;""Final""),CONCATENATE(""Fel format på E""&amp;row()),
K73=CONCATENATE(""Runda ""&amp;E73&amp;"" i ""&amp;C73&amp;"" finns redan""),CONCATENATE(""Fel i E""&amp;row()),
AND(C73&lt;&gt;"""",F73=""""),CONCATENATE(""Fyll i F""&amp;row()),
K73=CONCATENATE(C73&amp;"" måste ha forma"&amp;"tet ""&amp;FILTER(Info!$D$2:D99, Info!$A$2:A99 = C73)),CONCATENATE(""Fel format på F""&amp;row()),
AND(C73&lt;&gt;"""",D73=1,H73="""",FILTER(Info!$F$2:F99, Info!$A$2:A99 = C73) = ""Yes""),CONCATENATE(""Fyll i H""&amp;row()),
AND(C73&lt;&gt;"""",D73=1,I73="""",FILTER(Info!$E$2:E9"&amp;"9, Info!$A$2:A99 = C73) = ""Yes""),CONCATENATE(""Fyll i I""&amp;row()),
AND(C73&lt;&gt;"""",J73=""""),CONCATENATE(""Fyll i J""&amp;row()),
AND(C73&lt;&gt;"""",K73="""",OR(H73&lt;&gt;"""",I73&lt;&gt;"""")),CONCATENATE(""Fyll i K""&amp;row()),
AND(C73&lt;&gt;"""",K73=""""),CONCATENATE(""Skriv samma"&amp;" i K""&amp;row()&amp;"" som i J""&amp;row()),
AND(OR(C73=""4x4 BLD"",C73=""5x5 BLD"",C73=""4x4 / 5x5 BLD"")=TRUE,V73&lt;=P73),
MROUND(H73*(Info!$T$20-((Info!$T$20-1)/2)*(1-V73/P73))*(1+((J73/K73)-1)*(1-Info!$J$24))*N73+(Info!$T$11/2)+(N73*Info!$T$11)+(N73*Info!$T$14*(O7"&amp;"3-1)),0.01)+M73,
AND(OR(C73=""4x4 BLD"",C73=""5x5 BLD"",C73=""4x4 / 5x5 BLD"")=TRUE,V73&gt;P73),
MROUND((((J73*Z73+K73*(AA73-Z73))*(H73*Info!$T$20/AA73))/X73)*(1+((J73/K73)-1)*(1-Info!$J$24))*(1+(X73-Info!$T$8)/100)+(Info!$T$11/2)+(N73*Info!$T$11)+(N73*Info!"&amp;"$T$14*(O73-1)),0.01)+M73,
AND(C73=""3x3 BLD"",V73&lt;=P73),
MROUND(H73*(Info!$T$23-((Info!$T$23-1)/2)*(1-V73/P73))*(1+((J73/K73)-1)*(1-Info!$J$24))*N73+(Info!$T$11/2)+(N73*Info!$T$11)+(N73*Info!$T$14*(O73-1)),0.01)+M73,
AND(C73=""3x3 BLD"",V73&gt;P73),
MROUND(("&amp;"((J73*Z73+K73*(AA73-Z73))*(H73*Info!$T$23/AA73))/X73)*(1+((J73/K73)-1)*(1-Info!$J$24))*(1+(X73-Info!$T$8)/100)+(Info!$T$11/2)+(N73*Info!$T$11)+(N73*Info!$T$14*(O73-1)),0.01)+M73,
E73=1,MROUND((((J73*Z73+K73*(AA73-Z73))*Y73)/X73)*(1+(X73-Info!$T$8)/100)+(N"&amp;"73*Info!$T$11)+(N73*Info!$T$14*(O73-1)),0.01)+M73,
AND(E73=""Final"",N73=1,FILTER(Info!$G$2:$G$20,Info!$A$2:$A$20=C73)=""Mycket svår""),
MROUND((((J73*Z73+K73*(AA73-Z73))*(Y73*Info!$T$38))/X73)*(1+(X73-Info!$T$8)/100)+(N73*Info!$T$11)+(N73*Info!$T$14*(O73"&amp;"-1)),0.01)+M73,
AND(E73=""Final"",N73=1,FILTER(Info!$G$2:$G$20,Info!$A$2:$A$20=C73)=""Svår""),
MROUND((((J73*Z73+K73*(AA73-Z73))*(Y73*Info!$T$35))/X73)*(1+(X73-Info!$T$8)/100)+(N73*Info!$T$11)+(N73*Info!$T$14*(O73-1)),0.01)+M73,
E73=""Final"",MROUND((((J7"&amp;"3*Z73+K73*(AA73-Z73))*(Y73*Info!$T$5))/X73)*(1+(X73-Info!$T$8)/100)+(N73*Info!$T$11)+(N73*Info!$T$14*(O73-1)),0.01)+M73,
OR(E73=2,E73=3),MROUND((((J73*Z73+K73*(AA73-Z73))*(Y73*Info!$T$2))/X73)*(1+(X73-Info!$T$8)/100)+(N73*Info!$T$11)+(N73*Info!$T$14*(O73-"&amp;"1)),0.01)+M73)"),0.0)</f>
        <v>0</v>
      </c>
      <c r="M73" s="43">
        <f t="shared" si="6"/>
        <v>0</v>
      </c>
      <c r="N73" s="43" t="str">
        <f>IFS(OR(COUNTIF(Info!$A$22:A99,C73)&gt;0,C73=""),"",
OR(C73="4x4 BLD",C73="5x5 BLD",C73="3x3 MBLD",C73="3x3 FMC",C73="4x4 / 5x5 BLD"),1,
AND(E73="Final",Q73="Yes",MAX(1,ROUNDUP(J73/P73))&gt;1),MAX(2,ROUNDUP(J73/P73)),
AND(E73="Final",Q73="No",MAX(1,ROUNDUP(J73/((P73*2)+2.625-Y73*1.5)))&gt;1),MAX(2,ROUNDUP(J73/((P73*2)+2.625-Y73*1.5))),
E73="Final",1,
Q73="Yes",MAX(2,ROUNDUP(J73/P73)),
TRUE,MAX(2,ROUNDUP(J73/((P73*2)+2.625-Y73*1.5))))</f>
        <v/>
      </c>
      <c r="O73" s="43" t="str">
        <f>IFS(OR(COUNTIF(Info!$A$22:A99,C73)&gt;0,C73=""),"",
OR("3x3 MBLD"=C73,"3x3 FMC"=C73)=TRUE,"",
D73=$E$4,$G$6,D73=$K$4,$M$6,D73=$Q$4,$S$6,D73=$W$4,$Y$6,
TRUE,$S$2)</f>
        <v/>
      </c>
      <c r="P73" s="43" t="str">
        <f>IFS(OR(COUNTIF(Info!$A$22:A99,C73)&gt;0,C73=""),"",
OR("3x3 MBLD"=C73,"3x3 FMC"=C73)=TRUE,"",
D73=$E$4,$E$6,D73=$K$4,$K$6,D73=$Q$4,$Q$6,D73=$W$4,$W$6,
TRUE,$Q$2)</f>
        <v/>
      </c>
      <c r="Q73" s="44" t="str">
        <f>IFS(OR(COUNTIF(Info!$A$22:A99,C73)&gt;0,C73=""),"",
OR("3x3 MBLD"=C73,"3x3 FMC"=C73)=TRUE,"",
D73=$E$4,$I$6,D73=$K$4,$O$6,D73=$Q$4,$U$6,D73=$W$4,$AA$6,
TRUE,$U$2)</f>
        <v/>
      </c>
      <c r="R73" s="65" t="str">
        <f>IFERROR(__xludf.DUMMYFUNCTION("IF(C73="""","""",IFERROR(FILTER(Info!$B$22:B99,Info!$A$22:A99=C73)+M73,""?""))"),"")</f>
        <v/>
      </c>
      <c r="S73" s="66" t="str">
        <f>IFS(OR(COUNTIF(Info!$A$22:A99,C73)&gt;0,C73=""),"",
AND(H73="",I73=""),J73,
TRUE,"?")</f>
        <v/>
      </c>
      <c r="T73" s="65" t="str">
        <f>IFS(OR(COUNTIF(Info!$A$22:A99,C73)&gt;0,C73=""),"",
AND(L73&lt;&gt;0,OR(R73="?",R73="")),"Fyll i R-kolumnen",
OR(C73="3x3 FMC",C73="3x3 MBLD"),R73,
AND(L73&lt;&gt;0,OR(S73="?",S73="")),"Fyll i S-kolumnen",
OR(COUNTIF(Info!$A$22:A99,C73)&gt;0,C73=""),"",
TRUE,Y73*R73/L73)</f>
        <v/>
      </c>
      <c r="U73" s="65"/>
      <c r="V73" s="67" t="str">
        <f>IFS(OR(COUNTIF(Info!$A$22:A99,C73)&gt;0,C73=""),"",
OR("3x3 MBLD"=C73,"3x3 FMC"=C73)=TRUE,"",
TRUE,MROUND((J73/N73),0.01))</f>
        <v/>
      </c>
      <c r="W73" s="68" t="str">
        <f>IFS(OR(COUNTIF(Info!$A$22:A99,C73)&gt;0,C73=""),"",
TRUE,L73/N73)</f>
        <v/>
      </c>
      <c r="X73" s="67" t="str">
        <f>IFS(OR(COUNTIF(Info!$A$22:A99,C73)&gt;0,C73=""),"",
OR("3x3 MBLD"=C73,"3x3 FMC"=C73)=TRUE,"",
OR(C73="4x4 BLD",C73="5x5 BLD",C73="4x4 / 5x5 BLD",AND(C73="3x3 BLD",H73&lt;&gt;""))=TRUE,MIN(V73,P73),
TRUE,MIN(P73,V73,MROUND(((V73*2/3)+((Y73-1.625)/2)),0.01)))</f>
        <v/>
      </c>
      <c r="Y73" s="68" t="str">
        <f>IFERROR(__xludf.DUMMYFUNCTION("IFS(OR(COUNTIF(Info!$A$22:A99,C73)&gt;0,C73=""""),"""",
FILTER(Info!$F$2:F99, Info!$A$2:A99 = C73) = ""Yes"",H73/AA73,
""3x3 FMC""=C73,Info!$B$9,""3x3 MBLD""=C73,Info!$B$18,
AND(E73=1,I73="""",H73="""",Q73=""No"",G73&gt;SUMIF(Info!$A$2:A99,C73,Info!$B$2:B99)*1."&amp;"5),
MIN(SUMIF(Info!$A$2:A99,C73,Info!$B$2:B99)*1.1,SUMIF(Info!$A$2:A99,C73,Info!$B$2:B99)*(1.15-(0.15*(SUMIF(Info!$A$2:A99,C73,Info!$B$2:B99)*1.5)/G73))),
AND(E73=1,I73="""",H73="""",Q73=""Yes"",G73&gt;SUMIF(Info!$A$2:A99,C73,Info!$C$2:C99)*1.5),
MIN(SUMIF(I"&amp;"nfo!$A$2:A99,C73,Info!$C$2:C99)*1.1,SUMIF(Info!$A$2:A99,C73,Info!$C$2:C99)*(1.15-(0.15*(SUMIF(Info!$A$2:A99,C73,Info!$C$2:C99)*1.5)/G73))),
Q73=""No"",SUMIF(Info!$A$2:A99,C73,Info!$B$2:B99),
Q73=""Yes"",SUMIF(Info!$A$2:A99,C73,Info!$C$2:C99))"),"")</f>
        <v/>
      </c>
      <c r="Z73" s="67" t="str">
        <f>IFS(OR(COUNTIF(Info!$A$22:A99,C73)&gt;0,C73=""),"",
AND(OR("3x3 FMC"=C73,"3x3 MBLD"=C73),I73&lt;&gt;""),1,
AND(OR(H73&lt;&gt;"",I73&lt;&gt;""),F73="Avg of 5"),2,
F73="Avg of 5",AA73,
AND(OR(H73&lt;&gt;"",I73&lt;&gt;""),F73="Mean of 3",C73="6x6 / 7x7"),2,
AND(OR(H73&lt;&gt;"",I73&lt;&gt;""),F73="Mean of 3"),1,
F73="Mean of 3",AA73,
AND(OR(H73&lt;&gt;"",I73&lt;&gt;""),F73="Best of 3",C73="4x4 / 5x5 BLD"),2,
AND(OR(H73&lt;&gt;"",I73&lt;&gt;""),F73="Best of 3"),1,
F73="Best of 2",AA73,
F73="Best of 1",AA73)</f>
        <v/>
      </c>
      <c r="AA73" s="67" t="str">
        <f>IFS(OR(COUNTIF(Info!$A$22:A99,C73)&gt;0,C73=""),"",
AND(OR("3x3 MBLD"=C73,"3x3 FMC"=C73),F73="Best of 1"=TRUE),1,
AND(OR("3x3 MBLD"=C73,"3x3 FMC"=C73),F73="Best of 2"=TRUE),2,
AND(OR("3x3 MBLD"=C73,"3x3 FMC"=C73),OR(F73="Best of 3",F73="Mean of 3")=TRUE),3,
AND(F73="Mean of 3",C73="6x6 / 7x7"),6,
AND(F73="Best of 3",C73="4x4 / 5x5 BLD"),6,
F73="Avg of 5",5,F73="Mean of 3",3,F73="Best of 3",3,F73="Best of 2",2,F73="Best of 1",1)</f>
        <v/>
      </c>
      <c r="AB73" s="69"/>
    </row>
    <row r="74" ht="15.75" customHeight="1">
      <c r="A74" s="62">
        <f>IFERROR(__xludf.DUMMYFUNCTION("IFS(indirect(""A""&amp;row()-1)=""Start"",TIME(indirect(""A""&amp;row()-2),indirect(""B""&amp;row()-2),0),
$O$2=""No"",TIME(0,($A$6*60+$B$6)+CEILING(SUM($L$7:indirect(""L""&amp;row()-1)),5),0),
D74=$E$2,TIME(0,($A$6*60+$B$6)+CEILING(SUM(IFERROR(FILTER($L$7:indirect(""L"""&amp;"&amp;row()-1),REGEXMATCH($D$7:indirect(""D""&amp;row()-1),$E$2)),0)),5),0),
TRUE,""=time(hh;mm;ss)"")"),0.3645833333333335)</f>
        <v>0.3645833333</v>
      </c>
      <c r="B74" s="63">
        <f>IFERROR(__xludf.DUMMYFUNCTION("IFS($O$2=""No"",TIME(0,($A$6*60+$B$6)+CEILING(SUM($L$7:indirect(""L""&amp;row())),5),0),
D74=$E$2,TIME(0,($A$6*60+$B$6)+CEILING(SUM(FILTER($L$7:indirect(""L""&amp;row()),REGEXMATCH($D$7:indirect(""D""&amp;row()),$E$2))),5),0),
A74=""=time(hh;mm;ss)"",CONCATENATE(""Sk"&amp;"riv tid i A""&amp;row()),
AND(A74&lt;&gt;"""",A74&lt;&gt;""=time(hh;mm;ss)""),A74+TIME(0,CEILING(indirect(""L""&amp;row()),5),0))"),0.3645833333333335)</f>
        <v>0.3645833333</v>
      </c>
      <c r="C74" s="37"/>
      <c r="D74" s="64" t="str">
        <f t="shared" si="7"/>
        <v>Stora salen</v>
      </c>
      <c r="E74" s="64" t="str">
        <f>IFERROR(__xludf.DUMMYFUNCTION("IFS(COUNTIF(Info!$A$22:A100,C74)&gt;0,"""",
AND(OR(""3x3 FMC""=C74,""3x3 MBLD""=C74),COUNTIF($C$7:indirect(""C""&amp;row()),indirect(""C""&amp;row()))&gt;=13),""E - Error"",
AND(OR(""3x3 FMC""=C74,""3x3 MBLD""=C74),COUNTIF($C$7:indirect(""C""&amp;row()),indirect(""C""&amp;row("&amp;")))=12),""Final - A3"",
AND(OR(""3x3 FMC""=C74,""3x3 MBLD""=C74),COUNTIF($C$7:indirect(""C""&amp;row()),indirect(""C""&amp;row()))=11),""Final - A2"",
AND(OR(""3x3 FMC""=C74,""3x3 MBLD""=C74),COUNTIF($C$7:indirect(""C""&amp;row()),indirect(""C""&amp;row()))=10),""Final -"&amp;" A1"",
AND(OR(""3x3 FMC""=C74,""3x3 MBLD""=C74),COUNTIF($C$7:indirect(""C""&amp;row()),indirect(""C""&amp;row()))=9,
COUNTIF($C$7:$C$102,indirect(""C""&amp;row()))&gt;9),""R3 - A3"",
AND(OR(""3x3 FMC""=C74,""3x3 MBLD""=C74),COUNTIF($C$7:indirect(""C""&amp;row()),indirect("""&amp;"C""&amp;row()))=9,
COUNTIF($C$7:$C$102,indirect(""C""&amp;row()))&lt;=9),""Final - A3"",
AND(OR(""3x3 FMC""=C74,""3x3 MBLD""=C74),COUNTIF($C$7:indirect(""C""&amp;row()),indirect(""C""&amp;row()))=8,
COUNTIF($C$7:$C$102,indirect(""C""&amp;row()))&gt;9),""R3 - A2"",
AND(OR(""3x3 FMC"&amp;"""=C74,""3x3 MBLD""=C74),COUNTIF($C$7:indirect(""C""&amp;row()),indirect(""C""&amp;row()))=8,
COUNTIF($C$7:$C$102,indirect(""C""&amp;row()))&lt;=9),""Final - A2"",
AND(OR(""3x3 FMC""=C74,""3x3 MBLD""=C74),COUNTIF($C$7:indirect(""C""&amp;row()),indirect(""C""&amp;row()))=7,
COUN"&amp;"TIF($C$7:$C$102,indirect(""C""&amp;row()))&gt;9),""R3 - A1"",
AND(OR(""3x3 FMC""=C74,""3x3 MBLD""=C74),COUNTIF($C$7:indirect(""C""&amp;row()),indirect(""C""&amp;row()))=7,
COUNTIF($C$7:$C$102,indirect(""C""&amp;row()))&lt;=9),""Final - A1"",
AND(OR(""3x3 FMC""=C74,""3x3 MBLD"""&amp;"=C74),COUNTIF($C$7:indirect(""C""&amp;row()),indirect(""C""&amp;row()))=6,
COUNTIF($C$7:$C$102,indirect(""C""&amp;row()))&gt;6),""R2 - A3"",
AND(OR(""3x3 FMC""=C74,""3x3 MBLD""=C74),COUNTIF($C$7:indirect(""C""&amp;row()),indirect(""C""&amp;row()))=6,
COUNTIF($C$7:$C$102,indirec"&amp;"t(""C""&amp;row()))&lt;=6),""Final - A3"",
AND(OR(""3x3 FMC""=C74,""3x3 MBLD""=C74),COUNTIF($C$7:indirect(""C""&amp;row()),indirect(""C""&amp;row()))=5,
COUNTIF($C$7:$C$102,indirect(""C""&amp;row()))&gt;6),""R2 - A2"",
AND(OR(""3x3 FMC""=C74,""3x3 MBLD""=C74),COUNTIF($C$7:indi"&amp;"rect(""C""&amp;row()),indirect(""C""&amp;row()))=5,
COUNTIF($C$7:$C$102,indirect(""C""&amp;row()))&lt;=6),""Final - A2"",
AND(OR(""3x3 FMC""=C74,""3x3 MBLD""=C74),COUNTIF($C$7:indirect(""C""&amp;row()),indirect(""C""&amp;row()))=4,
COUNTIF($C$7:$C$102,indirect(""C""&amp;row()))&gt;6),"&amp;"""R2 - A1"",
AND(OR(""3x3 FMC""=C74,""3x3 MBLD""=C74),COUNTIF($C$7:indirect(""C""&amp;row()),indirect(""C""&amp;row()))=4,
COUNTIF($C$7:$C$102,indirect(""C""&amp;row()))&lt;=6),""Final - A1"",
AND(OR(""3x3 FMC""=C74,""3x3 MBLD""=C74),COUNTIF($C$7:indirect(""C""&amp;row()),i"&amp;"ndirect(""C""&amp;row()))=3),""R1 - A3"",
AND(OR(""3x3 FMC""=C74,""3x3 MBLD""=C74),COUNTIF($C$7:indirect(""C""&amp;row()),indirect(""C""&amp;row()))=2),""R1 - A2"",
AND(OR(""3x3 FMC""=C74,""3x3 MBLD""=C74),COUNTIF($C$7:indirect(""C""&amp;row()),indirect(""C""&amp;row()))=1),"&amp;"""R1 -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100, Info!$A$2:A100 = C74),ROUNDUP((FILTER(Info!$H$2:H100,Info!$A$2:A100=C74)/FILTER(Info!$H$2:H100,Info!$A$2:A100=$K$2))*$I$2)&gt;99),3,
AND(COUNTIF($C$7:indirect(""C""&amp;row()),indirect(""C""&amp;row()))"&amp;"=3,COUNTIF($C$7:$C$102,indirect(""C""&amp;row()))=COUNTIF($C$7:indirect(""C""&amp;row()),indirect(""C""&amp;row()))),""Final"",
AND(COUNTIF($C$7:indirect(""C""&amp;row()),indirect(""C""&amp;row()))=2,COUNTIF($C$7:$C$102,indirect(""C""&amp;row()))&gt;COUNTIF($C$7:indirect(""C""&amp;row("&amp;")),indirect(""C""&amp;row()))),2,
AND(COUNTIF($C$7:indirect(""C""&amp;row()),indirect(""C""&amp;row()))=2,COUNTIF($C$7:$C$102,indirect(""C""&amp;row()))=COUNTIF($C$7:indirect(""C""&amp;row()),indirect(""C""&amp;row())),COUNTIF($C$7:indirect(""C""&amp;row()),indirect(""C""&amp;row()))&lt;FI"&amp;"LTER(Info!$I$2:I100, Info!$A$2:A100 = C74),ROUNDUP((FILTER(Info!$H$2:H100,Info!$A$2:A100=C74)/FILTER(Info!$H$2:H100,Info!$A$2:A100=$K$2))*$I$2)&gt;15),2,
AND(COUNTIF($C$7:indirect(""C""&amp;row()),indirect(""C""&amp;row()))=2,COUNTIF($C$7:$C$102,indirect(""C""&amp;row()"&amp;"))=COUNTIF($C$7:indirect(""C""&amp;row()),indirect(""C""&amp;row()))),""Final"",
COUNTIF($C$7:indirect(""C""&amp;row()),indirect(""C""&amp;row()))=1,1,
COUNTIF($C$7:indirect(""C""&amp;row()),indirect(""C""&amp;row()))=0,"""")"),"")</f>
        <v/>
      </c>
      <c r="F74" s="64" t="str">
        <f>IFERROR(__xludf.DUMMYFUNCTION("IFS(C74="""","""",
AND(C74=""3x3 FMC"",MOD(COUNTIF($C$7:indirect(""C""&amp;row()),indirect(""C""&amp;row())),3)=0),""Mean of 3"",
AND(C74=""3x3 MBLD"",MOD(COUNTIF($C$7:indirect(""C""&amp;row()),indirect(""C""&amp;row())),3)=0),""Best of 3"",
AND(C74=""3x3 FMC"",MOD(COUNT"&amp;"IF($C$7:indirect(""C""&amp;row()),indirect(""C""&amp;row())),3)=2,
COUNTIF($C$7:$C$102,indirect(""C""&amp;row()))&lt;=COUNTIF($C$7:indirect(""C""&amp;row()),indirect(""C""&amp;row()))),""Best of 2"",
AND(C74=""3x3 FMC"",MOD(COUNTIF($C$7:indirect(""C""&amp;row()),indirect(""C""&amp;row("&amp;"))),3)=2,
COUNTIF($C$7:$C$102,indirect(""C""&amp;row()))&gt;COUNTIF($C$7:indirect(""C""&amp;row()),indirect(""C""&amp;row()))),""Mean of 3"",
AND(C74=""3x3 MBLD"",MOD(COUNTIF($C$7:indirect(""C""&amp;row()),indirect(""C""&amp;row())),3)=2,
COUNTIF($C$7:$C$102,indirect(""C""&amp;row("&amp;")))&lt;=COUNTIF($C$7:indirect(""C""&amp;row()),indirect(""C""&amp;row()))),""Best of 2"",
AND(C74=""3x3 MBLD"",MOD(COUNTIF($C$7:indirect(""C""&amp;row()),indirect(""C""&amp;row())),3)=2,
COUNTIF($C$7:$C$102,indirect(""C""&amp;row()))&gt;COUNTIF($C$7:indirect(""C""&amp;row()),indirect("&amp;"""C""&amp;row()))),""Best of 3"",
AND(C74=""3x3 FMC"",MOD(COUNTIF($C$7:indirect(""C""&amp;row()),indirect(""C""&amp;row())),3)=1,
COUNTIF($C$7:$C$102,indirect(""C""&amp;row()))&lt;=COUNTIF($C$7:indirect(""C""&amp;row()),indirect(""C""&amp;row()))),""Best of 1"",
AND(C74=""3x3 FMC"""&amp;",MOD(COUNTIF($C$7:indirect(""C""&amp;row()),indirect(""C""&amp;row())),3)=1,
COUNTIF($C$7:$C$102,indirect(""C""&amp;row()))=COUNTIF($C$7:indirect(""C""&amp;row()),indirect(""C""&amp;row()))+1),""Best of 2"",
AND(C74=""3x3 FMC"",MOD(COUNTIF($C$7:indirect(""C""&amp;row()),indirect"&amp;"(""C""&amp;row())),3)=1,
COUNTIF($C$7:$C$102,indirect(""C""&amp;row()))&gt;COUNTIF($C$7:indirect(""C""&amp;row()),indirect(""C""&amp;row()))),""Mean of 3"",
AND(C74=""3x3 MBLD"",MOD(COUNTIF($C$7:indirect(""C""&amp;row()),indirect(""C""&amp;row())),3)=1,
COUNTIF($C$7:$C$102,indirect"&amp;"(""C""&amp;row()))&lt;=COUNTIF($C$7:indirect(""C""&amp;row()),indirect(""C""&amp;row()))),""Best of 1"",
AND(C74=""3x3 MBLD"",MOD(COUNTIF($C$7:indirect(""C""&amp;row()),indirect(""C""&amp;row())),3)=1,
COUNTIF($C$7:$C$102,indirect(""C""&amp;row()))=COUNTIF($C$7:indirect(""C""&amp;row()"&amp;"),indirect(""C""&amp;row()))+1),""Best of 2"",
AND(C74=""3x3 MBLD"",MOD(COUNTIF($C$7:indirect(""C""&amp;row()),indirect(""C""&amp;row())),3)=1,
COUNTIF($C$7:$C$102,indirect(""C""&amp;row()))&gt;COUNTIF($C$7:indirect(""C""&amp;row()),indirect(""C""&amp;row()))),""Best of 3"",
TRUE,("&amp;"IFERROR(FILTER(Info!$D$2:D100, Info!$A$2:A100 = C74), """")))"),"")</f>
        <v/>
      </c>
      <c r="G74" s="64" t="str">
        <f>IFERROR(__xludf.DUMMYFUNCTION("IFS(OR(COUNTIF(Info!$A$22:A100,C74)&gt;0,C74=""""),"""",
OR(""3x3 MBLD""=C74,""3x3 FMC""=C74),60,
AND(E74=1,FILTER(Info!$F$2:F100, Info!$A$2:A100 = C74) = ""No""),FILTER(Info!$P$2:P100, Info!$A$2:A100 = C74),
AND(E74=2,FILTER(Info!$F$2:F100, Info!$A$2:A100 ="&amp;" C74) = ""No""),FILTER(Info!$Q$2:Q100, Info!$A$2:A100 = C74),
AND(E74=3,FILTER(Info!$F$2:F100, Info!$A$2:A100 = C74) = ""No""),FILTER(Info!$R$2:R100, Info!$A$2:A100 = C74),
AND(E74=""Final"",FILTER(Info!$F$2:F100, Info!$A$2:A100 = C74) = ""No""),FILTER(In"&amp;"fo!$S$2:S100, Info!$A$2:A100 = C74),
FILTER(Info!$F$2:F100, Info!$A$2:A100 = C74) = ""Yes"","""")"),"")</f>
        <v/>
      </c>
      <c r="H74" s="64" t="str">
        <f>IFERROR(__xludf.DUMMYFUNCTION("IFS(OR(COUNTIF(Info!$A$22:A100,C74)&gt;0,C74=""""),"""",
OR(""3x3 MBLD""=C74,""3x3 FMC""=C74)=TRUE,"""",
FILTER(Info!$F$2:F100, Info!$A$2:A100 = C74) = ""Yes"",FILTER(Info!$O$2:O100, Info!$A$2:A100 = C74),
FILTER(Info!$F$2:F100, Info!$A$2:A100 = C74) = ""No"&amp;""",IF(G74="""",FILTER(Info!$O$2:O100, Info!$A$2:A100 = C74),""""))"),"")</f>
        <v/>
      </c>
      <c r="I74" s="64" t="str">
        <f>IFERROR(__xludf.DUMMYFUNCTION("IFS(OR(COUNTIF(Info!$A$22:A100,C74)&gt;0,C74="""",H74&lt;&gt;""""),"""",
AND(E74&lt;&gt;1,E74&lt;&gt;""R1 - A1"",E74&lt;&gt;""R1 - A2"",E74&lt;&gt;""R1 - A3""),"""",
FILTER(Info!$E$2:E100, Info!$A$2:A100 = C74) = ""Yes"",IF(H74="""",FILTER(Info!$L$2:L100, Info!$A$2:A100 = C74),""""),
FIL"&amp;"TER(Info!$E$2:E100, Info!$A$2:A100 = C74) = ""No"","""")"),"")</f>
        <v/>
      </c>
      <c r="J74" s="64" t="str">
        <f>IFERROR(__xludf.DUMMYFUNCTION("IFS(OR(COUNTIF(Info!$A$22:A100,C74)&gt;0,C74="""",""3x3 MBLD""=C74,""3x3 FMC""=C74),"""",
AND(E74=1,FILTER(Info!$H$2:H100,Info!$A$2:A100 = C74)&lt;=FILTER(Info!$H$2:H100,Info!$A$2:A100=$K$2)),
ROUNDUP((FILTER(Info!$H$2:H100,Info!$A$2:A100 = C74)/FILTER(Info!$H$"&amp;"2:H100,Info!$A$2:A100=$K$2))*$I$2),
AND(E74=1,FILTER(Info!$H$2:H100,Info!$A$2:A100 = C74)&gt;FILTER(Info!$H$2:H100,Info!$A$2:A100=$K$2)),""K2 - Error"",
AND(E74=2,FILTER($J$7:indirect(""J""&amp;row()-1),$C$7:indirect(""C""&amp;row()-1)=C74)&lt;=7),""J - Error"",
E74=2,"&amp;"FLOOR(FILTER($J$7:indirect(""J""&amp;row()-1),$C$7:indirect(""C""&amp;row()-1)=C74)*Info!$T$32),
AND(E74=3,FILTER($J$7:indirect(""J""&amp;row()-1),$C$7:indirect(""C""&amp;row()-1)=C74)&lt;=15),""J - Error"",
E74=3,FLOOR(Info!$T$32*FLOOR(FILTER($J$7:indirect(""J""&amp;row()-1),$"&amp;"C$7:indirect(""C""&amp;row()-1)=C74)*Info!$T$32)),
AND(E74=""Final"",COUNTIF($C$7:$C$102,C74)=2,FILTER($J$7:indirect(""J""&amp;row()-1),$C$7:indirect(""C""&amp;row()-1)=C74)&lt;=7),""J - Error"",
AND(E74=""Final"",COUNTIF($C$7:$C$102,C74)=2),
MIN(P74,FLOOR(FILTER($J$7:i"&amp;"ndirect(""J""&amp;row()-1),$C$7:indirect(""C""&amp;row()-1)=C74)*Info!$T$32)),
AND(E74=""Final"",COUNTIF($C$7:$C$102,C74)=3,FILTER($J$7:indirect(""J""&amp;row()-1),$C$7:indirect(""C""&amp;row()-1)=C74)&lt;=15),""J - Error"",
AND(E74=""Final"",COUNTIF($C$7:$C$102,C74)=3),
MI"&amp;"N(P74,FLOOR(Info!$T$32*FLOOR(FILTER($J$7:indirect(""J""&amp;row()-1),$C$7:indirect(""C""&amp;row()-1)=C74)*Info!$T$32))),
AND(E74=""Final"",COUNTIF($C$7:$C$102,C74)&gt;=4,FILTER($J$7:indirect(""J""&amp;row()-1),$C$7:indirect(""C""&amp;row()-1)=C74)&lt;=99),""J - Error"",
AND(E"&amp;"74=""Final"",COUNTIF($C$7:$C$102,C74)&gt;=4),
MIN(P74,FLOOR(Info!$T$32*FLOOR(Info!$T$32*FLOOR(FILTER($J$7:indirect(""J""&amp;row()-1),$C$7:indirect(""C""&amp;row()-1)=C74)*Info!$T$32)))))"),"")</f>
        <v/>
      </c>
      <c r="K74" s="41" t="str">
        <f>IFERROR(__xludf.DUMMYFUNCTION("IFS(AND(indirect(""D""&amp;row()+2)&lt;&gt;$E$2,indirect(""D""&amp;row()+1)=""""),CONCATENATE(""Tom rad! Kopiera hela rad ""&amp;row()&amp;"" dit""),
AND(indirect(""D""&amp;row()-1)&lt;&gt;""Rum"",indirect(""D""&amp;row()-1)=""""),CONCATENATE(""Tom rad! Kopiera hela rad ""&amp;row()&amp;"" dit""),
"&amp;"C74="""","""",
COUNTIF(Info!$A$22:A100,$K$2)&gt;0,""Det tyckte du var roligt? ( ͡❛ ͜ʖ ͡❛)"",
AND($M$2&gt;=2,$E$4=""""),""Skriv 1:a sidorummets namn i E4"",
AND($M$2&gt;=3,$K$4=""""),""Skriv 2:a sidorummets namn i K4"",
AND($M$2&gt;=4,$Q$4=""""),""Skriv 3:e sidorummet"&amp;"s namn i Q4"",
AND($M$2&lt;2,$E$4&lt;&gt;""""),""Finns fler än 2 rum - ta bort i E4"",
AND($M$2&lt;3,$K$4&lt;&gt;""""),""Finns fler än 3 rum - ta bort i K4"",
AND($M$2&lt;4,$Q$4&lt;&gt;""""),""Finns fler än 4 rum - ta bort i Q4"",
OR(AND(D74&lt;&gt;$E$2,D74&lt;&gt;$E$4,D74&lt;&gt;$K$4,D74&lt;&gt;$Q$4),D74"&amp;"=""""),CONCATENATE(""Rum: ""&amp;D74&amp;"" finns ej, byt i D""&amp;row()),
AND(indirect(""D""&amp;row()-1)=""Rum"",C74=""""),CONCATENATE(""För att börja: skriv i cell C""&amp;row()),
AND(C74=""Paus"",M74&lt;=0),CONCATENATE(""Skriv pausens längd i M""&amp;row()),
OR(COUNTIF(Info!$A"&amp;"$22:A100,C74)&gt;0,C74=""""),"""",
AND(D74&lt;&gt;$E$2,$O$2=""Yes"",A74=""=time(hh;mm;ss)""),CONCATENATE(""Skriv starttid för ""&amp;C74&amp;"" i A""&amp;row()),
E74=""E - Error"",CONCATENATE(""För många ""&amp;C74&amp;"" rundor!""),
AND(C74&lt;&gt;""3x3 FMC"",C74&lt;&gt;""3x3 MBLD"",E74&lt;&gt;1,E74&lt;"&amp;"&gt;""Final"",IFERROR(FILTER($E$7:indirect(""E""&amp;row()-1),
$E$7:indirect(""E""&amp;row()-1)=E74-1,$C$7:indirect(""C""&amp;row()-1)=C74))=FALSE),CONCATENATE(""Kan ej vara R""&amp;E74&amp;"", saknar R""&amp;(E74-1)),
AND(indirect(""E""&amp;row()-1)&lt;&gt;""Omgång"",IFERROR(FILTER($E$7:ind"&amp;"irect(""E""&amp;row()-1),
$E$7:indirect(""E""&amp;row()-1)=E74,$C$7:indirect(""C""&amp;row()-1)=C74)=E74)=TRUE),CONCATENATE(""Runda ""&amp;E74&amp;"" i ""&amp;C74&amp;"" finns redan""),
AND(C74&lt;&gt;""3x3 BLD"",C74&lt;&gt;""4x4 BLD"",C74&lt;&gt;""5x5 BLD"",C74&lt;&gt;""4x4 / 5x5 BLD"",OR(E74=2,E74=3,E74="&amp;"""Final""),H74&lt;&gt;""""),CONCATENATE(E74&amp;""-rundor brukar ej ha c.t.l.""),
AND(OR(E74=2,E74=3,E74=""Final""),I74&lt;&gt;""""),CONCATENATE(E74&amp;""-rundor brukar ej ha cutoff""),
AND(OR(C74=""3x3 FMC"",C74=""3x3 MBLD""),OR(E74=1,E74=2,E74=3,E74=""Final"")),CONCATENAT"&amp;"E(C74&amp;""s omgång är Rx - Ax""),
AND(C74&lt;&gt;""3x3 MBLD"",C74&lt;&gt;""3x3 FMC"",FILTER(Info!$D$2:D100, Info!$A$2:A100 = C74)&lt;&gt;F74),CONCATENATE(C74&amp;"" måste ha formatet ""&amp;FILTER(Info!$D$2:D100, Info!$A$2:A100 = C74)),
AND(C74=""3x3 MBLD"",OR(F74=""Avg of 5"",F74="&amp;"""Mean of 3"")),CONCATENATE(""Ogiltigt format för ""&amp;C74),
AND(C74=""3x3 FMC"",OR(F74=""Avg of 5"",F74=""Best of 3"")),CONCATENATE(""Ogiltigt format för ""&amp;C74),
AND(OR(F74=""Best of 1"",F74=""Best of 2"",F74=""Best of 3""),I74&lt;&gt;""""),CONCATENATE(F74&amp;""-r"&amp;"undor får ej ha cutoff""),
AND(OR(C74=""3x3 FMC"",C74=""3x3 MBLD""),G74&lt;&gt;60),CONCATENATE(C74&amp;"" måste ha time limit: 60""),
AND(OR(C74=""3x3 FMC"",C74=""3x3 MBLD""),H74&lt;&gt;""""),CONCATENATE(C74&amp;"" kan inte ha c.t.l.""),
AND(G74&lt;&gt;"""",H74&lt;&gt;""""),""Välj time "&amp;"limit ELLER c.t.l"",
AND(C74=""6x6 / 7x7"",G74="""",H74=""""),""Sätt time limit (x / y) eller c.t.l (z)"",
AND(G74="""",H74=""""),""Sätt en time limit eller c.t.l"",
AND(OR(C74=""6x6 / 7x7"",C74=""4x4 / 5x5 BLD""),G74&lt;&gt;"""",REGEXMATCH(TO_TEXT(G74),"" / """&amp;")=FALSE),CONCATENATE(""Time limit måste vara x / y""),
AND(H74&lt;&gt;"""",I74&lt;&gt;""""),CONCATENATE(C74&amp;"" brukar ej ha cutoff OCH c.t.l""),
AND(E74=1,H74="""",I74="""",OR(FILTER(Info!$E$2:E100, Info!$A$2:A100 = C74) = ""Yes"",FILTER(Info!$F$2:F100, Info!$A$2:A10"&amp;"0 = C74) = ""Yes""),OR(F74=""Avg of 5"",F74=""Mean of 3"")),CONCATENATE(C74&amp;"" bör ha cutoff eller c.t.l""),
AND(C74=""6x6 / 7x7"",I74&lt;&gt;"""",REGEXMATCH(TO_TEXT(I74),"" / "")=FALSE),CONCATENATE(""Cutoff måste vara x / y""),
AND(H74&lt;&gt;"""",ISNUMBER(H74)=FALS"&amp;"E),""C.t.l. måste vara positivt tal (x)"",
AND(C74&lt;&gt;""6x6 / 7x7"",I74&lt;&gt;"""",ISNUMBER(I74)=FALSE),""Cutoff måste vara positivt tal (x)"",
AND(H74&lt;&gt;"""",FILTER(Info!$E$2:E100, Info!$A$2:A100 = C74) = ""No"",FILTER(Info!$F$2:F100, Info!$A$2:A100 = C74) = ""N"&amp;"o""),CONCATENATE(C74&amp;"" brukar inte ha c.t.l.""),
AND(I74&lt;&gt;"""",FILTER(Info!$E$2:E100, Info!$A$2:A100 = C74) = ""No"",FILTER(Info!$F$2:F100, Info!$A$2:A100 = C74) = ""No""),CONCATENATE(C74&amp;"" brukar inte ha cutoff""),
AND(H74="""",FILTER(Info!$F$2:F100, I"&amp;"nfo!$A$2:A100 = C74) = ""Yes""),CONCATENATE(C74&amp;"" brukar ha c.t.l.""),
AND(C74&lt;&gt;""6x6 / 7x7"",C74&lt;&gt;""4x4 / 5x5 BLD"",G74&lt;&gt;"""",ISNUMBER(G74)=FALSE),""Time limit måste vara positivt tal (x)"",
J74=""J - Error"",CONCATENATE(""För få deltagare i R1 för ""&amp;C"&amp;"OUNTIF($C$7:$C$102,indirect(""C""&amp;row()))&amp;"" rundor""),
J74=""K2 - Error"",CONCATENATE(C74&amp;"" är mer populär - byt i K2!""),
AND(C74&lt;&gt;""6x6 / 7x7"",C74&lt;&gt;""4x4 / 5x5 BLD"",G74&lt;&gt;"""",I74&lt;&gt;"""",G74&lt;=I74),""Time limit måste vara &gt; cutoff"",
AND(C74&lt;&gt;""6x6 / 7"&amp;"x7"",C74&lt;&gt;""4x4 / 5x5 BLD"",H74&lt;&gt;"""",I74&lt;&gt;"""",H74&lt;=I74),""C.t.l. måste vara &gt; cutoff"",
AND(C74&lt;&gt;""3x3 FMC"",C74&lt;&gt;""3x3 MBLD"",J74=""""),CONCATENATE(""Fyll i antal deltagare i J""&amp;row()),
AND(C74="""",OR(E74&lt;&gt;"""",F74&lt;&gt;"""",G74&lt;&gt;"""",H74&lt;&gt;"""",I74&lt;&gt;"""""&amp;",J74&lt;&gt;"""")),""Skriv ALLTID gren / aktivitet först"",
AND(I74="""",H74="""",J74&lt;&gt;""""),J74,
OR(""3x3 FMC""=C74,""3x3 MBLD""=C74),J74,
AND(I74&lt;&gt;"""",""6x6 / 7x7""=C74),
IFS(ArrayFormula(SUM(IFERROR(SPLIT(I74,"" / ""))))&lt;(Info!$J$6+Info!$J$7)*2/3,CONCATENAT"&amp;"E(""Höj helst cutoffs i ""&amp;C74),
ArrayFormula(SUM(IFERROR(SPLIT(I74,"" / ""))))&lt;=(Info!$J$6+Info!$J$7),ROUNDUP(J74*Info!$J$22),
ArrayFormula(SUM(IFERROR(SPLIT(I74,"" / ""))))&lt;=Info!$J$6+Info!$J$7,ROUNDUP(J74*Info!$K$22),
ArrayFormula(SUM(IFERROR(SPLIT(I74"&amp;","" / ""))))&lt;=Info!$K$6+Info!$K$7,ROUNDUP(J74*Info!L$22),
ArrayFormula(SUM(IFERROR(SPLIT(I74,"" / ""))))&lt;=Info!$L$6+Info!$L$7,ROUNDUP(J74*Info!$M$22),
ArrayFormula(SUM(IFERROR(SPLIT(I74,"" / ""))))&lt;=Info!$M$6+Info!$M$7,ROUNDUP(J74*Info!$N$22),
ArrayFormul"&amp;"a(SUM(IFERROR(SPLIT(I74,"" / ""))))&lt;=(Info!$N$6+Info!$N$7)*3/2,ROUNDUP(J74*Info!$J$26),
ArrayFormula(SUM(IFERROR(SPLIT(I74,"" / ""))))&gt;(Info!$N$6+Info!$N$7)*3/2,CONCATENATE(""Sänk helst cutoffs i ""&amp;C74)),
AND(I74&lt;&gt;"""",FILTER(Info!$E$2:E100, Info!$A$2:A1"&amp;"00 = C74) = ""Yes""),
IFS(I74&lt;FILTER(Info!$J$2:J100, Info!$A$2:A100 = C74)*2/3,CONCATENATE(""Höj helst cutoff i ""&amp;C74),
I74&lt;=FILTER(Info!$J$2:J100, Info!$A$2:A100 = C74),ROUNDUP(J74*Info!$J$22),
I74&lt;=FILTER(Info!$K$2:K100, Info!$A$2:A100 = C74),ROUNDUP(J"&amp;"74*Info!$K$22),
I74&lt;=FILTER(Info!$L$2:L100, Info!$A$2:A100 = C74),ROUNDUP(J74*Info!L$22),
I74&lt;=FILTER(Info!$M$2:M100, Info!$A$2:A100 = C74),ROUNDUP(J74*Info!$M$22),
I74&lt;=FILTER(Info!$N$2:N100, Info!$A$2:A100 = C74),ROUNDUP(J74*Info!$N$22),
I74&lt;=FILTER(Inf"&amp;"o!$N$2:N100, Info!$A$2:A100 = C74)*3/2,ROUNDUP(J74*Info!$J$26),
I74&gt;FILTER(Info!$N$2:N100, Info!$A$2:A100 = C74)*3/2,CONCATENATE(""Sänk helst cutoff i ""&amp;C74)),
AND(H74&lt;&gt;"""",""6x6 / 7x7""=C74),
IFS(H74/3&lt;=(Info!$J$6+Info!$J$7)*2/3,""Höj helst cumulative "&amp;"time limit"",
H74/3&lt;=Info!$J$6+Info!$J$7,ROUNDUP(J74*Info!$J$24),
H74/3&lt;=Info!$K$6+Info!$K$7,ROUNDUP(J74*Info!$K$24),
H74/3&lt;=Info!$L$6+Info!$L$7,ROUNDUP(J74*Info!L$24),
H74/3&lt;=Info!$M$6+Info!$M$7,ROUNDUP(J74*Info!$M$24),
H74/3&lt;=Info!$N$6+Info!$N$7,ROUNDUP"&amp;"(J74*Info!$N$24),
H74/3&lt;=(Info!$N$6+Info!$N$7)*3/2,ROUNDUP(J74*Info!$L$26),
H74/3&gt;(Info!$J$6+Info!$J$7)*3/2,""Sänk helst cumulative time limit""),
AND(H74&lt;&gt;"""",FILTER(Info!$F$2:F100, Info!$A$2:A100 = C74) = ""Yes""),
IFS(H74&lt;=FILTER(Info!$J$2:J100, Info!"&amp;"$A$2:A100 = C74)*2/3,CONCATENATE(""Höj helst c.t.l. i ""&amp;C74),
H74&lt;=FILTER(Info!$J$2:J100, Info!$A$2:A100 = C74),ROUNDUP(J74*Info!$J$24),
H74&lt;=FILTER(Info!$K$2:K100, Info!$A$2:A100 = C74),ROUNDUP(J74*Info!$K$24),
H74&lt;=FILTER(Info!$L$2:L100, Info!$A$2:A100"&amp;" = C74),ROUNDUP(J74*Info!L$24),
H74&lt;=FILTER(Info!$M$2:M100, Info!$A$2:A100 = C74),ROUNDUP(J74*Info!$M$24),
H74&lt;=FILTER(Info!$N$2:N100, Info!$A$2:A100 = C74),ROUNDUP(J74*Info!$N$24),
H74&lt;=FILTER(Info!$N$2:N100, Info!$A$2:A100 = C74)*3/2,ROUNDUP(J74*Info!$L"&amp;"$26),
H74&gt;FILTER(Info!$N$2:N100, Info!$A$2:A100 = C74)*3/2,CONCATENATE(""Sänk helst c.t.l. i ""&amp;C74)),
AND(H74&lt;&gt;"""",FILTER(Info!$F$2:F100, Info!$A$2:A100 = C74) = ""No""),
IFS(H74/AA74&lt;=FILTER(Info!$J$2:J100, Info!$A$2:A100 = C74)*2/3,CONCATENATE(""Höj h"&amp;"elst c.t.l. i ""&amp;C74),
H74/AA74&lt;=FILTER(Info!$J$2:J100, Info!$A$2:A100 = C74),ROUNDUP(J74*Info!$J$24),
H74/AA74&lt;=FILTER(Info!$K$2:K100, Info!$A$2:A100 = C74),ROUNDUP(J74*Info!$K$24),
H74/AA74&lt;=FILTER(Info!$L$2:L100, Info!$A$2:A100 = C74),ROUNDUP(J74*Info!"&amp;"L$24),
H74/AA74&lt;=FILTER(Info!$M$2:M100, Info!$A$2:A100 = C74),ROUNDUP(J74*Info!$M$24),
H74/AA74&lt;=FILTER(Info!$N$2:N100, Info!$A$2:A100 = C74),ROUNDUP(J74*Info!$N$24),
H74/AA74&lt;=FILTER(Info!$N$2:N100, Info!$A$2:A100 = C74)*3/2,ROUNDUP(J74*Info!$L$26),
H74/"&amp;"AA74&gt;FILTER(Info!$N$2:N100, Info!$A$2:A100 = C74)*3/2,CONCATENATE(""Sänk helst c.t.l. i ""&amp;C74)),
AND(I74="""",H74&lt;&gt;"""",J74&lt;&gt;""""),ROUNDUP(J74*Info!$T$29),
AND(I74&lt;&gt;"""",H74="""",J74&lt;&gt;""""),ROUNDUP(J74*Info!$T$26))"),"")</f>
        <v/>
      </c>
      <c r="L74" s="42">
        <f>IFERROR(__xludf.DUMMYFUNCTION("IFS(C74="""",0,
C74=""3x3 FMC"",Info!$B$9*N74+M74, C74=""3x3 MBLD"",Info!$B$18*N74+M74,
COUNTIF(Info!$A$22:A100,C74)&gt;0,FILTER(Info!$B$22:B100,Info!$A$22:A100=C74)+M74,
AND(C74&lt;&gt;"""",E74=""""),CONCATENATE(""Fyll i E""&amp;row()),
AND(C74&lt;&gt;"""",E74&lt;&gt;"""",E74&lt;&gt;1"&amp;",E74&lt;&gt;2,E74&lt;&gt;3,E74&lt;&gt;""Final""),CONCATENATE(""Fel format på E""&amp;row()),
K74=CONCATENATE(""Runda ""&amp;E74&amp;"" i ""&amp;C74&amp;"" finns redan""),CONCATENATE(""Fel i E""&amp;row()),
AND(C74&lt;&gt;"""",F74=""""),CONCATENATE(""Fyll i F""&amp;row()),
K74=CONCATENATE(C74&amp;"" måste ha fo"&amp;"rmatet ""&amp;FILTER(Info!$D$2:D100, Info!$A$2:A100 = C74)),CONCATENATE(""Fel format på F""&amp;row()),
AND(C74&lt;&gt;"""",D74=1,H74="""",FILTER(Info!$F$2:F100, Info!$A$2:A100 = C74) = ""Yes""),CONCATENATE(""Fyll i H""&amp;row()),
AND(C74&lt;&gt;"""",D74=1,I74="""",FILTER(Info!"&amp;"$E$2:E100, Info!$A$2:A100 = C74) = ""Yes""),CONCATENATE(""Fyll i I""&amp;row()),
AND(C74&lt;&gt;"""",J74=""""),CONCATENATE(""Fyll i J""&amp;row()),
AND(C74&lt;&gt;"""",K74="""",OR(H74&lt;&gt;"""",I74&lt;&gt;"""")),CONCATENATE(""Fyll i K""&amp;row()),
AND(C74&lt;&gt;"""",K74=""""),CONCATENATE(""Sk"&amp;"riv samma i K""&amp;row()&amp;"" som i J""&amp;row()),
AND(OR(C74=""4x4 BLD"",C74=""5x5 BLD"",C74=""4x4 / 5x5 BLD"")=TRUE,V74&lt;=P74),
MROUND(H74*(Info!$T$20-((Info!$T$20-1)/2)*(1-V74/P74))*(1+((J74/K74)-1)*(1-Info!$J$24))*N74+(Info!$T$11/2)+(N74*Info!$T$11)+(N74*Info!"&amp;"$T$14*(O74-1)),0.01)+M74,
AND(OR(C74=""4x4 BLD"",C74=""5x5 BLD"",C74=""4x4 / 5x5 BLD"")=TRUE,V74&gt;P74),
MROUND((((J74*Z74+K74*(AA74-Z74))*(H74*Info!$T$20/AA74))/X74)*(1+((J74/K74)-1)*(1-Info!$J$24))*(1+(X74-Info!$T$8)/100)+(Info!$T$11/2)+(N74*Info!$T$11)+("&amp;"N74*Info!$T$14*(O74-1)),0.01)+M74,
AND(C74=""3x3 BLD"",V74&lt;=P74),
MROUND(H74*(Info!$T$23-((Info!$T$23-1)/2)*(1-V74/P74))*(1+((J74/K74)-1)*(1-Info!$J$24))*N74+(Info!$T$11/2)+(N74*Info!$T$11)+(N74*Info!$T$14*(O74-1)),0.01)+M74,
AND(C74=""3x3 BLD"",V74&gt;P74),"&amp;"
MROUND((((J74*Z74+K74*(AA74-Z74))*(H74*Info!$T$23/AA74))/X74)*(1+((J74/K74)-1)*(1-Info!$J$24))*(1+(X74-Info!$T$8)/100)+(Info!$T$11/2)+(N74*Info!$T$11)+(N74*Info!$T$14*(O74-1)),0.01)+M74,
E74=1,MROUND((((J74*Z74+K74*(AA74-Z74))*Y74)/X74)*(1+(X74-Info!$T$8"&amp;")/100)+(N74*Info!$T$11)+(N74*Info!$T$14*(O74-1)),0.01)+M74,
AND(E74=""Final"",N74=1,FILTER(Info!$G$2:$G$20,Info!$A$2:$A$20=C74)=""Mycket svår""),
MROUND((((J74*Z74+K74*(AA74-Z74))*(Y74*Info!$T$38))/X74)*(1+(X74-Info!$T$8)/100)+(N74*Info!$T$11)+(N74*Info!$"&amp;"T$14*(O74-1)),0.01)+M74,
AND(E74=""Final"",N74=1,FILTER(Info!$G$2:$G$20,Info!$A$2:$A$20=C74)=""Svår""),
MROUND((((J74*Z74+K74*(AA74-Z74))*(Y74*Info!$T$35))/X74)*(1+(X74-Info!$T$8)/100)+(N74*Info!$T$11)+(N74*Info!$T$14*(O74-1)),0.01)+M74,
E74=""Final"",MRO"&amp;"UND((((J74*Z74+K74*(AA74-Z74))*(Y74*Info!$T$5))/X74)*(1+(X74-Info!$T$8)/100)+(N74*Info!$T$11)+(N74*Info!$T$14*(O74-1)),0.01)+M74,
OR(E74=2,E74=3),MROUND((((J74*Z74+K74*(AA74-Z74))*(Y74*Info!$T$2))/X74)*(1+(X74-Info!$T$8)/100)+(N74*Info!$T$11)+(N74*Info!$T"&amp;"$14*(O74-1)),0.01)+M74)"),0.0)</f>
        <v>0</v>
      </c>
      <c r="M74" s="43">
        <f t="shared" si="6"/>
        <v>0</v>
      </c>
      <c r="N74" s="43" t="str">
        <f>IFS(OR(COUNTIF(Info!$A$22:A100,C74)&gt;0,C74=""),"",
OR(C74="4x4 BLD",C74="5x5 BLD",C74="3x3 MBLD",C74="3x3 FMC",C74="4x4 / 5x5 BLD"),1,
AND(E74="Final",Q74="Yes",MAX(1,ROUNDUP(J74/P74))&gt;1),MAX(2,ROUNDUP(J74/P74)),
AND(E74="Final",Q74="No",MAX(1,ROUNDUP(J74/((P74*2)+2.625-Y74*1.5)))&gt;1),MAX(2,ROUNDUP(J74/((P74*2)+2.625-Y74*1.5))),
E74="Final",1,
Q74="Yes",MAX(2,ROUNDUP(J74/P74)),
TRUE,MAX(2,ROUNDUP(J74/((P74*2)+2.625-Y74*1.5))))</f>
        <v/>
      </c>
      <c r="O74" s="43" t="str">
        <f>IFS(OR(COUNTIF(Info!$A$22:A100,C74)&gt;0,C74=""),"",
OR("3x3 MBLD"=C74,"3x3 FMC"=C74)=TRUE,"",
D74=$E$4,$G$6,D74=$K$4,$M$6,D74=$Q$4,$S$6,D74=$W$4,$Y$6,
TRUE,$S$2)</f>
        <v/>
      </c>
      <c r="P74" s="43" t="str">
        <f>IFS(OR(COUNTIF(Info!$A$22:A100,C74)&gt;0,C74=""),"",
OR("3x3 MBLD"=C74,"3x3 FMC"=C74)=TRUE,"",
D74=$E$4,$E$6,D74=$K$4,$K$6,D74=$Q$4,$Q$6,D74=$W$4,$W$6,
TRUE,$Q$2)</f>
        <v/>
      </c>
      <c r="Q74" s="44" t="str">
        <f>IFS(OR(COUNTIF(Info!$A$22:A100,C74)&gt;0,C74=""),"",
OR("3x3 MBLD"=C74,"3x3 FMC"=C74)=TRUE,"",
D74=$E$4,$I$6,D74=$K$4,$O$6,D74=$Q$4,$U$6,D74=$W$4,$AA$6,
TRUE,$U$2)</f>
        <v/>
      </c>
      <c r="R74" s="65" t="str">
        <f>IFERROR(__xludf.DUMMYFUNCTION("IF(C74="""","""",IFERROR(FILTER(Info!$B$22:B100,Info!$A$22:A100=C74)+M74,""?""))"),"")</f>
        <v/>
      </c>
      <c r="S74" s="66" t="str">
        <f>IFS(OR(COUNTIF(Info!$A$22:A100,C74)&gt;0,C74=""),"",
AND(H74="",I74=""),J74,
TRUE,"?")</f>
        <v/>
      </c>
      <c r="T74" s="65" t="str">
        <f>IFS(OR(COUNTIF(Info!$A$22:A100,C74)&gt;0,C74=""),"",
AND(L74&lt;&gt;0,OR(R74="?",R74="")),"Fyll i R-kolumnen",
OR(C74="3x3 FMC",C74="3x3 MBLD"),R74,
AND(L74&lt;&gt;0,OR(S74="?",S74="")),"Fyll i S-kolumnen",
OR(COUNTIF(Info!$A$22:A100,C74)&gt;0,C74=""),"",
TRUE,Y74*R74/L74)</f>
        <v/>
      </c>
      <c r="U74" s="65"/>
      <c r="V74" s="67" t="str">
        <f>IFS(OR(COUNTIF(Info!$A$22:A100,C74)&gt;0,C74=""),"",
OR("3x3 MBLD"=C74,"3x3 FMC"=C74)=TRUE,"",
TRUE,MROUND((J74/N74),0.01))</f>
        <v/>
      </c>
      <c r="W74" s="68" t="str">
        <f>IFS(OR(COUNTIF(Info!$A$22:A100,C74)&gt;0,C74=""),"",
TRUE,L74/N74)</f>
        <v/>
      </c>
      <c r="X74" s="67" t="str">
        <f>IFS(OR(COUNTIF(Info!$A$22:A100,C74)&gt;0,C74=""),"",
OR("3x3 MBLD"=C74,"3x3 FMC"=C74)=TRUE,"",
OR(C74="4x4 BLD",C74="5x5 BLD",C74="4x4 / 5x5 BLD",AND(C74="3x3 BLD",H74&lt;&gt;""))=TRUE,MIN(V74,P74),
TRUE,MIN(P74,V74,MROUND(((V74*2/3)+((Y74-1.625)/2)),0.01)))</f>
        <v/>
      </c>
      <c r="Y74" s="68" t="str">
        <f>IFERROR(__xludf.DUMMYFUNCTION("IFS(OR(COUNTIF(Info!$A$22:A100,C74)&gt;0,C74=""""),"""",
FILTER(Info!$F$2:F100, Info!$A$2:A100 = C74) = ""Yes"",H74/AA74,
""3x3 FMC""=C74,Info!$B$9,""3x3 MBLD""=C74,Info!$B$18,
AND(E74=1,I74="""",H74="""",Q74=""No"",G74&gt;SUMIF(Info!$A$2:A100,C74,Info!$B$2:B10"&amp;"0)*1.5),
MIN(SUMIF(Info!$A$2:A100,C74,Info!$B$2:B100)*1.1,SUMIF(Info!$A$2:A100,C74,Info!$B$2:B100)*(1.15-(0.15*(SUMIF(Info!$A$2:A100,C74,Info!$B$2:B100)*1.5)/G74))),
AND(E74=1,I74="""",H74="""",Q74=""Yes"",G74&gt;SUMIF(Info!$A$2:A100,C74,Info!$C$2:C100)*1.5)"&amp;",
MIN(SUMIF(Info!$A$2:A100,C74,Info!$C$2:C100)*1.1,SUMIF(Info!$A$2:A100,C74,Info!$C$2:C100)*(1.15-(0.15*(SUMIF(Info!$A$2:A100,C74,Info!$C$2:C100)*1.5)/G74))),
Q74=""No"",SUMIF(Info!$A$2:A100,C74,Info!$B$2:B100),
Q74=""Yes"",SUMIF(Info!$A$2:A100,C74,Info!$"&amp;"C$2:C100))"),"")</f>
        <v/>
      </c>
      <c r="Z74" s="67" t="str">
        <f>IFS(OR(COUNTIF(Info!$A$22:A100,C74)&gt;0,C74=""),"",
AND(OR("3x3 FMC"=C74,"3x3 MBLD"=C74),I74&lt;&gt;""),1,
AND(OR(H74&lt;&gt;"",I74&lt;&gt;""),F74="Avg of 5"),2,
F74="Avg of 5",AA74,
AND(OR(H74&lt;&gt;"",I74&lt;&gt;""),F74="Mean of 3",C74="6x6 / 7x7"),2,
AND(OR(H74&lt;&gt;"",I74&lt;&gt;""),F74="Mean of 3"),1,
F74="Mean of 3",AA74,
AND(OR(H74&lt;&gt;"",I74&lt;&gt;""),F74="Best of 3",C74="4x4 / 5x5 BLD"),2,
AND(OR(H74&lt;&gt;"",I74&lt;&gt;""),F74="Best of 3"),1,
F74="Best of 2",AA74,
F74="Best of 1",AA74)</f>
        <v/>
      </c>
      <c r="AA74" s="67" t="str">
        <f>IFS(OR(COUNTIF(Info!$A$22:A100,C74)&gt;0,C74=""),"",
AND(OR("3x3 MBLD"=C74,"3x3 FMC"=C74),F74="Best of 1"=TRUE),1,
AND(OR("3x3 MBLD"=C74,"3x3 FMC"=C74),F74="Best of 2"=TRUE),2,
AND(OR("3x3 MBLD"=C74,"3x3 FMC"=C74),OR(F74="Best of 3",F74="Mean of 3")=TRUE),3,
AND(F74="Mean of 3",C74="6x6 / 7x7"),6,
AND(F74="Best of 3",C74="4x4 / 5x5 BLD"),6,
F74="Avg of 5",5,F74="Mean of 3",3,F74="Best of 3",3,F74="Best of 2",2,F74="Best of 1",1)</f>
        <v/>
      </c>
      <c r="AB74" s="69"/>
    </row>
    <row r="75" ht="15.75" customHeight="1">
      <c r="A75" s="62">
        <f>IFERROR(__xludf.DUMMYFUNCTION("IFS(indirect(""A""&amp;row()-1)=""Start"",TIME(indirect(""A""&amp;row()-2),indirect(""B""&amp;row()-2),0),
$O$2=""No"",TIME(0,($A$6*60+$B$6)+CEILING(SUM($L$7:indirect(""L""&amp;row()-1)),5),0),
D75=$E$2,TIME(0,($A$6*60+$B$6)+CEILING(SUM(IFERROR(FILTER($L$7:indirect(""L"""&amp;"&amp;row()-1),REGEXMATCH($D$7:indirect(""D""&amp;row()-1),$E$2)),0)),5),0),
TRUE,""=time(hh;mm;ss)"")"),0.3645833333333335)</f>
        <v>0.3645833333</v>
      </c>
      <c r="B75" s="63">
        <f>IFERROR(__xludf.DUMMYFUNCTION("IFS($O$2=""No"",TIME(0,($A$6*60+$B$6)+CEILING(SUM($L$7:indirect(""L""&amp;row())),5),0),
D75=$E$2,TIME(0,($A$6*60+$B$6)+CEILING(SUM(FILTER($L$7:indirect(""L""&amp;row()),REGEXMATCH($D$7:indirect(""D""&amp;row()),$E$2))),5),0),
A75=""=time(hh;mm;ss)"",CONCATENATE(""Sk"&amp;"riv tid i A""&amp;row()),
AND(A75&lt;&gt;"""",A75&lt;&gt;""=time(hh;mm;ss)""),A75+TIME(0,CEILING(indirect(""L""&amp;row()),5),0))"),0.3645833333333335)</f>
        <v>0.3645833333</v>
      </c>
      <c r="C75" s="37"/>
      <c r="D75" s="64" t="str">
        <f t="shared" si="7"/>
        <v>Stora salen</v>
      </c>
      <c r="E75" s="64" t="str">
        <f>IFERROR(__xludf.DUMMYFUNCTION("IFS(COUNTIF(Info!$A$22:A101,C75)&gt;0,"""",
AND(OR(""3x3 FMC""=C75,""3x3 MBLD""=C75),COUNTIF($C$7:indirect(""C""&amp;row()),indirect(""C""&amp;row()))&gt;=13),""E - Error"",
AND(OR(""3x3 FMC""=C75,""3x3 MBLD""=C75),COUNTIF($C$7:indirect(""C""&amp;row()),indirect(""C""&amp;row("&amp;")))=12),""Final - A3"",
AND(OR(""3x3 FMC""=C75,""3x3 MBLD""=C75),COUNTIF($C$7:indirect(""C""&amp;row()),indirect(""C""&amp;row()))=11),""Final - A2"",
AND(OR(""3x3 FMC""=C75,""3x3 MBLD""=C75),COUNTIF($C$7:indirect(""C""&amp;row()),indirect(""C""&amp;row()))=10),""Final -"&amp;" A1"",
AND(OR(""3x3 FMC""=C75,""3x3 MBLD""=C75),COUNTIF($C$7:indirect(""C""&amp;row()),indirect(""C""&amp;row()))=9,
COUNTIF($C$7:$C$102,indirect(""C""&amp;row()))&gt;9),""R3 - A3"",
AND(OR(""3x3 FMC""=C75,""3x3 MBLD""=C75),COUNTIF($C$7:indirect(""C""&amp;row()),indirect("""&amp;"C""&amp;row()))=9,
COUNTIF($C$7:$C$102,indirect(""C""&amp;row()))&lt;=9),""Final - A3"",
AND(OR(""3x3 FMC""=C75,""3x3 MBLD""=C75),COUNTIF($C$7:indirect(""C""&amp;row()),indirect(""C""&amp;row()))=8,
COUNTIF($C$7:$C$102,indirect(""C""&amp;row()))&gt;9),""R3 - A2"",
AND(OR(""3x3 FMC"&amp;"""=C75,""3x3 MBLD""=C75),COUNTIF($C$7:indirect(""C""&amp;row()),indirect(""C""&amp;row()))=8,
COUNTIF($C$7:$C$102,indirect(""C""&amp;row()))&lt;=9),""Final - A2"",
AND(OR(""3x3 FMC""=C75,""3x3 MBLD""=C75),COUNTIF($C$7:indirect(""C""&amp;row()),indirect(""C""&amp;row()))=7,
COUN"&amp;"TIF($C$7:$C$102,indirect(""C""&amp;row()))&gt;9),""R3 - A1"",
AND(OR(""3x3 FMC""=C75,""3x3 MBLD""=C75),COUNTIF($C$7:indirect(""C""&amp;row()),indirect(""C""&amp;row()))=7,
COUNTIF($C$7:$C$102,indirect(""C""&amp;row()))&lt;=9),""Final - A1"",
AND(OR(""3x3 FMC""=C75,""3x3 MBLD"""&amp;"=C75),COUNTIF($C$7:indirect(""C""&amp;row()),indirect(""C""&amp;row()))=6,
COUNTIF($C$7:$C$102,indirect(""C""&amp;row()))&gt;6),""R2 - A3"",
AND(OR(""3x3 FMC""=C75,""3x3 MBLD""=C75),COUNTIF($C$7:indirect(""C""&amp;row()),indirect(""C""&amp;row()))=6,
COUNTIF($C$7:$C$102,indirec"&amp;"t(""C""&amp;row()))&lt;=6),""Final - A3"",
AND(OR(""3x3 FMC""=C75,""3x3 MBLD""=C75),COUNTIF($C$7:indirect(""C""&amp;row()),indirect(""C""&amp;row()))=5,
COUNTIF($C$7:$C$102,indirect(""C""&amp;row()))&gt;6),""R2 - A2"",
AND(OR(""3x3 FMC""=C75,""3x3 MBLD""=C75),COUNTIF($C$7:indi"&amp;"rect(""C""&amp;row()),indirect(""C""&amp;row()))=5,
COUNTIF($C$7:$C$102,indirect(""C""&amp;row()))&lt;=6),""Final - A2"",
AND(OR(""3x3 FMC""=C75,""3x3 MBLD""=C75),COUNTIF($C$7:indirect(""C""&amp;row()),indirect(""C""&amp;row()))=4,
COUNTIF($C$7:$C$102,indirect(""C""&amp;row()))&gt;6),"&amp;"""R2 - A1"",
AND(OR(""3x3 FMC""=C75,""3x3 MBLD""=C75),COUNTIF($C$7:indirect(""C""&amp;row()),indirect(""C""&amp;row()))=4,
COUNTIF($C$7:$C$102,indirect(""C""&amp;row()))&lt;=6),""Final - A1"",
AND(OR(""3x3 FMC""=C75,""3x3 MBLD""=C75),COUNTIF($C$7:indirect(""C""&amp;row()),i"&amp;"ndirect(""C""&amp;row()))=3),""R1 - A3"",
AND(OR(""3x3 FMC""=C75,""3x3 MBLD""=C75),COUNTIF($C$7:indirect(""C""&amp;row()),indirect(""C""&amp;row()))=2),""R1 - A2"",
AND(OR(""3x3 FMC""=C75,""3x3 MBLD""=C75),COUNTIF($C$7:indirect(""C""&amp;row()),indirect(""C""&amp;row()))=1),"&amp;"""R1 -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101, Info!$A$2:A101 = C75),ROUNDUP((FILTER(Info!$H$2:H101,Info!$A$2:A101=C75)/FILTER(Info!$H$2:H101,Info!$A$2:A101=$K$2))*$I$2)&gt;99),3,
AND(COUNTIF($C$7:indirect(""C""&amp;row()),indirect(""C""&amp;row()))"&amp;"=3,COUNTIF($C$7:$C$102,indirect(""C""&amp;row()))=COUNTIF($C$7:indirect(""C""&amp;row()),indirect(""C""&amp;row()))),""Final"",
AND(COUNTIF($C$7:indirect(""C""&amp;row()),indirect(""C""&amp;row()))=2,COUNTIF($C$7:$C$102,indirect(""C""&amp;row()))&gt;COUNTIF($C$7:indirect(""C""&amp;row("&amp;")),indirect(""C""&amp;row()))),2,
AND(COUNTIF($C$7:indirect(""C""&amp;row()),indirect(""C""&amp;row()))=2,COUNTIF($C$7:$C$102,indirect(""C""&amp;row()))=COUNTIF($C$7:indirect(""C""&amp;row()),indirect(""C""&amp;row())),COUNTIF($C$7:indirect(""C""&amp;row()),indirect(""C""&amp;row()))&lt;FI"&amp;"LTER(Info!$I$2:I101, Info!$A$2:A101 = C75),ROUNDUP((FILTER(Info!$H$2:H101,Info!$A$2:A101=C75)/FILTER(Info!$H$2:H101,Info!$A$2:A101=$K$2))*$I$2)&gt;15),2,
AND(COUNTIF($C$7:indirect(""C""&amp;row()),indirect(""C""&amp;row()))=2,COUNTIF($C$7:$C$102,indirect(""C""&amp;row()"&amp;"))=COUNTIF($C$7:indirect(""C""&amp;row()),indirect(""C""&amp;row()))),""Final"",
COUNTIF($C$7:indirect(""C""&amp;row()),indirect(""C""&amp;row()))=1,1,
COUNTIF($C$7:indirect(""C""&amp;row()),indirect(""C""&amp;row()))=0,"""")"),"")</f>
        <v/>
      </c>
      <c r="F75" s="64" t="str">
        <f>IFERROR(__xludf.DUMMYFUNCTION("IFS(C75="""","""",
AND(C75=""3x3 FMC"",MOD(COUNTIF($C$7:indirect(""C""&amp;row()),indirect(""C""&amp;row())),3)=0),""Mean of 3"",
AND(C75=""3x3 MBLD"",MOD(COUNTIF($C$7:indirect(""C""&amp;row()),indirect(""C""&amp;row())),3)=0),""Best of 3"",
AND(C75=""3x3 FMC"",MOD(COUNT"&amp;"IF($C$7:indirect(""C""&amp;row()),indirect(""C""&amp;row())),3)=2,
COUNTIF($C$7:$C$102,indirect(""C""&amp;row()))&lt;=COUNTIF($C$7:indirect(""C""&amp;row()),indirect(""C""&amp;row()))),""Best of 2"",
AND(C75=""3x3 FMC"",MOD(COUNTIF($C$7:indirect(""C""&amp;row()),indirect(""C""&amp;row("&amp;"))),3)=2,
COUNTIF($C$7:$C$102,indirect(""C""&amp;row()))&gt;COUNTIF($C$7:indirect(""C""&amp;row()),indirect(""C""&amp;row()))),""Mean of 3"",
AND(C75=""3x3 MBLD"",MOD(COUNTIF($C$7:indirect(""C""&amp;row()),indirect(""C""&amp;row())),3)=2,
COUNTIF($C$7:$C$102,indirect(""C""&amp;row("&amp;")))&lt;=COUNTIF($C$7:indirect(""C""&amp;row()),indirect(""C""&amp;row()))),""Best of 2"",
AND(C75=""3x3 MBLD"",MOD(COUNTIF($C$7:indirect(""C""&amp;row()),indirect(""C""&amp;row())),3)=2,
COUNTIF($C$7:$C$102,indirect(""C""&amp;row()))&gt;COUNTIF($C$7:indirect(""C""&amp;row()),indirect("&amp;"""C""&amp;row()))),""Best of 3"",
AND(C75=""3x3 FMC"",MOD(COUNTIF($C$7:indirect(""C""&amp;row()),indirect(""C""&amp;row())),3)=1,
COUNTIF($C$7:$C$102,indirect(""C""&amp;row()))&lt;=COUNTIF($C$7:indirect(""C""&amp;row()),indirect(""C""&amp;row()))),""Best of 1"",
AND(C75=""3x3 FMC"""&amp;",MOD(COUNTIF($C$7:indirect(""C""&amp;row()),indirect(""C""&amp;row())),3)=1,
COUNTIF($C$7:$C$102,indirect(""C""&amp;row()))=COUNTIF($C$7:indirect(""C""&amp;row()),indirect(""C""&amp;row()))+1),""Best of 2"",
AND(C75=""3x3 FMC"",MOD(COUNTIF($C$7:indirect(""C""&amp;row()),indirect"&amp;"(""C""&amp;row())),3)=1,
COUNTIF($C$7:$C$102,indirect(""C""&amp;row()))&gt;COUNTIF($C$7:indirect(""C""&amp;row()),indirect(""C""&amp;row()))),""Mean of 3"",
AND(C75=""3x3 MBLD"",MOD(COUNTIF($C$7:indirect(""C""&amp;row()),indirect(""C""&amp;row())),3)=1,
COUNTIF($C$7:$C$102,indirect"&amp;"(""C""&amp;row()))&lt;=COUNTIF($C$7:indirect(""C""&amp;row()),indirect(""C""&amp;row()))),""Best of 1"",
AND(C75=""3x3 MBLD"",MOD(COUNTIF($C$7:indirect(""C""&amp;row()),indirect(""C""&amp;row())),3)=1,
COUNTIF($C$7:$C$102,indirect(""C""&amp;row()))=COUNTIF($C$7:indirect(""C""&amp;row()"&amp;"),indirect(""C""&amp;row()))+1),""Best of 2"",
AND(C75=""3x3 MBLD"",MOD(COUNTIF($C$7:indirect(""C""&amp;row()),indirect(""C""&amp;row())),3)=1,
COUNTIF($C$7:$C$102,indirect(""C""&amp;row()))&gt;COUNTIF($C$7:indirect(""C""&amp;row()),indirect(""C""&amp;row()))),""Best of 3"",
TRUE,("&amp;"IFERROR(FILTER(Info!$D$2:D101, Info!$A$2:A101 = C75), """")))"),"")</f>
        <v/>
      </c>
      <c r="G75" s="64" t="str">
        <f>IFERROR(__xludf.DUMMYFUNCTION("IFS(OR(COUNTIF(Info!$A$22:A101,C75)&gt;0,C75=""""),"""",
OR(""3x3 MBLD""=C75,""3x3 FMC""=C75),60,
AND(E75=1,FILTER(Info!$F$2:F101, Info!$A$2:A101 = C75) = ""No""),FILTER(Info!$P$2:P101, Info!$A$2:A101 = C75),
AND(E75=2,FILTER(Info!$F$2:F101, Info!$A$2:A101 ="&amp;" C75) = ""No""),FILTER(Info!$Q$2:Q101, Info!$A$2:A101 = C75),
AND(E75=3,FILTER(Info!$F$2:F101, Info!$A$2:A101 = C75) = ""No""),FILTER(Info!$R$2:R101, Info!$A$2:A101 = C75),
AND(E75=""Final"",FILTER(Info!$F$2:F101, Info!$A$2:A101 = C75) = ""No""),FILTER(In"&amp;"fo!$S$2:S101, Info!$A$2:A101 = C75),
FILTER(Info!$F$2:F101, Info!$A$2:A101 = C75) = ""Yes"","""")"),"")</f>
        <v/>
      </c>
      <c r="H75" s="64" t="str">
        <f>IFERROR(__xludf.DUMMYFUNCTION("IFS(OR(COUNTIF(Info!$A$22:A101,C75)&gt;0,C75=""""),"""",
OR(""3x3 MBLD""=C75,""3x3 FMC""=C75)=TRUE,"""",
FILTER(Info!$F$2:F101, Info!$A$2:A101 = C75) = ""Yes"",FILTER(Info!$O$2:O101, Info!$A$2:A101 = C75),
FILTER(Info!$F$2:F101, Info!$A$2:A101 = C75) = ""No"&amp;""",IF(G75="""",FILTER(Info!$O$2:O101, Info!$A$2:A101 = C75),""""))"),"")</f>
        <v/>
      </c>
      <c r="I75" s="64" t="str">
        <f>IFERROR(__xludf.DUMMYFUNCTION("IFS(OR(COUNTIF(Info!$A$22:A101,C75)&gt;0,C75="""",H75&lt;&gt;""""),"""",
AND(E75&lt;&gt;1,E75&lt;&gt;""R1 - A1"",E75&lt;&gt;""R1 - A2"",E75&lt;&gt;""R1 - A3""),"""",
FILTER(Info!$E$2:E101, Info!$A$2:A101 = C75) = ""Yes"",IF(H75="""",FILTER(Info!$L$2:L101, Info!$A$2:A101 = C75),""""),
FIL"&amp;"TER(Info!$E$2:E101, Info!$A$2:A101 = C75) = ""No"","""")"),"")</f>
        <v/>
      </c>
      <c r="J75" s="64" t="str">
        <f>IFERROR(__xludf.DUMMYFUNCTION("IFS(OR(COUNTIF(Info!$A$22:A101,C75)&gt;0,C75="""",""3x3 MBLD""=C75,""3x3 FMC""=C75),"""",
AND(E75=1,FILTER(Info!$H$2:H101,Info!$A$2:A101 = C75)&lt;=FILTER(Info!$H$2:H101,Info!$A$2:A101=$K$2)),
ROUNDUP((FILTER(Info!$H$2:H101,Info!$A$2:A101 = C75)/FILTER(Info!$H$"&amp;"2:H101,Info!$A$2:A101=$K$2))*$I$2),
AND(E75=1,FILTER(Info!$H$2:H101,Info!$A$2:A101 = C75)&gt;FILTER(Info!$H$2:H101,Info!$A$2:A101=$K$2)),""K2 - Error"",
AND(E75=2,FILTER($J$7:indirect(""J""&amp;row()-1),$C$7:indirect(""C""&amp;row()-1)=C75)&lt;=7),""J - Error"",
E75=2,"&amp;"FLOOR(FILTER($J$7:indirect(""J""&amp;row()-1),$C$7:indirect(""C""&amp;row()-1)=C75)*Info!$T$32),
AND(E75=3,FILTER($J$7:indirect(""J""&amp;row()-1),$C$7:indirect(""C""&amp;row()-1)=C75)&lt;=15),""J - Error"",
E75=3,FLOOR(Info!$T$32*FLOOR(FILTER($J$7:indirect(""J""&amp;row()-1),$"&amp;"C$7:indirect(""C""&amp;row()-1)=C75)*Info!$T$32)),
AND(E75=""Final"",COUNTIF($C$7:$C$102,C75)=2,FILTER($J$7:indirect(""J""&amp;row()-1),$C$7:indirect(""C""&amp;row()-1)=C75)&lt;=7),""J - Error"",
AND(E75=""Final"",COUNTIF($C$7:$C$102,C75)=2),
MIN(P75,FLOOR(FILTER($J$7:i"&amp;"ndirect(""J""&amp;row()-1),$C$7:indirect(""C""&amp;row()-1)=C75)*Info!$T$32)),
AND(E75=""Final"",COUNTIF($C$7:$C$102,C75)=3,FILTER($J$7:indirect(""J""&amp;row()-1),$C$7:indirect(""C""&amp;row()-1)=C75)&lt;=15),""J - Error"",
AND(E75=""Final"",COUNTIF($C$7:$C$102,C75)=3),
MI"&amp;"N(P75,FLOOR(Info!$T$32*FLOOR(FILTER($J$7:indirect(""J""&amp;row()-1),$C$7:indirect(""C""&amp;row()-1)=C75)*Info!$T$32))),
AND(E75=""Final"",COUNTIF($C$7:$C$102,C75)&gt;=4,FILTER($J$7:indirect(""J""&amp;row()-1),$C$7:indirect(""C""&amp;row()-1)=C75)&lt;=99),""J - Error"",
AND(E"&amp;"75=""Final"",COUNTIF($C$7:$C$102,C75)&gt;=4),
MIN(P75,FLOOR(Info!$T$32*FLOOR(Info!$T$32*FLOOR(FILTER($J$7:indirect(""J""&amp;row()-1),$C$7:indirect(""C""&amp;row()-1)=C75)*Info!$T$32)))))"),"")</f>
        <v/>
      </c>
      <c r="K75" s="41" t="str">
        <f>IFERROR(__xludf.DUMMYFUNCTION("IFS(AND(indirect(""D""&amp;row()+2)&lt;&gt;$E$2,indirect(""D""&amp;row()+1)=""""),CONCATENATE(""Tom rad! Kopiera hela rad ""&amp;row()&amp;"" dit""),
AND(indirect(""D""&amp;row()-1)&lt;&gt;""Rum"",indirect(""D""&amp;row()-1)=""""),CONCATENATE(""Tom rad! Kopiera hela rad ""&amp;row()&amp;"" dit""),
"&amp;"C75="""","""",
COUNTIF(Info!$A$22:A101,$K$2)&gt;0,""Det tyckte du var roligt? ( ͡❛ ͜ʖ ͡❛)"",
AND($M$2&gt;=2,$E$4=""""),""Skriv 1:a sidorummets namn i E4"",
AND($M$2&gt;=3,$K$4=""""),""Skriv 2:a sidorummets namn i K4"",
AND($M$2&gt;=4,$Q$4=""""),""Skriv 3:e sidorummet"&amp;"s namn i Q4"",
AND($M$2&lt;2,$E$4&lt;&gt;""""),""Finns fler än 2 rum - ta bort i E4"",
AND($M$2&lt;3,$K$4&lt;&gt;""""),""Finns fler än 3 rum - ta bort i K4"",
AND($M$2&lt;4,$Q$4&lt;&gt;""""),""Finns fler än 4 rum - ta bort i Q4"",
OR(AND(D75&lt;&gt;$E$2,D75&lt;&gt;$E$4,D75&lt;&gt;$K$4,D75&lt;&gt;$Q$4),D75"&amp;"=""""),CONCATENATE(""Rum: ""&amp;D75&amp;"" finns ej, byt i D""&amp;row()),
AND(indirect(""D""&amp;row()-1)=""Rum"",C75=""""),CONCATENATE(""För att börja: skriv i cell C""&amp;row()),
AND(C75=""Paus"",M75&lt;=0),CONCATENATE(""Skriv pausens längd i M""&amp;row()),
OR(COUNTIF(Info!$A"&amp;"$22:A101,C75)&gt;0,C75=""""),"""",
AND(D75&lt;&gt;$E$2,$O$2=""Yes"",A75=""=time(hh;mm;ss)""),CONCATENATE(""Skriv starttid för ""&amp;C75&amp;"" i A""&amp;row()),
E75=""E - Error"",CONCATENATE(""För många ""&amp;C75&amp;"" rundor!""),
AND(C75&lt;&gt;""3x3 FMC"",C75&lt;&gt;""3x3 MBLD"",E75&lt;&gt;1,E75&lt;"&amp;"&gt;""Final"",IFERROR(FILTER($E$7:indirect(""E""&amp;row()-1),
$E$7:indirect(""E""&amp;row()-1)=E75-1,$C$7:indirect(""C""&amp;row()-1)=C75))=FALSE),CONCATENATE(""Kan ej vara R""&amp;E75&amp;"", saknar R""&amp;(E75-1)),
AND(indirect(""E""&amp;row()-1)&lt;&gt;""Omgång"",IFERROR(FILTER($E$7:ind"&amp;"irect(""E""&amp;row()-1),
$E$7:indirect(""E""&amp;row()-1)=E75,$C$7:indirect(""C""&amp;row()-1)=C75)=E75)=TRUE),CONCATENATE(""Runda ""&amp;E75&amp;"" i ""&amp;C75&amp;"" finns redan""),
AND(C75&lt;&gt;""3x3 BLD"",C75&lt;&gt;""4x4 BLD"",C75&lt;&gt;""5x5 BLD"",C75&lt;&gt;""4x4 / 5x5 BLD"",OR(E75=2,E75=3,E75="&amp;"""Final""),H75&lt;&gt;""""),CONCATENATE(E75&amp;""-rundor brukar ej ha c.t.l.""),
AND(OR(E75=2,E75=3,E75=""Final""),I75&lt;&gt;""""),CONCATENATE(E75&amp;""-rundor brukar ej ha cutoff""),
AND(OR(C75=""3x3 FMC"",C75=""3x3 MBLD""),OR(E75=1,E75=2,E75=3,E75=""Final"")),CONCATENAT"&amp;"E(C75&amp;""s omgång är Rx - Ax""),
AND(C75&lt;&gt;""3x3 MBLD"",C75&lt;&gt;""3x3 FMC"",FILTER(Info!$D$2:D101, Info!$A$2:A101 = C75)&lt;&gt;F75),CONCATENATE(C75&amp;"" måste ha formatet ""&amp;FILTER(Info!$D$2:D101, Info!$A$2:A101 = C75)),
AND(C75=""3x3 MBLD"",OR(F75=""Avg of 5"",F75="&amp;"""Mean of 3"")),CONCATENATE(""Ogiltigt format för ""&amp;C75),
AND(C75=""3x3 FMC"",OR(F75=""Avg of 5"",F75=""Best of 3"")),CONCATENATE(""Ogiltigt format för ""&amp;C75),
AND(OR(F75=""Best of 1"",F75=""Best of 2"",F75=""Best of 3""),I75&lt;&gt;""""),CONCATENATE(F75&amp;""-r"&amp;"undor får ej ha cutoff""),
AND(OR(C75=""3x3 FMC"",C75=""3x3 MBLD""),G75&lt;&gt;60),CONCATENATE(C75&amp;"" måste ha time limit: 60""),
AND(OR(C75=""3x3 FMC"",C75=""3x3 MBLD""),H75&lt;&gt;""""),CONCATENATE(C75&amp;"" kan inte ha c.t.l.""),
AND(G75&lt;&gt;"""",H75&lt;&gt;""""),""Välj time "&amp;"limit ELLER c.t.l"",
AND(C75=""6x6 / 7x7"",G75="""",H75=""""),""Sätt time limit (x / y) eller c.t.l (z)"",
AND(G75="""",H75=""""),""Sätt en time limit eller c.t.l"",
AND(OR(C75=""6x6 / 7x7"",C75=""4x4 / 5x5 BLD""),G75&lt;&gt;"""",REGEXMATCH(TO_TEXT(G75),"" / """&amp;")=FALSE),CONCATENATE(""Time limit måste vara x / y""),
AND(H75&lt;&gt;"""",I75&lt;&gt;""""),CONCATENATE(C75&amp;"" brukar ej ha cutoff OCH c.t.l""),
AND(E75=1,H75="""",I75="""",OR(FILTER(Info!$E$2:E101, Info!$A$2:A101 = C75) = ""Yes"",FILTER(Info!$F$2:F101, Info!$A$2:A10"&amp;"1 = C75) = ""Yes""),OR(F75=""Avg of 5"",F75=""Mean of 3"")),CONCATENATE(C75&amp;"" bör ha cutoff eller c.t.l""),
AND(C75=""6x6 / 7x7"",I75&lt;&gt;"""",REGEXMATCH(TO_TEXT(I75),"" / "")=FALSE),CONCATENATE(""Cutoff måste vara x / y""),
AND(H75&lt;&gt;"""",ISNUMBER(H75)=FALS"&amp;"E),""C.t.l. måste vara positivt tal (x)"",
AND(C75&lt;&gt;""6x6 / 7x7"",I75&lt;&gt;"""",ISNUMBER(I75)=FALSE),""Cutoff måste vara positivt tal (x)"",
AND(H75&lt;&gt;"""",FILTER(Info!$E$2:E101, Info!$A$2:A101 = C75) = ""No"",FILTER(Info!$F$2:F101, Info!$A$2:A101 = C75) = ""N"&amp;"o""),CONCATENATE(C75&amp;"" brukar inte ha c.t.l.""),
AND(I75&lt;&gt;"""",FILTER(Info!$E$2:E101, Info!$A$2:A101 = C75) = ""No"",FILTER(Info!$F$2:F101, Info!$A$2:A101 = C75) = ""No""),CONCATENATE(C75&amp;"" brukar inte ha cutoff""),
AND(H75="""",FILTER(Info!$F$2:F101, I"&amp;"nfo!$A$2:A101 = C75) = ""Yes""),CONCATENATE(C75&amp;"" brukar ha c.t.l.""),
AND(C75&lt;&gt;""6x6 / 7x7"",C75&lt;&gt;""4x4 / 5x5 BLD"",G75&lt;&gt;"""",ISNUMBER(G75)=FALSE),""Time limit måste vara positivt tal (x)"",
J75=""J - Error"",CONCATENATE(""För få deltagare i R1 för ""&amp;C"&amp;"OUNTIF($C$7:$C$102,indirect(""C""&amp;row()))&amp;"" rundor""),
J75=""K2 - Error"",CONCATENATE(C75&amp;"" är mer populär - byt i K2!""),
AND(C75&lt;&gt;""6x6 / 7x7"",C75&lt;&gt;""4x4 / 5x5 BLD"",G75&lt;&gt;"""",I75&lt;&gt;"""",G75&lt;=I75),""Time limit måste vara &gt; cutoff"",
AND(C75&lt;&gt;""6x6 / 7"&amp;"x7"",C75&lt;&gt;""4x4 / 5x5 BLD"",H75&lt;&gt;"""",I75&lt;&gt;"""",H75&lt;=I75),""C.t.l. måste vara &gt; cutoff"",
AND(C75&lt;&gt;""3x3 FMC"",C75&lt;&gt;""3x3 MBLD"",J75=""""),CONCATENATE(""Fyll i antal deltagare i J""&amp;row()),
AND(C75="""",OR(E75&lt;&gt;"""",F75&lt;&gt;"""",G75&lt;&gt;"""",H75&lt;&gt;"""",I75&lt;&gt;"""""&amp;",J75&lt;&gt;"""")),""Skriv ALLTID gren / aktivitet först"",
AND(I75="""",H75="""",J75&lt;&gt;""""),J75,
OR(""3x3 FMC""=C75,""3x3 MBLD""=C75),J75,
AND(I75&lt;&gt;"""",""6x6 / 7x7""=C75),
IFS(ArrayFormula(SUM(IFERROR(SPLIT(I75,"" / ""))))&lt;(Info!$J$6+Info!$J$7)*2/3,CONCATENAT"&amp;"E(""Höj helst cutoffs i ""&amp;C75),
ArrayFormula(SUM(IFERROR(SPLIT(I75,"" / ""))))&lt;=(Info!$J$6+Info!$J$7),ROUNDUP(J75*Info!$J$22),
ArrayFormula(SUM(IFERROR(SPLIT(I75,"" / ""))))&lt;=Info!$J$6+Info!$J$7,ROUNDUP(J75*Info!$K$22),
ArrayFormula(SUM(IFERROR(SPLIT(I75"&amp;","" / ""))))&lt;=Info!$K$6+Info!$K$7,ROUNDUP(J75*Info!L$22),
ArrayFormula(SUM(IFERROR(SPLIT(I75,"" / ""))))&lt;=Info!$L$6+Info!$L$7,ROUNDUP(J75*Info!$M$22),
ArrayFormula(SUM(IFERROR(SPLIT(I75,"" / ""))))&lt;=Info!$M$6+Info!$M$7,ROUNDUP(J75*Info!$N$22),
ArrayFormul"&amp;"a(SUM(IFERROR(SPLIT(I75,"" / ""))))&lt;=(Info!$N$6+Info!$N$7)*3/2,ROUNDUP(J75*Info!$J$26),
ArrayFormula(SUM(IFERROR(SPLIT(I75,"" / ""))))&gt;(Info!$N$6+Info!$N$7)*3/2,CONCATENATE(""Sänk helst cutoffs i ""&amp;C75)),
AND(I75&lt;&gt;"""",FILTER(Info!$E$2:E101, Info!$A$2:A1"&amp;"01 = C75) = ""Yes""),
IFS(I75&lt;FILTER(Info!$J$2:J101, Info!$A$2:A101 = C75)*2/3,CONCATENATE(""Höj helst cutoff i ""&amp;C75),
I75&lt;=FILTER(Info!$J$2:J101, Info!$A$2:A101 = C75),ROUNDUP(J75*Info!$J$22),
I75&lt;=FILTER(Info!$K$2:K101, Info!$A$2:A101 = C75),ROUNDUP(J"&amp;"75*Info!$K$22),
I75&lt;=FILTER(Info!$L$2:L101, Info!$A$2:A101 = C75),ROUNDUP(J75*Info!L$22),
I75&lt;=FILTER(Info!$M$2:M101, Info!$A$2:A101 = C75),ROUNDUP(J75*Info!$M$22),
I75&lt;=FILTER(Info!$N$2:N101, Info!$A$2:A101 = C75),ROUNDUP(J75*Info!$N$22),
I75&lt;=FILTER(Inf"&amp;"o!$N$2:N101, Info!$A$2:A101 = C75)*3/2,ROUNDUP(J75*Info!$J$26),
I75&gt;FILTER(Info!$N$2:N101, Info!$A$2:A101 = C75)*3/2,CONCATENATE(""Sänk helst cutoff i ""&amp;C75)),
AND(H75&lt;&gt;"""",""6x6 / 7x7""=C75),
IFS(H75/3&lt;=(Info!$J$6+Info!$J$7)*2/3,""Höj helst cumulative "&amp;"time limit"",
H75/3&lt;=Info!$J$6+Info!$J$7,ROUNDUP(J75*Info!$J$24),
H75/3&lt;=Info!$K$6+Info!$K$7,ROUNDUP(J75*Info!$K$24),
H75/3&lt;=Info!$L$6+Info!$L$7,ROUNDUP(J75*Info!L$24),
H75/3&lt;=Info!$M$6+Info!$M$7,ROUNDUP(J75*Info!$M$24),
H75/3&lt;=Info!$N$6+Info!$N$7,ROUNDUP"&amp;"(J75*Info!$N$24),
H75/3&lt;=(Info!$N$6+Info!$N$7)*3/2,ROUNDUP(J75*Info!$L$26),
H75/3&gt;(Info!$J$6+Info!$J$7)*3/2,""Sänk helst cumulative time limit""),
AND(H75&lt;&gt;"""",FILTER(Info!$F$2:F101, Info!$A$2:A101 = C75) = ""Yes""),
IFS(H75&lt;=FILTER(Info!$J$2:J101, Info!"&amp;"$A$2:A101 = C75)*2/3,CONCATENATE(""Höj helst c.t.l. i ""&amp;C75),
H75&lt;=FILTER(Info!$J$2:J101, Info!$A$2:A101 = C75),ROUNDUP(J75*Info!$J$24),
H75&lt;=FILTER(Info!$K$2:K101, Info!$A$2:A101 = C75),ROUNDUP(J75*Info!$K$24),
H75&lt;=FILTER(Info!$L$2:L101, Info!$A$2:A101"&amp;" = C75),ROUNDUP(J75*Info!L$24),
H75&lt;=FILTER(Info!$M$2:M101, Info!$A$2:A101 = C75),ROUNDUP(J75*Info!$M$24),
H75&lt;=FILTER(Info!$N$2:N101, Info!$A$2:A101 = C75),ROUNDUP(J75*Info!$N$24),
H75&lt;=FILTER(Info!$N$2:N101, Info!$A$2:A101 = C75)*3/2,ROUNDUP(J75*Info!$L"&amp;"$26),
H75&gt;FILTER(Info!$N$2:N101, Info!$A$2:A101 = C75)*3/2,CONCATENATE(""Sänk helst c.t.l. i ""&amp;C75)),
AND(H75&lt;&gt;"""",FILTER(Info!$F$2:F101, Info!$A$2:A101 = C75) = ""No""),
IFS(H75/AA75&lt;=FILTER(Info!$J$2:J101, Info!$A$2:A101 = C75)*2/3,CONCATENATE(""Höj h"&amp;"elst c.t.l. i ""&amp;C75),
H75/AA75&lt;=FILTER(Info!$J$2:J101, Info!$A$2:A101 = C75),ROUNDUP(J75*Info!$J$24),
H75/AA75&lt;=FILTER(Info!$K$2:K101, Info!$A$2:A101 = C75),ROUNDUP(J75*Info!$K$24),
H75/AA75&lt;=FILTER(Info!$L$2:L101, Info!$A$2:A101 = C75),ROUNDUP(J75*Info!"&amp;"L$24),
H75/AA75&lt;=FILTER(Info!$M$2:M101, Info!$A$2:A101 = C75),ROUNDUP(J75*Info!$M$24),
H75/AA75&lt;=FILTER(Info!$N$2:N101, Info!$A$2:A101 = C75),ROUNDUP(J75*Info!$N$24),
H75/AA75&lt;=FILTER(Info!$N$2:N101, Info!$A$2:A101 = C75)*3/2,ROUNDUP(J75*Info!$L$26),
H75/"&amp;"AA75&gt;FILTER(Info!$N$2:N101, Info!$A$2:A101 = C75)*3/2,CONCATENATE(""Sänk helst c.t.l. i ""&amp;C75)),
AND(I75="""",H75&lt;&gt;"""",J75&lt;&gt;""""),ROUNDUP(J75*Info!$T$29),
AND(I75&lt;&gt;"""",H75="""",J75&lt;&gt;""""),ROUNDUP(J75*Info!$T$26))"),"")</f>
        <v/>
      </c>
      <c r="L75" s="42">
        <f>IFERROR(__xludf.DUMMYFUNCTION("IFS(C75="""",0,
C75=""3x3 FMC"",Info!$B$9*N75+M75, C75=""3x3 MBLD"",Info!$B$18*N75+M75,
COUNTIF(Info!$A$22:A101,C75)&gt;0,FILTER(Info!$B$22:B101,Info!$A$22:A101=C75)+M75,
AND(C75&lt;&gt;"""",E75=""""),CONCATENATE(""Fyll i E""&amp;row()),
AND(C75&lt;&gt;"""",E75&lt;&gt;"""",E75&lt;&gt;1"&amp;",E75&lt;&gt;2,E75&lt;&gt;3,E75&lt;&gt;""Final""),CONCATENATE(""Fel format på E""&amp;row()),
K75=CONCATENATE(""Runda ""&amp;E75&amp;"" i ""&amp;C75&amp;"" finns redan""),CONCATENATE(""Fel i E""&amp;row()),
AND(C75&lt;&gt;"""",F75=""""),CONCATENATE(""Fyll i F""&amp;row()),
K75=CONCATENATE(C75&amp;"" måste ha fo"&amp;"rmatet ""&amp;FILTER(Info!$D$2:D101, Info!$A$2:A101 = C75)),CONCATENATE(""Fel format på F""&amp;row()),
AND(C75&lt;&gt;"""",D75=1,H75="""",FILTER(Info!$F$2:F101, Info!$A$2:A101 = C75) = ""Yes""),CONCATENATE(""Fyll i H""&amp;row()),
AND(C75&lt;&gt;"""",D75=1,I75="""",FILTER(Info!"&amp;"$E$2:E101, Info!$A$2:A101 = C75) = ""Yes""),CONCATENATE(""Fyll i I""&amp;row()),
AND(C75&lt;&gt;"""",J75=""""),CONCATENATE(""Fyll i J""&amp;row()),
AND(C75&lt;&gt;"""",K75="""",OR(H75&lt;&gt;"""",I75&lt;&gt;"""")),CONCATENATE(""Fyll i K""&amp;row()),
AND(C75&lt;&gt;"""",K75=""""),CONCATENATE(""Sk"&amp;"riv samma i K""&amp;row()&amp;"" som i J""&amp;row()),
AND(OR(C75=""4x4 BLD"",C75=""5x5 BLD"",C75=""4x4 / 5x5 BLD"")=TRUE,V75&lt;=P75),
MROUND(H75*(Info!$T$20-((Info!$T$20-1)/2)*(1-V75/P75))*(1+((J75/K75)-1)*(1-Info!$J$24))*N75+(Info!$T$11/2)+(N75*Info!$T$11)+(N75*Info!"&amp;"$T$14*(O75-1)),0.01)+M75,
AND(OR(C75=""4x4 BLD"",C75=""5x5 BLD"",C75=""4x4 / 5x5 BLD"")=TRUE,V75&gt;P75),
MROUND((((J75*Z75+K75*(AA75-Z75))*(H75*Info!$T$20/AA75))/X75)*(1+((J75/K75)-1)*(1-Info!$J$24))*(1+(X75-Info!$T$8)/100)+(Info!$T$11/2)+(N75*Info!$T$11)+("&amp;"N75*Info!$T$14*(O75-1)),0.01)+M75,
AND(C75=""3x3 BLD"",V75&lt;=P75),
MROUND(H75*(Info!$T$23-((Info!$T$23-1)/2)*(1-V75/P75))*(1+((J75/K75)-1)*(1-Info!$J$24))*N75+(Info!$T$11/2)+(N75*Info!$T$11)+(N75*Info!$T$14*(O75-1)),0.01)+M75,
AND(C75=""3x3 BLD"",V75&gt;P75),"&amp;"
MROUND((((J75*Z75+K75*(AA75-Z75))*(H75*Info!$T$23/AA75))/X75)*(1+((J75/K75)-1)*(1-Info!$J$24))*(1+(X75-Info!$T$8)/100)+(Info!$T$11/2)+(N75*Info!$T$11)+(N75*Info!$T$14*(O75-1)),0.01)+M75,
E75=1,MROUND((((J75*Z75+K75*(AA75-Z75))*Y75)/X75)*(1+(X75-Info!$T$8"&amp;")/100)+(N75*Info!$T$11)+(N75*Info!$T$14*(O75-1)),0.01)+M75,
AND(E75=""Final"",N75=1,FILTER(Info!$G$2:$G$20,Info!$A$2:$A$20=C75)=""Mycket svår""),
MROUND((((J75*Z75+K75*(AA75-Z75))*(Y75*Info!$T$38))/X75)*(1+(X75-Info!$T$8)/100)+(N75*Info!$T$11)+(N75*Info!$"&amp;"T$14*(O75-1)),0.01)+M75,
AND(E75=""Final"",N75=1,FILTER(Info!$G$2:$G$20,Info!$A$2:$A$20=C75)=""Svår""),
MROUND((((J75*Z75+K75*(AA75-Z75))*(Y75*Info!$T$35))/X75)*(1+(X75-Info!$T$8)/100)+(N75*Info!$T$11)+(N75*Info!$T$14*(O75-1)),0.01)+M75,
E75=""Final"",MRO"&amp;"UND((((J75*Z75+K75*(AA75-Z75))*(Y75*Info!$T$5))/X75)*(1+(X75-Info!$T$8)/100)+(N75*Info!$T$11)+(N75*Info!$T$14*(O75-1)),0.01)+M75,
OR(E75=2,E75=3),MROUND((((J75*Z75+K75*(AA75-Z75))*(Y75*Info!$T$2))/X75)*(1+(X75-Info!$T$8)/100)+(N75*Info!$T$11)+(N75*Info!$T"&amp;"$14*(O75-1)),0.01)+M75)"),0.0)</f>
        <v>0</v>
      </c>
      <c r="M75" s="43">
        <f t="shared" si="6"/>
        <v>0</v>
      </c>
      <c r="N75" s="43" t="str">
        <f>IFS(OR(COUNTIF(Info!$A$22:A101,C75)&gt;0,C75=""),"",
OR(C75="4x4 BLD",C75="5x5 BLD",C75="3x3 MBLD",C75="3x3 FMC",C75="4x4 / 5x5 BLD"),1,
AND(E75="Final",Q75="Yes",MAX(1,ROUNDUP(J75/P75))&gt;1),MAX(2,ROUNDUP(J75/P75)),
AND(E75="Final",Q75="No",MAX(1,ROUNDUP(J75/((P75*2)+2.625-Y75*1.5)))&gt;1),MAX(2,ROUNDUP(J75/((P75*2)+2.625-Y75*1.5))),
E75="Final",1,
Q75="Yes",MAX(2,ROUNDUP(J75/P75)),
TRUE,MAX(2,ROUNDUP(J75/((P75*2)+2.625-Y75*1.5))))</f>
        <v/>
      </c>
      <c r="O75" s="43" t="str">
        <f>IFS(OR(COUNTIF(Info!$A$22:A101,C75)&gt;0,C75=""),"",
OR("3x3 MBLD"=C75,"3x3 FMC"=C75)=TRUE,"",
D75=$E$4,$G$6,D75=$K$4,$M$6,D75=$Q$4,$S$6,D75=$W$4,$Y$6,
TRUE,$S$2)</f>
        <v/>
      </c>
      <c r="P75" s="43" t="str">
        <f>IFS(OR(COUNTIF(Info!$A$22:A101,C75)&gt;0,C75=""),"",
OR("3x3 MBLD"=C75,"3x3 FMC"=C75)=TRUE,"",
D75=$E$4,$E$6,D75=$K$4,$K$6,D75=$Q$4,$Q$6,D75=$W$4,$W$6,
TRUE,$Q$2)</f>
        <v/>
      </c>
      <c r="Q75" s="44" t="str">
        <f>IFS(OR(COUNTIF(Info!$A$22:A101,C75)&gt;0,C75=""),"",
OR("3x3 MBLD"=C75,"3x3 FMC"=C75)=TRUE,"",
D75=$E$4,$I$6,D75=$K$4,$O$6,D75=$Q$4,$U$6,D75=$W$4,$AA$6,
TRUE,$U$2)</f>
        <v/>
      </c>
      <c r="R75" s="65" t="str">
        <f>IFERROR(__xludf.DUMMYFUNCTION("IF(C75="""","""",IFERROR(FILTER(Info!$B$22:B101,Info!$A$22:A101=C75)+M75,""?""))"),"")</f>
        <v/>
      </c>
      <c r="S75" s="66" t="str">
        <f>IFS(OR(COUNTIF(Info!$A$22:A101,C75)&gt;0,C75=""),"",
AND(H75="",I75=""),J75,
TRUE,"?")</f>
        <v/>
      </c>
      <c r="T75" s="65" t="str">
        <f>IFS(OR(COUNTIF(Info!$A$22:A101,C75)&gt;0,C75=""),"",
AND(L75&lt;&gt;0,OR(R75="?",R75="")),"Fyll i R-kolumnen",
OR(C75="3x3 FMC",C75="3x3 MBLD"),R75,
AND(L75&lt;&gt;0,OR(S75="?",S75="")),"Fyll i S-kolumnen",
OR(COUNTIF(Info!$A$22:A101,C75)&gt;0,C75=""),"",
TRUE,Y75*R75/L75)</f>
        <v/>
      </c>
      <c r="U75" s="65"/>
      <c r="V75" s="67" t="str">
        <f>IFS(OR(COUNTIF(Info!$A$22:A101,C75)&gt;0,C75=""),"",
OR("3x3 MBLD"=C75,"3x3 FMC"=C75)=TRUE,"",
TRUE,MROUND((J75/N75),0.01))</f>
        <v/>
      </c>
      <c r="W75" s="68" t="str">
        <f>IFS(OR(COUNTIF(Info!$A$22:A101,C75)&gt;0,C75=""),"",
TRUE,L75/N75)</f>
        <v/>
      </c>
      <c r="X75" s="67" t="str">
        <f>IFS(OR(COUNTIF(Info!$A$22:A101,C75)&gt;0,C75=""),"",
OR("3x3 MBLD"=C75,"3x3 FMC"=C75)=TRUE,"",
OR(C75="4x4 BLD",C75="5x5 BLD",C75="4x4 / 5x5 BLD",AND(C75="3x3 BLD",H75&lt;&gt;""))=TRUE,MIN(V75,P75),
TRUE,MIN(P75,V75,MROUND(((V75*2/3)+((Y75-1.625)/2)),0.01)))</f>
        <v/>
      </c>
      <c r="Y75" s="68" t="str">
        <f>IFERROR(__xludf.DUMMYFUNCTION("IFS(OR(COUNTIF(Info!$A$22:A101,C75)&gt;0,C75=""""),"""",
FILTER(Info!$F$2:F101, Info!$A$2:A101 = C75) = ""Yes"",H75/AA75,
""3x3 FMC""=C75,Info!$B$9,""3x3 MBLD""=C75,Info!$B$18,
AND(E75=1,I75="""",H75="""",Q75=""No"",G75&gt;SUMIF(Info!$A$2:A101,C75,Info!$B$2:B10"&amp;"1)*1.5),
MIN(SUMIF(Info!$A$2:A101,C75,Info!$B$2:B101)*1.1,SUMIF(Info!$A$2:A101,C75,Info!$B$2:B101)*(1.15-(0.15*(SUMIF(Info!$A$2:A101,C75,Info!$B$2:B101)*1.5)/G75))),
AND(E75=1,I75="""",H75="""",Q75=""Yes"",G75&gt;SUMIF(Info!$A$2:A101,C75,Info!$C$2:C101)*1.5)"&amp;",
MIN(SUMIF(Info!$A$2:A101,C75,Info!$C$2:C101)*1.1,SUMIF(Info!$A$2:A101,C75,Info!$C$2:C101)*(1.15-(0.15*(SUMIF(Info!$A$2:A101,C75,Info!$C$2:C101)*1.5)/G75))),
Q75=""No"",SUMIF(Info!$A$2:A101,C75,Info!$B$2:B101),
Q75=""Yes"",SUMIF(Info!$A$2:A101,C75,Info!$"&amp;"C$2:C101))"),"")</f>
        <v/>
      </c>
      <c r="Z75" s="67" t="str">
        <f>IFS(OR(COUNTIF(Info!$A$22:A101,C75)&gt;0,C75=""),"",
AND(OR("3x3 FMC"=C75,"3x3 MBLD"=C75),I75&lt;&gt;""),1,
AND(OR(H75&lt;&gt;"",I75&lt;&gt;""),F75="Avg of 5"),2,
F75="Avg of 5",AA75,
AND(OR(H75&lt;&gt;"",I75&lt;&gt;""),F75="Mean of 3",C75="6x6 / 7x7"),2,
AND(OR(H75&lt;&gt;"",I75&lt;&gt;""),F75="Mean of 3"),1,
F75="Mean of 3",AA75,
AND(OR(H75&lt;&gt;"",I75&lt;&gt;""),F75="Best of 3",C75="4x4 / 5x5 BLD"),2,
AND(OR(H75&lt;&gt;"",I75&lt;&gt;""),F75="Best of 3"),1,
F75="Best of 2",AA75,
F75="Best of 1",AA75)</f>
        <v/>
      </c>
      <c r="AA75" s="67" t="str">
        <f>IFS(OR(COUNTIF(Info!$A$22:A101,C75)&gt;0,C75=""),"",
AND(OR("3x3 MBLD"=C75,"3x3 FMC"=C75),F75="Best of 1"=TRUE),1,
AND(OR("3x3 MBLD"=C75,"3x3 FMC"=C75),F75="Best of 2"=TRUE),2,
AND(OR("3x3 MBLD"=C75,"3x3 FMC"=C75),OR(F75="Best of 3",F75="Mean of 3")=TRUE),3,
AND(F75="Mean of 3",C75="6x6 / 7x7"),6,
AND(F75="Best of 3",C75="4x4 / 5x5 BLD"),6,
F75="Avg of 5",5,F75="Mean of 3",3,F75="Best of 3",3,F75="Best of 2",2,F75="Best of 1",1)</f>
        <v/>
      </c>
      <c r="AB75" s="69"/>
    </row>
    <row r="76" ht="15.75" customHeight="1">
      <c r="A76" s="62">
        <f>IFERROR(__xludf.DUMMYFUNCTION("IFS(indirect(""A""&amp;row()-1)=""Start"",TIME(indirect(""A""&amp;row()-2),indirect(""B""&amp;row()-2),0),
$O$2=""No"",TIME(0,($A$6*60+$B$6)+CEILING(SUM($L$7:indirect(""L""&amp;row()-1)),5),0),
D76=$E$2,TIME(0,($A$6*60+$B$6)+CEILING(SUM(IFERROR(FILTER($L$7:indirect(""L"""&amp;"&amp;row()-1),REGEXMATCH($D$7:indirect(""D""&amp;row()-1),$E$2)),0)),5),0),
TRUE,""=time(hh;mm;ss)"")"),0.3645833333333335)</f>
        <v>0.3645833333</v>
      </c>
      <c r="B76" s="63">
        <f>IFERROR(__xludf.DUMMYFUNCTION("IFS($O$2=""No"",TIME(0,($A$6*60+$B$6)+CEILING(SUM($L$7:indirect(""L""&amp;row())),5),0),
D76=$E$2,TIME(0,($A$6*60+$B$6)+CEILING(SUM(FILTER($L$7:indirect(""L""&amp;row()),REGEXMATCH($D$7:indirect(""D""&amp;row()),$E$2))),5),0),
A76=""=time(hh;mm;ss)"",CONCATENATE(""Sk"&amp;"riv tid i A""&amp;row()),
AND(A76&lt;&gt;"""",A76&lt;&gt;""=time(hh;mm;ss)""),A76+TIME(0,CEILING(indirect(""L""&amp;row()),5),0))"),0.3645833333333335)</f>
        <v>0.3645833333</v>
      </c>
      <c r="C76" s="37"/>
      <c r="D76" s="64" t="str">
        <f t="shared" si="7"/>
        <v>Stora salen</v>
      </c>
      <c r="E76" s="64" t="str">
        <f>IFERROR(__xludf.DUMMYFUNCTION("IFS(COUNTIF(Info!$A$22:A102,C76)&gt;0,"""",
AND(OR(""3x3 FMC""=C76,""3x3 MBLD""=C76),COUNTIF($C$7:indirect(""C""&amp;row()),indirect(""C""&amp;row()))&gt;=13),""E - Error"",
AND(OR(""3x3 FMC""=C76,""3x3 MBLD""=C76),COUNTIF($C$7:indirect(""C""&amp;row()),indirect(""C""&amp;row("&amp;")))=12),""Final - A3"",
AND(OR(""3x3 FMC""=C76,""3x3 MBLD""=C76),COUNTIF($C$7:indirect(""C""&amp;row()),indirect(""C""&amp;row()))=11),""Final - A2"",
AND(OR(""3x3 FMC""=C76,""3x3 MBLD""=C76),COUNTIF($C$7:indirect(""C""&amp;row()),indirect(""C""&amp;row()))=10),""Final -"&amp;" A1"",
AND(OR(""3x3 FMC""=C76,""3x3 MBLD""=C76),COUNTIF($C$7:indirect(""C""&amp;row()),indirect(""C""&amp;row()))=9,
COUNTIF($C$7:$C$102,indirect(""C""&amp;row()))&gt;9),""R3 - A3"",
AND(OR(""3x3 FMC""=C76,""3x3 MBLD""=C76),COUNTIF($C$7:indirect(""C""&amp;row()),indirect("""&amp;"C""&amp;row()))=9,
COUNTIF($C$7:$C$102,indirect(""C""&amp;row()))&lt;=9),""Final - A3"",
AND(OR(""3x3 FMC""=C76,""3x3 MBLD""=C76),COUNTIF($C$7:indirect(""C""&amp;row()),indirect(""C""&amp;row()))=8,
COUNTIF($C$7:$C$102,indirect(""C""&amp;row()))&gt;9),""R3 - A2"",
AND(OR(""3x3 FMC"&amp;"""=C76,""3x3 MBLD""=C76),COUNTIF($C$7:indirect(""C""&amp;row()),indirect(""C""&amp;row()))=8,
COUNTIF($C$7:$C$102,indirect(""C""&amp;row()))&lt;=9),""Final - A2"",
AND(OR(""3x3 FMC""=C76,""3x3 MBLD""=C76),COUNTIF($C$7:indirect(""C""&amp;row()),indirect(""C""&amp;row()))=7,
COUN"&amp;"TIF($C$7:$C$102,indirect(""C""&amp;row()))&gt;9),""R3 - A1"",
AND(OR(""3x3 FMC""=C76,""3x3 MBLD""=C76),COUNTIF($C$7:indirect(""C""&amp;row()),indirect(""C""&amp;row()))=7,
COUNTIF($C$7:$C$102,indirect(""C""&amp;row()))&lt;=9),""Final - A1"",
AND(OR(""3x3 FMC""=C76,""3x3 MBLD"""&amp;"=C76),COUNTIF($C$7:indirect(""C""&amp;row()),indirect(""C""&amp;row()))=6,
COUNTIF($C$7:$C$102,indirect(""C""&amp;row()))&gt;6),""R2 - A3"",
AND(OR(""3x3 FMC""=C76,""3x3 MBLD""=C76),COUNTIF($C$7:indirect(""C""&amp;row()),indirect(""C""&amp;row()))=6,
COUNTIF($C$7:$C$102,indirec"&amp;"t(""C""&amp;row()))&lt;=6),""Final - A3"",
AND(OR(""3x3 FMC""=C76,""3x3 MBLD""=C76),COUNTIF($C$7:indirect(""C""&amp;row()),indirect(""C""&amp;row()))=5,
COUNTIF($C$7:$C$102,indirect(""C""&amp;row()))&gt;6),""R2 - A2"",
AND(OR(""3x3 FMC""=C76,""3x3 MBLD""=C76),COUNTIF($C$7:indi"&amp;"rect(""C""&amp;row()),indirect(""C""&amp;row()))=5,
COUNTIF($C$7:$C$102,indirect(""C""&amp;row()))&lt;=6),""Final - A2"",
AND(OR(""3x3 FMC""=C76,""3x3 MBLD""=C76),COUNTIF($C$7:indirect(""C""&amp;row()),indirect(""C""&amp;row()))=4,
COUNTIF($C$7:$C$102,indirect(""C""&amp;row()))&gt;6),"&amp;"""R2 - A1"",
AND(OR(""3x3 FMC""=C76,""3x3 MBLD""=C76),COUNTIF($C$7:indirect(""C""&amp;row()),indirect(""C""&amp;row()))=4,
COUNTIF($C$7:$C$102,indirect(""C""&amp;row()))&lt;=6),""Final - A1"",
AND(OR(""3x3 FMC""=C76,""3x3 MBLD""=C76),COUNTIF($C$7:indirect(""C""&amp;row()),i"&amp;"ndirect(""C""&amp;row()))=3),""R1 - A3"",
AND(OR(""3x3 FMC""=C76,""3x3 MBLD""=C76),COUNTIF($C$7:indirect(""C""&amp;row()),indirect(""C""&amp;row()))=2),""R1 - A2"",
AND(OR(""3x3 FMC""=C76,""3x3 MBLD""=C76),COUNTIF($C$7:indirect(""C""&amp;row()),indirect(""C""&amp;row()))=1),"&amp;"""R1 -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102, Info!$A$2:A102 = C76),ROUNDUP((FILTER(Info!$H$2:H102,Info!$A$2:A102=C76)/FILTER(Info!$H$2:H102,Info!$A$2:A102=$K$2))*$I$2)&gt;99),3,
AND(COUNTIF($C$7:indirect(""C""&amp;row()),indirect(""C""&amp;row()))"&amp;"=3,COUNTIF($C$7:$C$102,indirect(""C""&amp;row()))=COUNTIF($C$7:indirect(""C""&amp;row()),indirect(""C""&amp;row()))),""Final"",
AND(COUNTIF($C$7:indirect(""C""&amp;row()),indirect(""C""&amp;row()))=2,COUNTIF($C$7:$C$102,indirect(""C""&amp;row()))&gt;COUNTIF($C$7:indirect(""C""&amp;row("&amp;")),indirect(""C""&amp;row()))),2,
AND(COUNTIF($C$7:indirect(""C""&amp;row()),indirect(""C""&amp;row()))=2,COUNTIF($C$7:$C$102,indirect(""C""&amp;row()))=COUNTIF($C$7:indirect(""C""&amp;row()),indirect(""C""&amp;row())),COUNTIF($C$7:indirect(""C""&amp;row()),indirect(""C""&amp;row()))&lt;FI"&amp;"LTER(Info!$I$2:I102, Info!$A$2:A102 = C76),ROUNDUP((FILTER(Info!$H$2:H102,Info!$A$2:A102=C76)/FILTER(Info!$H$2:H102,Info!$A$2:A102=$K$2))*$I$2)&gt;15),2,
AND(COUNTIF($C$7:indirect(""C""&amp;row()),indirect(""C""&amp;row()))=2,COUNTIF($C$7:$C$102,indirect(""C""&amp;row()"&amp;"))=COUNTIF($C$7:indirect(""C""&amp;row()),indirect(""C""&amp;row()))),""Final"",
COUNTIF($C$7:indirect(""C""&amp;row()),indirect(""C""&amp;row()))=1,1,
COUNTIF($C$7:indirect(""C""&amp;row()),indirect(""C""&amp;row()))=0,"""")"),"")</f>
        <v/>
      </c>
      <c r="F76" s="64" t="str">
        <f>IFERROR(__xludf.DUMMYFUNCTION("IFS(C76="""","""",
AND(C76=""3x3 FMC"",MOD(COUNTIF($C$7:indirect(""C""&amp;row()),indirect(""C""&amp;row())),3)=0),""Mean of 3"",
AND(C76=""3x3 MBLD"",MOD(COUNTIF($C$7:indirect(""C""&amp;row()),indirect(""C""&amp;row())),3)=0),""Best of 3"",
AND(C76=""3x3 FMC"",MOD(COUNT"&amp;"IF($C$7:indirect(""C""&amp;row()),indirect(""C""&amp;row())),3)=2,
COUNTIF($C$7:$C$102,indirect(""C""&amp;row()))&lt;=COUNTIF($C$7:indirect(""C""&amp;row()),indirect(""C""&amp;row()))),""Best of 2"",
AND(C76=""3x3 FMC"",MOD(COUNTIF($C$7:indirect(""C""&amp;row()),indirect(""C""&amp;row("&amp;"))),3)=2,
COUNTIF($C$7:$C$102,indirect(""C""&amp;row()))&gt;COUNTIF($C$7:indirect(""C""&amp;row()),indirect(""C""&amp;row()))),""Mean of 3"",
AND(C76=""3x3 MBLD"",MOD(COUNTIF($C$7:indirect(""C""&amp;row()),indirect(""C""&amp;row())),3)=2,
COUNTIF($C$7:$C$102,indirect(""C""&amp;row("&amp;")))&lt;=COUNTIF($C$7:indirect(""C""&amp;row()),indirect(""C""&amp;row()))),""Best of 2"",
AND(C76=""3x3 MBLD"",MOD(COUNTIF($C$7:indirect(""C""&amp;row()),indirect(""C""&amp;row())),3)=2,
COUNTIF($C$7:$C$102,indirect(""C""&amp;row()))&gt;COUNTIF($C$7:indirect(""C""&amp;row()),indirect("&amp;"""C""&amp;row()))),""Best of 3"",
AND(C76=""3x3 FMC"",MOD(COUNTIF($C$7:indirect(""C""&amp;row()),indirect(""C""&amp;row())),3)=1,
COUNTIF($C$7:$C$102,indirect(""C""&amp;row()))&lt;=COUNTIF($C$7:indirect(""C""&amp;row()),indirect(""C""&amp;row()))),""Best of 1"",
AND(C76=""3x3 FMC"""&amp;",MOD(COUNTIF($C$7:indirect(""C""&amp;row()),indirect(""C""&amp;row())),3)=1,
COUNTIF($C$7:$C$102,indirect(""C""&amp;row()))=COUNTIF($C$7:indirect(""C""&amp;row()),indirect(""C""&amp;row()))+1),""Best of 2"",
AND(C76=""3x3 FMC"",MOD(COUNTIF($C$7:indirect(""C""&amp;row()),indirect"&amp;"(""C""&amp;row())),3)=1,
COUNTIF($C$7:$C$102,indirect(""C""&amp;row()))&gt;COUNTIF($C$7:indirect(""C""&amp;row()),indirect(""C""&amp;row()))),""Mean of 3"",
AND(C76=""3x3 MBLD"",MOD(COUNTIF($C$7:indirect(""C""&amp;row()),indirect(""C""&amp;row())),3)=1,
COUNTIF($C$7:$C$102,indirect"&amp;"(""C""&amp;row()))&lt;=COUNTIF($C$7:indirect(""C""&amp;row()),indirect(""C""&amp;row()))),""Best of 1"",
AND(C76=""3x3 MBLD"",MOD(COUNTIF($C$7:indirect(""C""&amp;row()),indirect(""C""&amp;row())),3)=1,
COUNTIF($C$7:$C$102,indirect(""C""&amp;row()))=COUNTIF($C$7:indirect(""C""&amp;row()"&amp;"),indirect(""C""&amp;row()))+1),""Best of 2"",
AND(C76=""3x3 MBLD"",MOD(COUNTIF($C$7:indirect(""C""&amp;row()),indirect(""C""&amp;row())),3)=1,
COUNTIF($C$7:$C$102,indirect(""C""&amp;row()))&gt;COUNTIF($C$7:indirect(""C""&amp;row()),indirect(""C""&amp;row()))),""Best of 3"",
TRUE,("&amp;"IFERROR(FILTER(Info!$D$2:D102, Info!$A$2:A102 = C76), """")))"),"")</f>
        <v/>
      </c>
      <c r="G76" s="64" t="str">
        <f>IFERROR(__xludf.DUMMYFUNCTION("IFS(OR(COUNTIF(Info!$A$22:A102,C76)&gt;0,C76=""""),"""",
OR(""3x3 MBLD""=C76,""3x3 FMC""=C76),60,
AND(E76=1,FILTER(Info!$F$2:F102, Info!$A$2:A102 = C76) = ""No""),FILTER(Info!$P$2:P102, Info!$A$2:A102 = C76),
AND(E76=2,FILTER(Info!$F$2:F102, Info!$A$2:A102 ="&amp;" C76) = ""No""),FILTER(Info!$Q$2:Q102, Info!$A$2:A102 = C76),
AND(E76=3,FILTER(Info!$F$2:F102, Info!$A$2:A102 = C76) = ""No""),FILTER(Info!$R$2:R102, Info!$A$2:A102 = C76),
AND(E76=""Final"",FILTER(Info!$F$2:F102, Info!$A$2:A102 = C76) = ""No""),FILTER(In"&amp;"fo!$S$2:S102, Info!$A$2:A102 = C76),
FILTER(Info!$F$2:F102, Info!$A$2:A102 = C76) = ""Yes"","""")"),"")</f>
        <v/>
      </c>
      <c r="H76" s="64" t="str">
        <f>IFERROR(__xludf.DUMMYFUNCTION("IFS(OR(COUNTIF(Info!$A$22:A102,C76)&gt;0,C76=""""),"""",
OR(""3x3 MBLD""=C76,""3x3 FMC""=C76)=TRUE,"""",
FILTER(Info!$F$2:F102, Info!$A$2:A102 = C76) = ""Yes"",FILTER(Info!$O$2:O102, Info!$A$2:A102 = C76),
FILTER(Info!$F$2:F102, Info!$A$2:A102 = C76) = ""No"&amp;""",IF(G76="""",FILTER(Info!$O$2:O102, Info!$A$2:A102 = C76),""""))"),"")</f>
        <v/>
      </c>
      <c r="I76" s="64" t="str">
        <f>IFERROR(__xludf.DUMMYFUNCTION("IFS(OR(COUNTIF(Info!$A$22:A102,C76)&gt;0,C76="""",H76&lt;&gt;""""),"""",
AND(E76&lt;&gt;1,E76&lt;&gt;""R1 - A1"",E76&lt;&gt;""R1 - A2"",E76&lt;&gt;""R1 - A3""),"""",
FILTER(Info!$E$2:E102, Info!$A$2:A102 = C76) = ""Yes"",IF(H76="""",FILTER(Info!$L$2:L102, Info!$A$2:A102 = C76),""""),
FIL"&amp;"TER(Info!$E$2:E102, Info!$A$2:A102 = C76) = ""No"","""")"),"")</f>
        <v/>
      </c>
      <c r="J76" s="64" t="str">
        <f>IFERROR(__xludf.DUMMYFUNCTION("IFS(OR(COUNTIF(Info!$A$22:A102,C76)&gt;0,C76="""",""3x3 MBLD""=C76,""3x3 FMC""=C76),"""",
AND(E76=1,FILTER(Info!$H$2:H102,Info!$A$2:A102 = C76)&lt;=FILTER(Info!$H$2:H102,Info!$A$2:A102=$K$2)),
ROUNDUP((FILTER(Info!$H$2:H102,Info!$A$2:A102 = C76)/FILTER(Info!$H$"&amp;"2:H102,Info!$A$2:A102=$K$2))*$I$2),
AND(E76=1,FILTER(Info!$H$2:H102,Info!$A$2:A102 = C76)&gt;FILTER(Info!$H$2:H102,Info!$A$2:A102=$K$2)),""K2 - Error"",
AND(E76=2,FILTER($J$7:indirect(""J""&amp;row()-1),$C$7:indirect(""C""&amp;row()-1)=C76)&lt;=7),""J - Error"",
E76=2,"&amp;"FLOOR(FILTER($J$7:indirect(""J""&amp;row()-1),$C$7:indirect(""C""&amp;row()-1)=C76)*Info!$T$32),
AND(E76=3,FILTER($J$7:indirect(""J""&amp;row()-1),$C$7:indirect(""C""&amp;row()-1)=C76)&lt;=15),""J - Error"",
E76=3,FLOOR(Info!$T$32*FLOOR(FILTER($J$7:indirect(""J""&amp;row()-1),$"&amp;"C$7:indirect(""C""&amp;row()-1)=C76)*Info!$T$32)),
AND(E76=""Final"",COUNTIF($C$7:$C$102,C76)=2,FILTER($J$7:indirect(""J""&amp;row()-1),$C$7:indirect(""C""&amp;row()-1)=C76)&lt;=7),""J - Error"",
AND(E76=""Final"",COUNTIF($C$7:$C$102,C76)=2),
MIN(P76,FLOOR(FILTER($J$7:i"&amp;"ndirect(""J""&amp;row()-1),$C$7:indirect(""C""&amp;row()-1)=C76)*Info!$T$32)),
AND(E76=""Final"",COUNTIF($C$7:$C$102,C76)=3,FILTER($J$7:indirect(""J""&amp;row()-1),$C$7:indirect(""C""&amp;row()-1)=C76)&lt;=15),""J - Error"",
AND(E76=""Final"",COUNTIF($C$7:$C$102,C76)=3),
MI"&amp;"N(P76,FLOOR(Info!$T$32*FLOOR(FILTER($J$7:indirect(""J""&amp;row()-1),$C$7:indirect(""C""&amp;row()-1)=C76)*Info!$T$32))),
AND(E76=""Final"",COUNTIF($C$7:$C$102,C76)&gt;=4,FILTER($J$7:indirect(""J""&amp;row()-1),$C$7:indirect(""C""&amp;row()-1)=C76)&lt;=99),""J - Error"",
AND(E"&amp;"76=""Final"",COUNTIF($C$7:$C$102,C76)&gt;=4),
MIN(P76,FLOOR(Info!$T$32*FLOOR(Info!$T$32*FLOOR(FILTER($J$7:indirect(""J""&amp;row()-1),$C$7:indirect(""C""&amp;row()-1)=C76)*Info!$T$32)))))"),"")</f>
        <v/>
      </c>
      <c r="K76" s="41" t="str">
        <f>IFERROR(__xludf.DUMMYFUNCTION("IFS(AND(indirect(""D""&amp;row()+2)&lt;&gt;$E$2,indirect(""D""&amp;row()+1)=""""),CONCATENATE(""Tom rad! Kopiera hela rad ""&amp;row()&amp;"" dit""),
AND(indirect(""D""&amp;row()-1)&lt;&gt;""Rum"",indirect(""D""&amp;row()-1)=""""),CONCATENATE(""Tom rad! Kopiera hela rad ""&amp;row()&amp;"" dit""),
"&amp;"C76="""","""",
COUNTIF(Info!$A$22:A102,$K$2)&gt;0,""Det tyckte du var roligt? ( ͡❛ ͜ʖ ͡❛)"",
AND($M$2&gt;=2,$E$4=""""),""Skriv 1:a sidorummets namn i E4"",
AND($M$2&gt;=3,$K$4=""""),""Skriv 2:a sidorummets namn i K4"",
AND($M$2&gt;=4,$Q$4=""""),""Skriv 3:e sidorummet"&amp;"s namn i Q4"",
AND($M$2&lt;2,$E$4&lt;&gt;""""),""Finns fler än 2 rum - ta bort i E4"",
AND($M$2&lt;3,$K$4&lt;&gt;""""),""Finns fler än 3 rum - ta bort i K4"",
AND($M$2&lt;4,$Q$4&lt;&gt;""""),""Finns fler än 4 rum - ta bort i Q4"",
OR(AND(D76&lt;&gt;$E$2,D76&lt;&gt;$E$4,D76&lt;&gt;$K$4,D76&lt;&gt;$Q$4),D76"&amp;"=""""),CONCATENATE(""Rum: ""&amp;D76&amp;"" finns ej, byt i D""&amp;row()),
AND(indirect(""D""&amp;row()-1)=""Rum"",C76=""""),CONCATENATE(""För att börja: skriv i cell C""&amp;row()),
AND(C76=""Paus"",M76&lt;=0),CONCATENATE(""Skriv pausens längd i M""&amp;row()),
OR(COUNTIF(Info!$A"&amp;"$22:A102,C76)&gt;0,C76=""""),"""",
AND(D76&lt;&gt;$E$2,$O$2=""Yes"",A76=""=time(hh;mm;ss)""),CONCATENATE(""Skriv starttid för ""&amp;C76&amp;"" i A""&amp;row()),
E76=""E - Error"",CONCATENATE(""För många ""&amp;C76&amp;"" rundor!""),
AND(C76&lt;&gt;""3x3 FMC"",C76&lt;&gt;""3x3 MBLD"",E76&lt;&gt;1,E76&lt;"&amp;"&gt;""Final"",IFERROR(FILTER($E$7:indirect(""E""&amp;row()-1),
$E$7:indirect(""E""&amp;row()-1)=E76-1,$C$7:indirect(""C""&amp;row()-1)=C76))=FALSE),CONCATENATE(""Kan ej vara R""&amp;E76&amp;"", saknar R""&amp;(E76-1)),
AND(indirect(""E""&amp;row()-1)&lt;&gt;""Omgång"",IFERROR(FILTER($E$7:ind"&amp;"irect(""E""&amp;row()-1),
$E$7:indirect(""E""&amp;row()-1)=E76,$C$7:indirect(""C""&amp;row()-1)=C76)=E76)=TRUE),CONCATENATE(""Runda ""&amp;E76&amp;"" i ""&amp;C76&amp;"" finns redan""),
AND(C76&lt;&gt;""3x3 BLD"",C76&lt;&gt;""4x4 BLD"",C76&lt;&gt;""5x5 BLD"",C76&lt;&gt;""4x4 / 5x5 BLD"",OR(E76=2,E76=3,E76="&amp;"""Final""),H76&lt;&gt;""""),CONCATENATE(E76&amp;""-rundor brukar ej ha c.t.l.""),
AND(OR(E76=2,E76=3,E76=""Final""),I76&lt;&gt;""""),CONCATENATE(E76&amp;""-rundor brukar ej ha cutoff""),
AND(OR(C76=""3x3 FMC"",C76=""3x3 MBLD""),OR(E76=1,E76=2,E76=3,E76=""Final"")),CONCATENAT"&amp;"E(C76&amp;""s omgång är Rx - Ax""),
AND(C76&lt;&gt;""3x3 MBLD"",C76&lt;&gt;""3x3 FMC"",FILTER(Info!$D$2:D102, Info!$A$2:A102 = C76)&lt;&gt;F76),CONCATENATE(C76&amp;"" måste ha formatet ""&amp;FILTER(Info!$D$2:D102, Info!$A$2:A102 = C76)),
AND(C76=""3x3 MBLD"",OR(F76=""Avg of 5"",F76="&amp;"""Mean of 3"")),CONCATENATE(""Ogiltigt format för ""&amp;C76),
AND(C76=""3x3 FMC"",OR(F76=""Avg of 5"",F76=""Best of 3"")),CONCATENATE(""Ogiltigt format för ""&amp;C76),
AND(OR(F76=""Best of 1"",F76=""Best of 2"",F76=""Best of 3""),I76&lt;&gt;""""),CONCATENATE(F76&amp;""-r"&amp;"undor får ej ha cutoff""),
AND(OR(C76=""3x3 FMC"",C76=""3x3 MBLD""),G76&lt;&gt;60),CONCATENATE(C76&amp;"" måste ha time limit: 60""),
AND(OR(C76=""3x3 FMC"",C76=""3x3 MBLD""),H76&lt;&gt;""""),CONCATENATE(C76&amp;"" kan inte ha c.t.l.""),
AND(G76&lt;&gt;"""",H76&lt;&gt;""""),""Välj time "&amp;"limit ELLER c.t.l"",
AND(C76=""6x6 / 7x7"",G76="""",H76=""""),""Sätt time limit (x / y) eller c.t.l (z)"",
AND(G76="""",H76=""""),""Sätt en time limit eller c.t.l"",
AND(OR(C76=""6x6 / 7x7"",C76=""4x4 / 5x5 BLD""),G76&lt;&gt;"""",REGEXMATCH(TO_TEXT(G76),"" / """&amp;")=FALSE),CONCATENATE(""Time limit måste vara x / y""),
AND(H76&lt;&gt;"""",I76&lt;&gt;""""),CONCATENATE(C76&amp;"" brukar ej ha cutoff OCH c.t.l""),
AND(E76=1,H76="""",I76="""",OR(FILTER(Info!$E$2:E102, Info!$A$2:A102 = C76) = ""Yes"",FILTER(Info!$F$2:F102, Info!$A$2:A10"&amp;"2 = C76) = ""Yes""),OR(F76=""Avg of 5"",F76=""Mean of 3"")),CONCATENATE(C76&amp;"" bör ha cutoff eller c.t.l""),
AND(C76=""6x6 / 7x7"",I76&lt;&gt;"""",REGEXMATCH(TO_TEXT(I76),"" / "")=FALSE),CONCATENATE(""Cutoff måste vara x / y""),
AND(H76&lt;&gt;"""",ISNUMBER(H76)=FALS"&amp;"E),""C.t.l. måste vara positivt tal (x)"",
AND(C76&lt;&gt;""6x6 / 7x7"",I76&lt;&gt;"""",ISNUMBER(I76)=FALSE),""Cutoff måste vara positivt tal (x)"",
AND(H76&lt;&gt;"""",FILTER(Info!$E$2:E102, Info!$A$2:A102 = C76) = ""No"",FILTER(Info!$F$2:F102, Info!$A$2:A102 = C76) = ""N"&amp;"o""),CONCATENATE(C76&amp;"" brukar inte ha c.t.l.""),
AND(I76&lt;&gt;"""",FILTER(Info!$E$2:E102, Info!$A$2:A102 = C76) = ""No"",FILTER(Info!$F$2:F102, Info!$A$2:A102 = C76) = ""No""),CONCATENATE(C76&amp;"" brukar inte ha cutoff""),
AND(H76="""",FILTER(Info!$F$2:F102, I"&amp;"nfo!$A$2:A102 = C76) = ""Yes""),CONCATENATE(C76&amp;"" brukar ha c.t.l.""),
AND(C76&lt;&gt;""6x6 / 7x7"",C76&lt;&gt;""4x4 / 5x5 BLD"",G76&lt;&gt;"""",ISNUMBER(G76)=FALSE),""Time limit måste vara positivt tal (x)"",
J76=""J - Error"",CONCATENATE(""För få deltagare i R1 för ""&amp;C"&amp;"OUNTIF($C$7:$C$102,indirect(""C""&amp;row()))&amp;"" rundor""),
J76=""K2 - Error"",CONCATENATE(C76&amp;"" är mer populär - byt i K2!""),
AND(C76&lt;&gt;""6x6 / 7x7"",C76&lt;&gt;""4x4 / 5x5 BLD"",G76&lt;&gt;"""",I76&lt;&gt;"""",G76&lt;=I76),""Time limit måste vara &gt; cutoff"",
AND(C76&lt;&gt;""6x6 / 7"&amp;"x7"",C76&lt;&gt;""4x4 / 5x5 BLD"",H76&lt;&gt;"""",I76&lt;&gt;"""",H76&lt;=I76),""C.t.l. måste vara &gt; cutoff"",
AND(C76&lt;&gt;""3x3 FMC"",C76&lt;&gt;""3x3 MBLD"",J76=""""),CONCATENATE(""Fyll i antal deltagare i J""&amp;row()),
AND(C76="""",OR(E76&lt;&gt;"""",F76&lt;&gt;"""",G76&lt;&gt;"""",H76&lt;&gt;"""",I76&lt;&gt;"""""&amp;",J76&lt;&gt;"""")),""Skriv ALLTID gren / aktivitet först"",
AND(I76="""",H76="""",J76&lt;&gt;""""),J76,
OR(""3x3 FMC""=C76,""3x3 MBLD""=C76),J76,
AND(I76&lt;&gt;"""",""6x6 / 7x7""=C76),
IFS(ArrayFormula(SUM(IFERROR(SPLIT(I76,"" / ""))))&lt;(Info!$J$6+Info!$J$7)*2/3,CONCATENAT"&amp;"E(""Höj helst cutoffs i ""&amp;C76),
ArrayFormula(SUM(IFERROR(SPLIT(I76,"" / ""))))&lt;=(Info!$J$6+Info!$J$7),ROUNDUP(J76*Info!$J$22),
ArrayFormula(SUM(IFERROR(SPLIT(I76,"" / ""))))&lt;=Info!$J$6+Info!$J$7,ROUNDUP(J76*Info!$K$22),
ArrayFormula(SUM(IFERROR(SPLIT(I76"&amp;","" / ""))))&lt;=Info!$K$6+Info!$K$7,ROUNDUP(J76*Info!L$22),
ArrayFormula(SUM(IFERROR(SPLIT(I76,"" / ""))))&lt;=Info!$L$6+Info!$L$7,ROUNDUP(J76*Info!$M$22),
ArrayFormula(SUM(IFERROR(SPLIT(I76,"" / ""))))&lt;=Info!$M$6+Info!$M$7,ROUNDUP(J76*Info!$N$22),
ArrayFormul"&amp;"a(SUM(IFERROR(SPLIT(I76,"" / ""))))&lt;=(Info!$N$6+Info!$N$7)*3/2,ROUNDUP(J76*Info!$J$26),
ArrayFormula(SUM(IFERROR(SPLIT(I76,"" / ""))))&gt;(Info!$N$6+Info!$N$7)*3/2,CONCATENATE(""Sänk helst cutoffs i ""&amp;C76)),
AND(I76&lt;&gt;"""",FILTER(Info!$E$2:E102, Info!$A$2:A1"&amp;"02 = C76) = ""Yes""),
IFS(I76&lt;FILTER(Info!$J$2:J102, Info!$A$2:A102 = C76)*2/3,CONCATENATE(""Höj helst cutoff i ""&amp;C76),
I76&lt;=FILTER(Info!$J$2:J102, Info!$A$2:A102 = C76),ROUNDUP(J76*Info!$J$22),
I76&lt;=FILTER(Info!$K$2:K102, Info!$A$2:A102 = C76),ROUNDUP(J"&amp;"76*Info!$K$22),
I76&lt;=FILTER(Info!$L$2:L102, Info!$A$2:A102 = C76),ROUNDUP(J76*Info!L$22),
I76&lt;=FILTER(Info!$M$2:M102, Info!$A$2:A102 = C76),ROUNDUP(J76*Info!$M$22),
I76&lt;=FILTER(Info!$N$2:N102, Info!$A$2:A102 = C76),ROUNDUP(J76*Info!$N$22),
I76&lt;=FILTER(Inf"&amp;"o!$N$2:N102, Info!$A$2:A102 = C76)*3/2,ROUNDUP(J76*Info!$J$26),
I76&gt;FILTER(Info!$N$2:N102, Info!$A$2:A102 = C76)*3/2,CONCATENATE(""Sänk helst cutoff i ""&amp;C76)),
AND(H76&lt;&gt;"""",""6x6 / 7x7""=C76),
IFS(H76/3&lt;=(Info!$J$6+Info!$J$7)*2/3,""Höj helst cumulative "&amp;"time limit"",
H76/3&lt;=Info!$J$6+Info!$J$7,ROUNDUP(J76*Info!$J$24),
H76/3&lt;=Info!$K$6+Info!$K$7,ROUNDUP(J76*Info!$K$24),
H76/3&lt;=Info!$L$6+Info!$L$7,ROUNDUP(J76*Info!L$24),
H76/3&lt;=Info!$M$6+Info!$M$7,ROUNDUP(J76*Info!$M$24),
H76/3&lt;=Info!$N$6+Info!$N$7,ROUNDUP"&amp;"(J76*Info!$N$24),
H76/3&lt;=(Info!$N$6+Info!$N$7)*3/2,ROUNDUP(J76*Info!$L$26),
H76/3&gt;(Info!$J$6+Info!$J$7)*3/2,""Sänk helst cumulative time limit""),
AND(H76&lt;&gt;"""",FILTER(Info!$F$2:F102, Info!$A$2:A102 = C76) = ""Yes""),
IFS(H76&lt;=FILTER(Info!$J$2:J102, Info!"&amp;"$A$2:A102 = C76)*2/3,CONCATENATE(""Höj helst c.t.l. i ""&amp;C76),
H76&lt;=FILTER(Info!$J$2:J102, Info!$A$2:A102 = C76),ROUNDUP(J76*Info!$J$24),
H76&lt;=FILTER(Info!$K$2:K102, Info!$A$2:A102 = C76),ROUNDUP(J76*Info!$K$24),
H76&lt;=FILTER(Info!$L$2:L102, Info!$A$2:A102"&amp;" = C76),ROUNDUP(J76*Info!L$24),
H76&lt;=FILTER(Info!$M$2:M102, Info!$A$2:A102 = C76),ROUNDUP(J76*Info!$M$24),
H76&lt;=FILTER(Info!$N$2:N102, Info!$A$2:A102 = C76),ROUNDUP(J76*Info!$N$24),
H76&lt;=FILTER(Info!$N$2:N102, Info!$A$2:A102 = C76)*3/2,ROUNDUP(J76*Info!$L"&amp;"$26),
H76&gt;FILTER(Info!$N$2:N102, Info!$A$2:A102 = C76)*3/2,CONCATENATE(""Sänk helst c.t.l. i ""&amp;C76)),
AND(H76&lt;&gt;"""",FILTER(Info!$F$2:F102, Info!$A$2:A102 = C76) = ""No""),
IFS(H76/AA76&lt;=FILTER(Info!$J$2:J102, Info!$A$2:A102 = C76)*2/3,CONCATENATE(""Höj h"&amp;"elst c.t.l. i ""&amp;C76),
H76/AA76&lt;=FILTER(Info!$J$2:J102, Info!$A$2:A102 = C76),ROUNDUP(J76*Info!$J$24),
H76/AA76&lt;=FILTER(Info!$K$2:K102, Info!$A$2:A102 = C76),ROUNDUP(J76*Info!$K$24),
H76/AA76&lt;=FILTER(Info!$L$2:L102, Info!$A$2:A102 = C76),ROUNDUP(J76*Info!"&amp;"L$24),
H76/AA76&lt;=FILTER(Info!$M$2:M102, Info!$A$2:A102 = C76),ROUNDUP(J76*Info!$M$24),
H76/AA76&lt;=FILTER(Info!$N$2:N102, Info!$A$2:A102 = C76),ROUNDUP(J76*Info!$N$24),
H76/AA76&lt;=FILTER(Info!$N$2:N102, Info!$A$2:A102 = C76)*3/2,ROUNDUP(J76*Info!$L$26),
H76/"&amp;"AA76&gt;FILTER(Info!$N$2:N102, Info!$A$2:A102 = C76)*3/2,CONCATENATE(""Sänk helst c.t.l. i ""&amp;C76)),
AND(I76="""",H76&lt;&gt;"""",J76&lt;&gt;""""),ROUNDUP(J76*Info!$T$29),
AND(I76&lt;&gt;"""",H76="""",J76&lt;&gt;""""),ROUNDUP(J76*Info!$T$26))"),"")</f>
        <v/>
      </c>
      <c r="L76" s="42">
        <f>IFERROR(__xludf.DUMMYFUNCTION("IFS(C76="""",0,
C76=""3x3 FMC"",Info!$B$9*N76+M76, C76=""3x3 MBLD"",Info!$B$18*N76+M76,
COUNTIF(Info!$A$22:A102,C76)&gt;0,FILTER(Info!$B$22:B102,Info!$A$22:A102=C76)+M76,
AND(C76&lt;&gt;"""",E76=""""),CONCATENATE(""Fyll i E""&amp;row()),
AND(C76&lt;&gt;"""",E76&lt;&gt;"""",E76&lt;&gt;1"&amp;",E76&lt;&gt;2,E76&lt;&gt;3,E76&lt;&gt;""Final""),CONCATENATE(""Fel format på E""&amp;row()),
K76=CONCATENATE(""Runda ""&amp;E76&amp;"" i ""&amp;C76&amp;"" finns redan""),CONCATENATE(""Fel i E""&amp;row()),
AND(C76&lt;&gt;"""",F76=""""),CONCATENATE(""Fyll i F""&amp;row()),
K76=CONCATENATE(C76&amp;"" måste ha fo"&amp;"rmatet ""&amp;FILTER(Info!$D$2:D102, Info!$A$2:A102 = C76)),CONCATENATE(""Fel format på F""&amp;row()),
AND(C76&lt;&gt;"""",D76=1,H76="""",FILTER(Info!$F$2:F102, Info!$A$2:A102 = C76) = ""Yes""),CONCATENATE(""Fyll i H""&amp;row()),
AND(C76&lt;&gt;"""",D76=1,I76="""",FILTER(Info!"&amp;"$E$2:E102, Info!$A$2:A102 = C76) = ""Yes""),CONCATENATE(""Fyll i I""&amp;row()),
AND(C76&lt;&gt;"""",J76=""""),CONCATENATE(""Fyll i J""&amp;row()),
AND(C76&lt;&gt;"""",K76="""",OR(H76&lt;&gt;"""",I76&lt;&gt;"""")),CONCATENATE(""Fyll i K""&amp;row()),
AND(C76&lt;&gt;"""",K76=""""),CONCATENATE(""Sk"&amp;"riv samma i K""&amp;row()&amp;"" som i J""&amp;row()),
AND(OR(C76=""4x4 BLD"",C76=""5x5 BLD"",C76=""4x4 / 5x5 BLD"")=TRUE,V76&lt;=P76),
MROUND(H76*(Info!$T$20-((Info!$T$20-1)/2)*(1-V76/P76))*(1+((J76/K76)-1)*(1-Info!$J$24))*N76+(Info!$T$11/2)+(N76*Info!$T$11)+(N76*Info!"&amp;"$T$14*(O76-1)),0.01)+M76,
AND(OR(C76=""4x4 BLD"",C76=""5x5 BLD"",C76=""4x4 / 5x5 BLD"")=TRUE,V76&gt;P76),
MROUND((((J76*Z76+K76*(AA76-Z76))*(H76*Info!$T$20/AA76))/X76)*(1+((J76/K76)-1)*(1-Info!$J$24))*(1+(X76-Info!$T$8)/100)+(Info!$T$11/2)+(N76*Info!$T$11)+("&amp;"N76*Info!$T$14*(O76-1)),0.01)+M76,
AND(C76=""3x3 BLD"",V76&lt;=P76),
MROUND(H76*(Info!$T$23-((Info!$T$23-1)/2)*(1-V76/P76))*(1+((J76/K76)-1)*(1-Info!$J$24))*N76+(Info!$T$11/2)+(N76*Info!$T$11)+(N76*Info!$T$14*(O76-1)),0.01)+M76,
AND(C76=""3x3 BLD"",V76&gt;P76),"&amp;"
MROUND((((J76*Z76+K76*(AA76-Z76))*(H76*Info!$T$23/AA76))/X76)*(1+((J76/K76)-1)*(1-Info!$J$24))*(1+(X76-Info!$T$8)/100)+(Info!$T$11/2)+(N76*Info!$T$11)+(N76*Info!$T$14*(O76-1)),0.01)+M76,
E76=1,MROUND((((J76*Z76+K76*(AA76-Z76))*Y76)/X76)*(1+(X76-Info!$T$8"&amp;")/100)+(N76*Info!$T$11)+(N76*Info!$T$14*(O76-1)),0.01)+M76,
AND(E76=""Final"",N76=1,FILTER(Info!$G$2:$G$20,Info!$A$2:$A$20=C76)=""Mycket svår""),
MROUND((((J76*Z76+K76*(AA76-Z76))*(Y76*Info!$T$38))/X76)*(1+(X76-Info!$T$8)/100)+(N76*Info!$T$11)+(N76*Info!$"&amp;"T$14*(O76-1)),0.01)+M76,
AND(E76=""Final"",N76=1,FILTER(Info!$G$2:$G$20,Info!$A$2:$A$20=C76)=""Svår""),
MROUND((((J76*Z76+K76*(AA76-Z76))*(Y76*Info!$T$35))/X76)*(1+(X76-Info!$T$8)/100)+(N76*Info!$T$11)+(N76*Info!$T$14*(O76-1)),0.01)+M76,
E76=""Final"",MRO"&amp;"UND((((J76*Z76+K76*(AA76-Z76))*(Y76*Info!$T$5))/X76)*(1+(X76-Info!$T$8)/100)+(N76*Info!$T$11)+(N76*Info!$T$14*(O76-1)),0.01)+M76,
OR(E76=2,E76=3),MROUND((((J76*Z76+K76*(AA76-Z76))*(Y76*Info!$T$2))/X76)*(1+(X76-Info!$T$8)/100)+(N76*Info!$T$11)+(N76*Info!$T"&amp;"$14*(O76-1)),0.01)+M76)"),0.0)</f>
        <v>0</v>
      </c>
      <c r="M76" s="43">
        <f t="shared" si="6"/>
        <v>0</v>
      </c>
      <c r="N76" s="43" t="str">
        <f>IFS(OR(COUNTIF(Info!$A$22:A102,C76)&gt;0,C76=""),"",
OR(C76="4x4 BLD",C76="5x5 BLD",C76="3x3 MBLD",C76="3x3 FMC",C76="4x4 / 5x5 BLD"),1,
AND(E76="Final",Q76="Yes",MAX(1,ROUNDUP(J76/P76))&gt;1),MAX(2,ROUNDUP(J76/P76)),
AND(E76="Final",Q76="No",MAX(1,ROUNDUP(J76/((P76*2)+2.625-Y76*1.5)))&gt;1),MAX(2,ROUNDUP(J76/((P76*2)+2.625-Y76*1.5))),
E76="Final",1,
Q76="Yes",MAX(2,ROUNDUP(J76/P76)),
TRUE,MAX(2,ROUNDUP(J76/((P76*2)+2.625-Y76*1.5))))</f>
        <v/>
      </c>
      <c r="O76" s="43" t="str">
        <f>IFS(OR(COUNTIF(Info!$A$22:A102,C76)&gt;0,C76=""),"",
OR("3x3 MBLD"=C76,"3x3 FMC"=C76)=TRUE,"",
D76=$E$4,$G$6,D76=$K$4,$M$6,D76=$Q$4,$S$6,D76=$W$4,$Y$6,
TRUE,$S$2)</f>
        <v/>
      </c>
      <c r="P76" s="43" t="str">
        <f>IFS(OR(COUNTIF(Info!$A$22:A102,C76)&gt;0,C76=""),"",
OR("3x3 MBLD"=C76,"3x3 FMC"=C76)=TRUE,"",
D76=$E$4,$E$6,D76=$K$4,$K$6,D76=$Q$4,$Q$6,D76=$W$4,$W$6,
TRUE,$Q$2)</f>
        <v/>
      </c>
      <c r="Q76" s="44" t="str">
        <f>IFS(OR(COUNTIF(Info!$A$22:A102,C76)&gt;0,C76=""),"",
OR("3x3 MBLD"=C76,"3x3 FMC"=C76)=TRUE,"",
D76=$E$4,$I$6,D76=$K$4,$O$6,D76=$Q$4,$U$6,D76=$W$4,$AA$6,
TRUE,$U$2)</f>
        <v/>
      </c>
      <c r="R76" s="65" t="str">
        <f>IFERROR(__xludf.DUMMYFUNCTION("IF(C76="""","""",IFERROR(FILTER(Info!$B$22:B102,Info!$A$22:A102=C76)+M76,""?""))"),"")</f>
        <v/>
      </c>
      <c r="S76" s="66" t="str">
        <f>IFS(OR(COUNTIF(Info!$A$22:A102,C76)&gt;0,C76=""),"",
AND(H76="",I76=""),J76,
TRUE,"?")</f>
        <v/>
      </c>
      <c r="T76" s="65" t="str">
        <f>IFS(OR(COUNTIF(Info!$A$22:A102,C76)&gt;0,C76=""),"",
AND(L76&lt;&gt;0,OR(R76="?",R76="")),"Fyll i R-kolumnen",
OR(C76="3x3 FMC",C76="3x3 MBLD"),R76,
AND(L76&lt;&gt;0,OR(S76="?",S76="")),"Fyll i S-kolumnen",
OR(COUNTIF(Info!$A$22:A102,C76)&gt;0,C76=""),"",
TRUE,Y76*R76/L76)</f>
        <v/>
      </c>
      <c r="U76" s="65"/>
      <c r="V76" s="67" t="str">
        <f>IFS(OR(COUNTIF(Info!$A$22:A102,C76)&gt;0,C76=""),"",
OR("3x3 MBLD"=C76,"3x3 FMC"=C76)=TRUE,"",
TRUE,MROUND((J76/N76),0.01))</f>
        <v/>
      </c>
      <c r="W76" s="68" t="str">
        <f>IFS(OR(COUNTIF(Info!$A$22:A102,C76)&gt;0,C76=""),"",
TRUE,L76/N76)</f>
        <v/>
      </c>
      <c r="X76" s="67" t="str">
        <f>IFS(OR(COUNTIF(Info!$A$22:A102,C76)&gt;0,C76=""),"",
OR("3x3 MBLD"=C76,"3x3 FMC"=C76)=TRUE,"",
OR(C76="4x4 BLD",C76="5x5 BLD",C76="4x4 / 5x5 BLD",AND(C76="3x3 BLD",H76&lt;&gt;""))=TRUE,MIN(V76,P76),
TRUE,MIN(P76,V76,MROUND(((V76*2/3)+((Y76-1.625)/2)),0.01)))</f>
        <v/>
      </c>
      <c r="Y76" s="68" t="str">
        <f>IFERROR(__xludf.DUMMYFUNCTION("IFS(OR(COUNTIF(Info!$A$22:A102,C76)&gt;0,C76=""""),"""",
FILTER(Info!$F$2:F102, Info!$A$2:A102 = C76) = ""Yes"",H76/AA76,
""3x3 FMC""=C76,Info!$B$9,""3x3 MBLD""=C76,Info!$B$18,
AND(E76=1,I76="""",H76="""",Q76=""No"",G76&gt;SUMIF(Info!$A$2:A102,C76,Info!$B$2:B10"&amp;"2)*1.5),
MIN(SUMIF(Info!$A$2:A102,C76,Info!$B$2:B102)*1.1,SUMIF(Info!$A$2:A102,C76,Info!$B$2:B102)*(1.15-(0.15*(SUMIF(Info!$A$2:A102,C76,Info!$B$2:B102)*1.5)/G76))),
AND(E76=1,I76="""",H76="""",Q76=""Yes"",G76&gt;SUMIF(Info!$A$2:A102,C76,Info!$C$2:C102)*1.5)"&amp;",
MIN(SUMIF(Info!$A$2:A102,C76,Info!$C$2:C102)*1.1,SUMIF(Info!$A$2:A102,C76,Info!$C$2:C102)*(1.15-(0.15*(SUMIF(Info!$A$2:A102,C76,Info!$C$2:C102)*1.5)/G76))),
Q76=""No"",SUMIF(Info!$A$2:A102,C76,Info!$B$2:B102),
Q76=""Yes"",SUMIF(Info!$A$2:A102,C76,Info!$"&amp;"C$2:C102))"),"")</f>
        <v/>
      </c>
      <c r="Z76" s="67" t="str">
        <f>IFS(OR(COUNTIF(Info!$A$22:A102,C76)&gt;0,C76=""),"",
AND(OR("3x3 FMC"=C76,"3x3 MBLD"=C76),I76&lt;&gt;""),1,
AND(OR(H76&lt;&gt;"",I76&lt;&gt;""),F76="Avg of 5"),2,
F76="Avg of 5",AA76,
AND(OR(H76&lt;&gt;"",I76&lt;&gt;""),F76="Mean of 3",C76="6x6 / 7x7"),2,
AND(OR(H76&lt;&gt;"",I76&lt;&gt;""),F76="Mean of 3"),1,
F76="Mean of 3",AA76,
AND(OR(H76&lt;&gt;"",I76&lt;&gt;""),F76="Best of 3",C76="4x4 / 5x5 BLD"),2,
AND(OR(H76&lt;&gt;"",I76&lt;&gt;""),F76="Best of 3"),1,
F76="Best of 2",AA76,
F76="Best of 1",AA76)</f>
        <v/>
      </c>
      <c r="AA76" s="67" t="str">
        <f>IFS(OR(COUNTIF(Info!$A$22:A102,C76)&gt;0,C76=""),"",
AND(OR("3x3 MBLD"=C76,"3x3 FMC"=C76),F76="Best of 1"=TRUE),1,
AND(OR("3x3 MBLD"=C76,"3x3 FMC"=C76),F76="Best of 2"=TRUE),2,
AND(OR("3x3 MBLD"=C76,"3x3 FMC"=C76),OR(F76="Best of 3",F76="Mean of 3")=TRUE),3,
AND(F76="Mean of 3",C76="6x6 / 7x7"),6,
AND(F76="Best of 3",C76="4x4 / 5x5 BLD"),6,
F76="Avg of 5",5,F76="Mean of 3",3,F76="Best of 3",3,F76="Best of 2",2,F76="Best of 1",1)</f>
        <v/>
      </c>
      <c r="AB76" s="69"/>
    </row>
    <row r="77" ht="15.75" customHeight="1">
      <c r="A77" s="51" t="s">
        <v>28</v>
      </c>
      <c r="B77" s="51"/>
      <c r="C77" s="52"/>
      <c r="D77" s="53"/>
      <c r="E77" s="6"/>
      <c r="F77" s="54"/>
      <c r="G77" s="55"/>
      <c r="H77" s="55"/>
      <c r="I77" s="55"/>
      <c r="J77" s="55"/>
      <c r="K77" s="55"/>
      <c r="L77" s="56"/>
      <c r="M77" s="55"/>
      <c r="N77" s="55"/>
      <c r="O77" s="55"/>
      <c r="P77" s="55"/>
      <c r="Q77" s="55"/>
      <c r="R77" s="56" t="str">
        <f>$L$51</f>
        <v/>
      </c>
      <c r="S77" s="55"/>
      <c r="T77" s="55"/>
      <c r="U77" s="55"/>
      <c r="V77" s="55"/>
      <c r="W77" s="55"/>
      <c r="X77" s="55"/>
      <c r="Y77" s="55"/>
      <c r="Z77" s="55"/>
      <c r="AA77" s="55"/>
      <c r="AB77" s="56"/>
    </row>
    <row r="78" ht="15.75" customHeight="1">
      <c r="A78" s="28">
        <v>8.0</v>
      </c>
      <c r="B78" s="28">
        <v>30.0</v>
      </c>
      <c r="C78" s="57">
        <v>44565.0</v>
      </c>
      <c r="D78" s="58" t="str">
        <f>$E$2</f>
        <v>Stora salen</v>
      </c>
      <c r="E78" s="59"/>
      <c r="F78" s="28"/>
      <c r="G78" s="60"/>
      <c r="H78" s="60"/>
      <c r="I78" s="60"/>
      <c r="J78" s="60"/>
      <c r="K78" s="60"/>
      <c r="L78" s="61">
        <f>IFERROR(__xludf.DUMMYFUNCTION("IF($O$2=""No"",4320-($A$6*60+$B$6)-SUM($L$7:indirect(""L""&amp;row()-2))+($A$78*60+$B$78),
4320-($A$6*60+$B$6)-SUM(FILTER($L$7:indirect(""L""&amp;row()-2),REGEXMATCH($D$7:indirect(""D""&amp;row()-2),$E$2)))+($A$78*60+$B$78))"),1425.0)</f>
        <v>1425</v>
      </c>
      <c r="M78" s="60"/>
      <c r="N78" s="60"/>
      <c r="O78" s="60"/>
      <c r="P78" s="60"/>
      <c r="Q78" s="60"/>
      <c r="R78" s="61">
        <f>$L$78</f>
        <v>1425</v>
      </c>
      <c r="S78" s="60"/>
      <c r="T78" s="60"/>
      <c r="U78" s="60"/>
      <c r="V78" s="60"/>
      <c r="W78" s="60"/>
      <c r="X78" s="60"/>
      <c r="Y78" s="60"/>
      <c r="Z78" s="60"/>
      <c r="AA78" s="60"/>
      <c r="AB78" s="61"/>
    </row>
    <row r="79" ht="15.75" customHeight="1">
      <c r="A79" s="16" t="s">
        <v>33</v>
      </c>
      <c r="B79" s="16" t="s">
        <v>34</v>
      </c>
      <c r="C79" s="19" t="s">
        <v>35</v>
      </c>
      <c r="D79" s="20" t="s">
        <v>36</v>
      </c>
      <c r="E79" s="20" t="s">
        <v>37</v>
      </c>
      <c r="F79" s="20" t="s">
        <v>38</v>
      </c>
      <c r="G79" s="20" t="s">
        <v>39</v>
      </c>
      <c r="H79" s="20" t="s">
        <v>40</v>
      </c>
      <c r="I79" s="20" t="s">
        <v>41</v>
      </c>
      <c r="J79" s="20" t="s">
        <v>42</v>
      </c>
      <c r="K79" s="20" t="s">
        <v>59</v>
      </c>
      <c r="L79" s="16" t="s">
        <v>44</v>
      </c>
      <c r="M79" s="17" t="s">
        <v>45</v>
      </c>
      <c r="N79" s="17" t="s">
        <v>46</v>
      </c>
      <c r="O79" s="17" t="s">
        <v>47</v>
      </c>
      <c r="P79" s="17" t="s">
        <v>48</v>
      </c>
      <c r="Q79" s="17" t="s">
        <v>32</v>
      </c>
      <c r="R79" s="21" t="s">
        <v>49</v>
      </c>
      <c r="S79" s="21"/>
      <c r="T79" s="33" t="s">
        <v>51</v>
      </c>
      <c r="U79" s="33"/>
      <c r="V79" s="18" t="s">
        <v>53</v>
      </c>
      <c r="W79" s="34" t="s">
        <v>54</v>
      </c>
      <c r="X79" s="18" t="s">
        <v>55</v>
      </c>
      <c r="Y79" s="18" t="s">
        <v>60</v>
      </c>
      <c r="Z79" s="18" t="s">
        <v>57</v>
      </c>
      <c r="AA79" s="18" t="s">
        <v>58</v>
      </c>
      <c r="AB79" s="8"/>
    </row>
    <row r="80" ht="15.75" customHeight="1">
      <c r="A80" s="35">
        <f>IFERROR(__xludf.DUMMYFUNCTION("IFS(indirect(""A""&amp;row()-1)=""Start"",TIME(indirect(""A""&amp;row()-2),indirect(""B""&amp;row()-2),0),
$O$2=""No"",TIME(0,($A$6*60+$B$6)+CEILING(SUM($L$7:indirect(""L""&amp;row()-1)),5),0),
D80=$E$2,TIME(0,($A$6*60+$B$6)+CEILING(SUM(IFERROR(FILTER($L$7:indirect(""L"""&amp;"&amp;row()-1),REGEXMATCH($D$7:indirect(""D""&amp;row()-1),$E$2)),0)),5),0),
TRUE,""=time(hh;mm;ss)"")"),0.3541666666666667)</f>
        <v>0.3541666667</v>
      </c>
      <c r="B80" s="36">
        <f>IFERROR(__xludf.DUMMYFUNCTION("IFS($O$2=""No"",TIME(0,($A$6*60+$B$6)+CEILING(SUM($L$7:indirect(""L""&amp;row())),5),0),
D80=$E$2,TIME(0,($A$6*60+$B$6)+CEILING(SUM(FILTER($L$7:indirect(""L""&amp;row()),REGEXMATCH($D$7:indirect(""D""&amp;row()),$E$2))),5),0),
A80=""=time(hh;mm;ss)"",CONCATENATE(""Sk"&amp;"riv tid i A""&amp;row()),
AND(A80&lt;&gt;"""",A80&lt;&gt;""=time(hh;mm;ss)""),A80+TIME(0,CEILING(indirect(""L""&amp;row()),5),0))"),0.3541666666666665)</f>
        <v>0.3541666667</v>
      </c>
      <c r="C80" s="37"/>
      <c r="D80" s="38" t="str">
        <f t="shared" ref="D80:D83" si="8">IFS($M$2=1,$E$2,
AND($M$2&gt;1,OR(C80="4x4 BLD",C80="5x5 BLD",C80="3x3 MBLD",C80="4x4 / 5x5 BLD")),$E$4,
$M$2&gt;1,$E$2)</f>
        <v>Stora salen</v>
      </c>
      <c r="E80" s="38" t="str">
        <f>IFERROR(__xludf.DUMMYFUNCTION("IFS(COUNTIF(Info!$A$22:A81,C80)&gt;0,"""",
AND(OR(""3x3 FMC""=C80,""3x3 MBLD""=C80),COUNTIF($C$7:indirect(""C""&amp;row()),indirect(""C""&amp;row()))&gt;=13),""E - Error"",
AND(OR(""3x3 FMC""=C80,""3x3 MBLD""=C80),COUNTIF($C$7:indirect(""C""&amp;row()),indirect(""C""&amp;row()"&amp;"))=12),""Final - A3"",
AND(OR(""3x3 FMC""=C80,""3x3 MBLD""=C80),COUNTIF($C$7:indirect(""C""&amp;row()),indirect(""C""&amp;row()))=11),""Final - A2"",
AND(OR(""3x3 FMC""=C80,""3x3 MBLD""=C80),COUNTIF($C$7:indirect(""C""&amp;row()),indirect(""C""&amp;row()))=10),""Final - "&amp;"A1"",
AND(OR(""3x3 FMC""=C80,""3x3 MBLD""=C80),COUNTIF($C$7:indirect(""C""&amp;row()),indirect(""C""&amp;row()))=9,
COUNTIF($C$7:$C$102,indirect(""C""&amp;row()))&gt;9),""R3 - A3"",
AND(OR(""3x3 FMC""=C80,""3x3 MBLD""=C80),COUNTIF($C$7:indirect(""C""&amp;row()),indirect(""C"&amp;"""&amp;row()))=9,
COUNTIF($C$7:$C$102,indirect(""C""&amp;row()))&lt;=9),""Final - A3"",
AND(OR(""3x3 FMC""=C80,""3x3 MBLD""=C80),COUNTIF($C$7:indirect(""C""&amp;row()),indirect(""C""&amp;row()))=8,
COUNTIF($C$7:$C$102,indirect(""C""&amp;row()))&gt;9),""R3 - A2"",
AND(OR(""3x3 FMC"&amp;"""=C80,""3x3 MBLD""=C80),COUNTIF($C$7:indirect(""C""&amp;row()),indirect(""C""&amp;row()))=8,
COUNTIF($C$7:$C$102,indirect(""C""&amp;row()))&lt;=9),""Final - A2"",
AND(OR(""3x3 FMC""=C80,""3x3 MBLD""=C80),COUNTIF($C$7:indirect(""C""&amp;row()),indirect(""C""&amp;row()))=7,
COUN"&amp;"TIF($C$7:$C$102,indirect(""C""&amp;row()))&gt;9),""R3 - A1"",
AND(OR(""3x3 FMC""=C80,""3x3 MBLD""=C80),COUNTIF($C$7:indirect(""C""&amp;row()),indirect(""C""&amp;row()))=7,
COUNTIF($C$7:$C$102,indirect(""C""&amp;row()))&lt;=9),""Final - A1"",
AND(OR(""3x3 FMC""=C80,""3x3 MBLD"""&amp;"=C80),COUNTIF($C$7:indirect(""C""&amp;row()),indirect(""C""&amp;row()))=6,
COUNTIF($C$7:$C$102,indirect(""C""&amp;row()))&gt;6),""R2 - A3"",
AND(OR(""3x3 FMC""=C80,""3x3 MBLD""=C80),COUNTIF($C$7:indirect(""C""&amp;row()),indirect(""C""&amp;row()))=6,
COUNTIF($C$7:$C$102,indirec"&amp;"t(""C""&amp;row()))&lt;=6),""Final - A3"",
AND(OR(""3x3 FMC""=C80,""3x3 MBLD""=C80),COUNTIF($C$7:indirect(""C""&amp;row()),indirect(""C""&amp;row()))=5,
COUNTIF($C$7:$C$102,indirect(""C""&amp;row()))&gt;6),""R2 - A2"",
AND(OR(""3x3 FMC""=C80,""3x3 MBLD""=C80),COUNTIF($C$7:indi"&amp;"rect(""C""&amp;row()),indirect(""C""&amp;row()))=5,
COUNTIF($C$7:$C$102,indirect(""C""&amp;row()))&lt;=6),""Final - A2"",
AND(OR(""3x3 FMC""=C80,""3x3 MBLD""=C80),COUNTIF($C$7:indirect(""C""&amp;row()),indirect(""C""&amp;row()))=4,
COUNTIF($C$7:$C$102,indirect(""C""&amp;row()))&gt;6),"&amp;"""R2 - A1"",
AND(OR(""3x3 FMC""=C80,""3x3 MBLD""=C80),COUNTIF($C$7:indirect(""C""&amp;row()),indirect(""C""&amp;row()))=4,
COUNTIF($C$7:$C$102,indirect(""C""&amp;row()))&lt;=6),""Final - A1"",
AND(OR(""3x3 FMC""=C80,""3x3 MBLD""=C80),COUNTIF($C$7:indirect(""C""&amp;row()),i"&amp;"ndirect(""C""&amp;row()))=3),""R1 - A3"",
AND(OR(""3x3 FMC""=C80,""3x3 MBLD""=C80),COUNTIF($C$7:indirect(""C""&amp;row()),indirect(""C""&amp;row()))=2),""R1 - A2"",
AND(OR(""3x3 FMC""=C80,""3x3 MBLD""=C80),COUNTIF($C$7:indirect(""C""&amp;row()),indirect(""C""&amp;row()))=1),"&amp;"""R1 -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C80),ROUNDUP((FILTER(Info!$H$2:H81,Info!$A$2:A81=C80)/FILTER(Info!$H$2:H81,Info!$A$2:A81=$K$2))*$I$2)&gt;99),3,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C80),ROUNDUP((FILTER(Info!$H$2:H81,Info!$A$2:A81=C80)/FILTER(Info!$H$2:H81,Info!$A$2:A81=$K$2))*$I$2)&gt;15),2,
AND(COUNTIF($C$7:indirect(""C""&amp;row()),indirect(""C""&amp;row()))=2,COUNTIF($C$7:$C$102,indirect(""C""&amp;row()))=COUNTIF($"&amp;"C$7:indirect(""C""&amp;row()),indirect(""C""&amp;row()))),""Final"",
COUNTIF($C$7:indirect(""C""&amp;row()),indirect(""C""&amp;row()))=1,1,
COUNTIF($C$7:indirect(""C""&amp;row()),indirect(""C""&amp;row()))=0,"""")"),"")</f>
        <v/>
      </c>
      <c r="F80" s="39" t="str">
        <f>IFERROR(__xludf.DUMMYFUNCTION("IFS(C80="""","""",
AND(C80=""3x3 FMC"",MOD(COUNTIF($C$7:indirect(""C""&amp;row()),indirect(""C""&amp;row())),3)=0),""Mean of 3"",
AND(C80=""3x3 MBLD"",MOD(COUNTIF($C$7:indirect(""C""&amp;row()),indirect(""C""&amp;row())),3)=0),""Best of 3"",
AND(C80=""3x3 FMC"",MOD(COUNT"&amp;"IF($C$7:indirect(""C""&amp;row()),indirect(""C""&amp;row())),3)=2,
COUNTIF($C$7:$C$102,indirect(""C""&amp;row()))&lt;=COUNTIF($C$7:indirect(""C""&amp;row()),indirect(""C""&amp;row()))),""Best of 2"",
AND(C80=""3x3 FMC"",MOD(COUNTIF($C$7:indirect(""C""&amp;row()),indirect(""C""&amp;row("&amp;"))),3)=2,
COUNTIF($C$7:$C$102,indirect(""C""&amp;row()))&gt;COUNTIF($C$7:indirect(""C""&amp;row()),indirect(""C""&amp;row()))),""Mean of 3"",
AND(C80=""3x3 MBLD"",MOD(COUNTIF($C$7:indirect(""C""&amp;row()),indirect(""C""&amp;row())),3)=2,
COUNTIF($C$7:$C$102,indirect(""C""&amp;row("&amp;")))&lt;=COUNTIF($C$7:indirect(""C""&amp;row()),indirect(""C""&amp;row()))),""Best of 2"",
AND(C80=""3x3 MBLD"",MOD(COUNTIF($C$7:indirect(""C""&amp;row()),indirect(""C""&amp;row())),3)=2,
COUNTIF($C$7:$C$102,indirect(""C""&amp;row()))&gt;COUNTIF($C$7:indirect(""C""&amp;row()),indirect("&amp;"""C""&amp;row()))),""Best of 3"",
AND(C80=""3x3 FMC"",MOD(COUNTIF($C$7:indirect(""C""&amp;row()),indirect(""C""&amp;row())),3)=1,
COUNTIF($C$7:$C$102,indirect(""C""&amp;row()))&lt;=COUNTIF($C$7:indirect(""C""&amp;row()),indirect(""C""&amp;row()))),""Best of 1"",
AND(C80=""3x3 FMC"""&amp;",MOD(COUNTIF($C$7:indirect(""C""&amp;row()),indirect(""C""&amp;row())),3)=1,
COUNTIF($C$7:$C$102,indirect(""C""&amp;row()))=COUNTIF($C$7:indirect(""C""&amp;row()),indirect(""C""&amp;row()))+1),""Best of 2"",
AND(C80=""3x3 FMC"",MOD(COUNTIF($C$7:indirect(""C""&amp;row()),indirect"&amp;"(""C""&amp;row())),3)=1,
COUNTIF($C$7:$C$102,indirect(""C""&amp;row()))&gt;COUNTIF($C$7:indirect(""C""&amp;row()),indirect(""C""&amp;row()))),""Mean of 3"",
AND(C80=""3x3 MBLD"",MOD(COUNTIF($C$7:indirect(""C""&amp;row()),indirect(""C""&amp;row())),3)=1,
COUNTIF($C$7:$C$102,indirect"&amp;"(""C""&amp;row()))&lt;=COUNTIF($C$7:indirect(""C""&amp;row()),indirect(""C""&amp;row()))),""Best of 1"",
AND(C80=""3x3 MBLD"",MOD(COUNTIF($C$7:indirect(""C""&amp;row()),indirect(""C""&amp;row())),3)=1,
COUNTIF($C$7:$C$102,indirect(""C""&amp;row()))=COUNTIF($C$7:indirect(""C""&amp;row()"&amp;"),indirect(""C""&amp;row()))+1),""Best of 2"",
AND(C80=""3x3 MBLD"",MOD(COUNTIF($C$7:indirect(""C""&amp;row()),indirect(""C""&amp;row())),3)=1,
COUNTIF($C$7:$C$102,indirect(""C""&amp;row()))&gt;COUNTIF($C$7:indirect(""C""&amp;row()),indirect(""C""&amp;row()))),""Best of 3"",
TRUE,("&amp;"IFERROR(FILTER(Info!$D$2:D81, Info!$A$2:A81 = C80), """")))"),"")</f>
        <v/>
      </c>
      <c r="G80" s="40" t="str">
        <f>IFERROR(__xludf.DUMMYFUNCTION("IFS(OR(COUNTIF(Info!$A$22:A81,C80)&gt;0,C80=""""),"""",
OR(""3x3 MBLD""=C80,""3x3 FMC""=C80),60,
AND(E80=1,FILTER(Info!$F$2:F81, Info!$A$2:A81 = C80) = ""No""),FILTER(Info!$P$2:P81, Info!$A$2:A81 = C80),
AND(E80=2,FILTER(Info!$F$2:F81, Info!$A$2:A81 = C80) ="&amp;" ""No""),FILTER(Info!$Q$2:Q81, Info!$A$2:A81 = C80),
AND(E80=3,FILTER(Info!$F$2:F81, Info!$A$2:A81 = C80) = ""No""),FILTER(Info!$R$2:R81, Info!$A$2:A81 = C80),
AND(E80=""Final"",FILTER(Info!$F$2:F81, Info!$A$2:A81 = C80) = ""No""),FILTER(Info!$S$2:S81, In"&amp;"fo!$A$2:A81 = C80),
FILTER(Info!$F$2:F81, Info!$A$2:A81 = C80) = ""Yes"","""")"),"")</f>
        <v/>
      </c>
      <c r="H80" s="40" t="str">
        <f>IFERROR(__xludf.DUMMYFUNCTION("IFS(OR(COUNTIF(Info!$A$22:A81,C80)&gt;0,C80=""""),"""",
OR(""3x3 MBLD""=C80,""3x3 FMC""=C80)=TRUE,"""",
FILTER(Info!$F$2:F81, Info!$A$2:A81 = C80) = ""Yes"",FILTER(Info!$O$2:O81, Info!$A$2:A81 = C80),
FILTER(Info!$F$2:F81, Info!$A$2:A81 = C80) = ""No"",IF(G8"&amp;"0="""",FILTER(Info!$O$2:O81, Info!$A$2:A81 = C80),""""))"),"")</f>
        <v/>
      </c>
      <c r="I80" s="40" t="str">
        <f>IFERROR(__xludf.DUMMYFUNCTION("IFS(OR(COUNTIF(Info!$A$22:A81,C80)&gt;0,C80="""",H80&lt;&gt;""""),"""",
AND(E80&lt;&gt;1,E80&lt;&gt;""R1 - A1"",E80&lt;&gt;""R1 - A2"",E80&lt;&gt;""R1 - A3""),"""",
FILTER(Info!$E$2:E81, Info!$A$2:A81 = C80) = ""Yes"",IF(H80="""",FILTER(Info!$L$2:L81, Info!$A$2:A81 = C80),""""),
FILTER(I"&amp;"nfo!$E$2:E81, Info!$A$2:A81 = C80) = ""No"","""")"),"")</f>
        <v/>
      </c>
      <c r="J80" s="40" t="str">
        <f>IFERROR(__xludf.DUMMYFUNCTION("IFS(OR(COUNTIF(Info!$A$22:A81,C80)&gt;0,C80="""",""3x3 MBLD""=C80,""3x3 FMC""=C80),"""",
AND(E80=1,FILTER(Info!$H$2:H81,Info!$A$2:A81 = C80)&lt;=FILTER(Info!$H$2:H81,Info!$A$2:A81=$K$2)),
ROUNDUP((FILTER(Info!$H$2:H81,Info!$A$2:A81 = C80)/FILTER(Info!$H$2:H81,I"&amp;"nfo!$A$2:A81=$K$2))*$I$2),
AND(E80=1,FILTER(Info!$H$2:H81,Info!$A$2:A81 = C80)&gt;FILTER(Info!$H$2:H81,Info!$A$2:A81=$K$2)),""K2 - Error"",
AND(E80=2,FILTER($J$7:indirect(""J""&amp;row()-1),$C$7:indirect(""C""&amp;row()-1)=C80)&lt;=7),""J - Error"",
E80=2,FLOOR(FILTER("&amp;"$J$7:indirect(""J""&amp;row()-1),$C$7:indirect(""C""&amp;row()-1)=C80)*Info!$T$32),
AND(E80=3,FILTER($J$7:indirect(""J""&amp;row()-1),$C$7:indirect(""C""&amp;row()-1)=C80)&lt;=15),""J - Error"",
E80=3,FLOOR(Info!$T$32*FLOOR(FILTER($J$7:indirect(""J""&amp;row()-1),$C$7:indirect("&amp;"""C""&amp;row()-1)=C80)*Info!$T$32)),
AND(E80=""Final"",COUNTIF($C$7:$C$102,C80)=2,FILTER($J$7:indirect(""J""&amp;row()-1),$C$7:indirect(""C""&amp;row()-1)=C80)&lt;=7),""J - Error"",
AND(E80=""Final"",COUNTIF($C$7:$C$102,C80)=2),
MIN(P80,FLOOR(FILTER($J$7:indirect(""J"""&amp;"&amp;row()-1),$C$7:indirect(""C""&amp;row()-1)=C80)*Info!$T$32)),
AND(E80=""Final"",COUNTIF($C$7:$C$102,C80)=3,FILTER($J$7:indirect(""J""&amp;row()-1),$C$7:indirect(""C""&amp;row()-1)=C80)&lt;=15),""J - Error"",
AND(E80=""Final"",COUNTIF($C$7:$C$102,C80)=3),
MIN(P80,FLOOR(I"&amp;"nfo!$T$32*FLOOR(FILTER($J$7:indirect(""J""&amp;row()-1),$C$7:indirect(""C""&amp;row()-1)=C80)*Info!$T$32))),
AND(E80=""Final"",COUNTIF($C$7:$C$102,C80)&gt;=4,FILTER($J$7:indirect(""J""&amp;row()-1),$C$7:indirect(""C""&amp;row()-1)=C80)&lt;=99),""J - Error"",
AND(E80=""Final"","&amp;"COUNTIF($C$7:$C$102,C80)&gt;=4),
MIN(P80,FLOOR(Info!$T$32*FLOOR(Info!$T$32*FLOOR(FILTER($J$7:indirect(""J""&amp;row()-1),$C$7:indirect(""C""&amp;row()-1)=C80)*Info!$T$32)))))"),"")</f>
        <v/>
      </c>
      <c r="K80" s="41" t="str">
        <f>IFERROR(__xludf.DUMMYFUNCTION("IFS(AND(indirect(""D""&amp;row()+2)&lt;&gt;$E$2,indirect(""D""&amp;row()+1)=""""),CONCATENATE(""Tom rad! Kopiera hela rad ""&amp;row()&amp;"" dit""),
AND(indirect(""D""&amp;row()-1)&lt;&gt;""Rum"",indirect(""D""&amp;row()-1)=""""),CONCATENATE(""Tom rad! Kopiera hela rad ""&amp;row()&amp;"" dit""),
"&amp;"C80="""","""",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OR(AND(D80&lt;&gt;$E$2,D80&lt;&gt;$E$4,D80&lt;&gt;$K$4,D80&lt;&gt;$Q$4),D80="&amp;"""""),CONCATENATE(""Rum: ""&amp;D80&amp;"" finns ej, byt i D""&amp;row()),
AND(indirect(""D""&amp;row()-1)=""Rum"",C80=""""),CONCATENATE(""För att börja: skriv i cell C""&amp;row()),
AND(C80=""Paus"",M80&lt;=0),CONCATENATE(""Skriv pausens längd i M""&amp;row()),
OR(COUNTIF(Info!$A$"&amp;"22:A81,C80)&gt;0,C80=""""),"""",
AND(D80&lt;&gt;$E$2,$O$2=""Yes"",A80=""=time(hh;mm;ss)""),CONCATENATE(""Skriv starttid för ""&amp;C80&amp;"" i A""&amp;row()),
E80=""E - Error"",CONCATENATE(""För många ""&amp;C80&amp;"" rundor!""),
AND(C80&lt;&gt;""3x3 FMC"",C80&lt;&gt;""3x3 MBLD"",E80&lt;&gt;1,E80&lt;&gt;"&amp;"""Final"",IFERROR(FILTER($E$7:indirect(""E""&amp;row()-1),
$E$7:indirect(""E""&amp;row()-1)=E80-1,$C$7:indirect(""C""&amp;row()-1)=C80))=FALSE),CONCATENATE(""Kan ej vara R""&amp;E80&amp;"", saknar R""&amp;(E80-1)),
AND(indirect(""E""&amp;row()-1)&lt;&gt;""Omgång"",IFERROR(FILTER($E$7:indi"&amp;"rect(""E""&amp;row()-1),
$E$7:indirect(""E""&amp;row()-1)=E80,$C$7:indirect(""C""&amp;row()-1)=C80)=E80)=TRUE),CONCATENATE(""Runda ""&amp;E80&amp;"" i ""&amp;C80&amp;"" finns redan""),
AND(C80&lt;&gt;""3x3 BLD"",C80&lt;&gt;""4x4 BLD"",C80&lt;&gt;""5x5 BLD"",C80&lt;&gt;""4x4 / 5x5 BLD"",OR(E80=2,E80=3,E80="&amp;"""Final""),H80&lt;&gt;""""),CONCATENATE(E80&amp;""-rundor brukar ej ha c.t.l.""),
AND(OR(E80=2,E80=3,E80=""Final""),I80&lt;&gt;""""),CONCATENATE(E80&amp;""-rundor brukar ej ha cutoff""),
AND(OR(C80=""3x3 FMC"",C80=""3x3 MBLD""),OR(E80=1,E80=2,E80=3,E80=""Final"")),CONCATENAT"&amp;"E(C80&amp;""s omgång är Rx - Ax""),
AND(C80&lt;&gt;""3x3 MBLD"",C80&lt;&gt;""3x3 FMC"",FILTER(Info!$D$2:D81, Info!$A$2:A81 = C80)&lt;&gt;F80),CONCATENATE(C80&amp;"" måste ha formatet ""&amp;FILTER(Info!$D$2:D81, Info!$A$2:A81 = C80)),
AND(C80=""3x3 MBLD"",OR(F80=""Avg of 5"",F80=""Mea"&amp;"n of 3"")),CONCATENATE(""Ogiltigt format för ""&amp;C80),
AND(C80=""3x3 FMC"",OR(F80=""Avg of 5"",F80=""Best of 3"")),CONCATENATE(""Ogiltigt format för ""&amp;C80),
AND(OR(F80=""Best of 1"",F80=""Best of 2"",F80=""Best of 3""),I80&lt;&gt;""""),CONCATENATE(F80&amp;""-rundor"&amp;" får ej ha cutoff""),
AND(OR(C80=""3x3 FMC"",C80=""3x3 MBLD""),G80&lt;&gt;60),CONCATENATE(C80&amp;"" måste ha time limit: 60""),
AND(OR(C80=""3x3 FMC"",C80=""3x3 MBLD""),H80&lt;&gt;""""),CONCATENATE(C80&amp;"" kan inte ha c.t.l.""),
AND(G80&lt;&gt;"""",H80&lt;&gt;""""),""Välj time limit"&amp;" ELLER c.t.l"",
AND(C80=""6x6 / 7x7"",G80="""",H80=""""),""Sätt time limit (x / y) eller c.t.l (z)"",
AND(G80="""",H80=""""),""Sätt en time limit eller c.t.l"",
AND(OR(C80=""6x6 / 7x7"",C80=""4x4 / 5x5 BLD""),G80&lt;&gt;"""",REGEXMATCH(TO_TEXT(G80),"" / "")=FAL"&amp;"SE),CONCATENATE(""Time limit måste vara x / y""),
AND(H80&lt;&gt;"""",I80&lt;&gt;""""),CONCATENATE(C80&amp;"" brukar ej ha cutoff OCH c.t.l""),
AND(E80=1,H80="""",I80="""",OR(FILTER(Info!$E$2:E81, Info!$A$2:A81 = C80) = ""Yes"",FILTER(Info!$F$2:F81, Info!$A$2:A81 = C80) "&amp;"= ""Yes""),OR(F80=""Avg of 5"",F80=""Mean of 3"")),CONCATENATE(C80&amp;"" bör ha cutoff eller c.t.l""),
AND(C80=""6x6 / 7x7"",I80&lt;&gt;"""",REGEXMATCH(TO_TEXT(I80),"" / "")=FALSE),CONCATENATE(""Cutoff måste vara x / y""),
AND(H80&lt;&gt;"""",ISNUMBER(H80)=FALSE),""C.t."&amp;"l. måste vara positivt tal (x)"",
AND(C80&lt;&gt;""6x6 / 7x7"",I80&lt;&gt;"""",ISNUMBER(I80)=FALSE),""Cutoff måste vara positivt tal (x)"",
AND(H80&lt;&gt;"""",FILTER(Info!$E$2:E81, Info!$A$2:A81 = C80) = ""No"",FILTER(Info!$F$2:F81, Info!$A$2:A81 = C80) = ""No""),CONCATEN"&amp;"ATE(C80&amp;"" brukar inte ha c.t.l.""),
AND(I80&lt;&gt;"""",FILTER(Info!$E$2:E81, Info!$A$2:A81 = C80) = ""No"",FILTER(Info!$F$2:F81, Info!$A$2:A81 = C80) = ""No""),CONCATENATE(C80&amp;"" brukar inte ha cutoff""),
AND(H80="""",FILTER(Info!$F$2:F81, Info!$A$2:A81 = C80"&amp;") = ""Yes""),CONCATENATE(C80&amp;"" brukar ha c.t.l.""),
AND(C80&lt;&gt;""6x6 / 7x7"",C80&lt;&gt;""4x4 / 5x5 BLD"",G80&lt;&gt;"""",ISNUMBER(G80)=FALSE),""Time limit måste vara positivt tal (x)"",
J80=""J - Error"",CONCATENATE(""För få deltagare i R1 för ""&amp;COUNTIF($C$7:$C$102,"&amp;"indirect(""C""&amp;row()))&amp;"" rundor""),
J80=""K2 - Error"",CONCATENATE(C80&amp;"" är mer populär - byt i K2!""),
AND(C80&lt;&gt;""6x6 / 7x7"",C80&lt;&gt;""4x4 / 5x5 BLD"",G80&lt;&gt;"""",I80&lt;&gt;"""",G80&lt;=I80),""Time limit måste vara &gt; cutoff"",
AND(C80&lt;&gt;""6x6 / 7x7"",C80&lt;&gt;""4x4 / 5"&amp;"x5 BLD"",H80&lt;&gt;"""",I80&lt;&gt;"""",H80&lt;=I80),""C.t.l. måste vara &gt; cutoff"",
AND(C80&lt;&gt;""3x3 FMC"",C80&lt;&gt;""3x3 MBLD"",J80=""""),CONCATENATE(""Fyll i antal deltagare i J""&amp;row()),
AND(C80="""",OR(E80&lt;&gt;"""",F80&lt;&gt;"""",G80&lt;&gt;"""",H80&lt;&gt;"""",I80&lt;&gt;"""",J80&lt;&gt;"""")),""Skri"&amp;"v ALLTID gren / aktivitet först"",
AND(I80="""",H80="""",J80&lt;&gt;""""),J80,
OR(""3x3 FMC""=C80,""3x3 MBLD""=C80),J80,
AND(I80&lt;&gt;"""",""6x6 / 7x7""=C80),
IFS(ArrayFormula(SUM(IFERROR(SPLIT(I80,"" / ""))))&lt;(Info!$J$6+Info!$J$7)*2/3,CONCATENATE(""Höj helst cutof"&amp;"fs i ""&amp;C80),
ArrayFormula(SUM(IFERROR(SPLIT(I80,"" / ""))))&lt;=(Info!$J$6+Info!$J$7),ROUNDUP(J80*Info!$J$22),
ArrayFormula(SUM(IFERROR(SPLIT(I80,"" / ""))))&lt;=Info!$J$6+Info!$J$7,ROUNDUP(J80*Info!$K$22),
ArrayFormula(SUM(IFERROR(SPLIT(I80,"" / ""))))&lt;=Info!"&amp;"$K$6+Info!$K$7,ROUNDUP(J80*Info!L$22),
ArrayFormula(SUM(IFERROR(SPLIT(I80,"" / ""))))&lt;=Info!$L$6+Info!$L$7,ROUNDUP(J80*Info!$M$22),
ArrayFormula(SUM(IFERROR(SPLIT(I80,"" / ""))))&lt;=Info!$M$6+Info!$M$7,ROUNDUP(J80*Info!$N$22),
ArrayFormula(SUM(IFERROR(SPLIT"&amp;"(I80,"" / ""))))&lt;=(Info!$N$6+Info!$N$7)*3/2,ROUNDUP(J80*Info!$J$26),
ArrayFormula(SUM(IFERROR(SPLIT(I80,"" / ""))))&gt;(Info!$N$6+Info!$N$7)*3/2,CONCATENATE(""Sänk helst cutoffs i ""&amp;C80)),
AND(I80&lt;&gt;"""",FILTER(Info!$E$2:E81, Info!$A$2:A81 = C80) = ""Yes""),"&amp;"
IFS(I80&lt;FILTER(Info!$J$2:J81, Info!$A$2:A81 = C80)*2/3,CONCATENATE(""Höj helst cutoff i ""&amp;C80),
I80&lt;=FILTER(Info!$J$2:J81, Info!$A$2:A81 = C80),ROUNDUP(J80*Info!$J$22),
I80&lt;=FILTER(Info!$K$2:K81, Info!$A$2:A81 = C80),ROUNDUP(J80*Info!$K$22),
I80&lt;=FILTER"&amp;"(Info!$L$2:L81, Info!$A$2:A81 = C80),ROUNDUP(J80*Info!L$22),
I80&lt;=FILTER(Info!$M$2:M81, Info!$A$2:A81 = C80),ROUNDUP(J80*Info!$M$22),
I80&lt;=FILTER(Info!$N$2:N81, Info!$A$2:A81 = C80),ROUNDUP(J80*Info!$N$22),
I80&lt;=FILTER(Info!$N$2:N81, Info!$A$2:A81 = C80)*"&amp;"3/2,ROUNDUP(J80*Info!$J$26),
I80&gt;FILTER(Info!$N$2:N81, Info!$A$2:A81 = C80)*3/2,CONCATENATE(""Sänk helst cutoff i ""&amp;C80)),
AND(H80&lt;&gt;"""",""6x6 / 7x7""=C80),
IFS(H80/3&lt;=(Info!$J$6+Info!$J$7)*2/3,""Höj helst cumulative time limit"",
H80/3&lt;=Info!$J$6+Info!$"&amp;"J$7,ROUNDUP(J80*Info!$J$24),
H80/3&lt;=Info!$K$6+Info!$K$7,ROUNDUP(J80*Info!$K$24),
H80/3&lt;=Info!$L$6+Info!$L$7,ROUNDUP(J80*Info!L$24),
H80/3&lt;=Info!$M$6+Info!$M$7,ROUNDUP(J80*Info!$M$24),
H80/3&lt;=Info!$N$6+Info!$N$7,ROUNDUP(J80*Info!$N$24),
H80/3&lt;=(Info!$N$6+I"&amp;"nfo!$N$7)*3/2,ROUNDUP(J80*Info!$L$26),
H80/3&gt;(Info!$J$6+Info!$J$7)*3/2,""Sänk helst cumulative time limit""),
AND(H80&lt;&gt;"""",FILTER(Info!$F$2:F81, Info!$A$2:A81 = C80) = ""Yes""),
IFS(H80&lt;=FILTER(Info!$J$2:J81, Info!$A$2:A81 = C80)*2/3,CONCATENATE(""Höj he"&amp;"lst c.t.l. i ""&amp;C80),
H80&lt;=FILTER(Info!$J$2:J81, Info!$A$2:A81 = C80),ROUNDUP(J80*Info!$J$24),
H80&lt;=FILTER(Info!$K$2:K81, Info!$A$2:A81 = C80),ROUNDUP(J80*Info!$K$24),
H80&lt;=FILTER(Info!$L$2:L81, Info!$A$2:A81 = C80),ROUNDUP(J80*Info!L$24),
H80&lt;=FILTER(Inf"&amp;"o!$M$2:M81, Info!$A$2:A81 = C80),ROUNDUP(J80*Info!$M$24),
H80&lt;=FILTER(Info!$N$2:N81, Info!$A$2:A81 = C80),ROUNDUP(J80*Info!$N$24),
H80&lt;=FILTER(Info!$N$2:N81, Info!$A$2:A81 = C80)*3/2,ROUNDUP(J80*Info!$L$26),
H80&gt;FILTER(Info!$N$2:N81, Info!$A$2:A81 = C80)*"&amp;"3/2,CONCATENATE(""Sänk helst c.t.l. i ""&amp;C80)),
AND(H80&lt;&gt;"""",FILTER(Info!$F$2:F81, Info!$A$2:A81 = C80) = ""No""),
IFS(H80/AA80&lt;=FILTER(Info!$J$2:J81, Info!$A$2:A81 = C80)*2/3,CONCATENATE(""Höj helst c.t.l. i ""&amp;C80),
H80/AA80&lt;=FILTER(Info!$J$2:J81, Info"&amp;"!$A$2:A81 = C80),ROUNDUP(J80*Info!$J$24),
H80/AA80&lt;=FILTER(Info!$K$2:K81, Info!$A$2:A81 = C80),ROUNDUP(J80*Info!$K$24),
H80/AA80&lt;=FILTER(Info!$L$2:L81, Info!$A$2:A81 = C80),ROUNDUP(J80*Info!L$24),
H80/AA80&lt;=FILTER(Info!$M$2:M81, Info!$A$2:A81 = C80),ROUND"&amp;"UP(J80*Info!$M$24),
H80/AA80&lt;=FILTER(Info!$N$2:N81, Info!$A$2:A81 = C80),ROUNDUP(J80*Info!$N$24),
H80/AA80&lt;=FILTER(Info!$N$2:N81, Info!$A$2:A81 = C80)*3/2,ROUNDUP(J80*Info!$L$26),
H80/AA80&gt;FILTER(Info!$N$2:N81, Info!$A$2:A81 = C80)*3/2,CONCATENATE(""Sänk "&amp;"helst c.t.l. i ""&amp;C80)),
AND(I80="""",H80&lt;&gt;"""",J80&lt;&gt;""""),ROUNDUP(J80*Info!$T$29),
AND(I80&lt;&gt;"""",H80="""",J80&lt;&gt;""""),ROUNDUP(J80*Info!$T$26))"),"")</f>
        <v/>
      </c>
      <c r="L80" s="42">
        <f>IFERROR(__xludf.DUMMYFUNCTION("IFS(C80="""",0,
C80=""3x3 FMC"",Info!$B$9*N80+M80, C80=""3x3 MBLD"",Info!$B$18*N80+M80,
COUNTIF(Info!$A$22:A81,C80)&gt;0,FILTER(Info!$B$22:B81,Info!$A$22:A81=C80)+M80,
AND(C80&lt;&gt;"""",E80=""""),CONCATENATE(""Fyll i E""&amp;row()),
AND(C80&lt;&gt;"""",E80&lt;&gt;"""",E80&lt;&gt;1,E8"&amp;"0&lt;&gt;2,E80&lt;&gt;3,E80&lt;&gt;""Final""),CONCATENATE(""Fel format på E""&amp;row()),
K80=CONCATENATE(""Runda ""&amp;E80&amp;"" i ""&amp;C80&amp;"" finns redan""),CONCATENATE(""Fel i E""&amp;row()),
AND(C80&lt;&gt;"""",F80=""""),CONCATENATE(""Fyll i F""&amp;row()),
K80=CONCATENATE(C80&amp;"" måste ha forma"&amp;"tet ""&amp;FILTER(Info!$D$2:D81, Info!$A$2:A81 = C80)),CONCATENATE(""Fel format på F""&amp;row()),
AND(C80&lt;&gt;"""",D80=1,H80="""",FILTER(Info!$F$2:F81, Info!$A$2:A81 = C80) = ""Yes""),CONCATENATE(""Fyll i H""&amp;row()),
AND(C80&lt;&gt;"""",D80=1,I80="""",FILTER(Info!$E$2:E8"&amp;"1, Info!$A$2:A81 = C80) = ""Yes""),CONCATENATE(""Fyll i I""&amp;row()),
AND(C80&lt;&gt;"""",J80=""""),CONCATENATE(""Fyll i J""&amp;row()),
AND(C80&lt;&gt;"""",K80="""",OR(H80&lt;&gt;"""",I80&lt;&gt;"""")),CONCATENATE(""Fyll i K""&amp;row()),
AND(C80&lt;&gt;"""",K80=""""),CONCATENATE(""Skriv samma"&amp;" i K""&amp;row()&amp;"" som i J""&amp;row()),
AND(OR(C80=""4x4 BLD"",C80=""5x5 BLD"",C80=""4x4 / 5x5 BLD"")=TRUE,V80&lt;=P80),
MROUND(H80*(Info!$T$20-((Info!$T$20-1)/2)*(1-V80/P80))*(1+((J80/K80)-1)*(1-Info!$J$24))*N80+(Info!$T$11/2)+(N80*Info!$T$11)+(N80*Info!$T$14*(O8"&amp;"0-1)),0.01)+M80,
AND(OR(C80=""4x4 BLD"",C80=""5x5 BLD"",C80=""4x4 / 5x5 BLD"")=TRUE,V80&gt;P80),
MROUND((((J80*Z80+K80*(AA80-Z80))*(H80*Info!$T$20/AA80))/X80)*(1+((J80/K80)-1)*(1-Info!$J$24))*(1+(X80-Info!$T$8)/100)+(Info!$T$11/2)+(N80*Info!$T$11)+(N80*Info!"&amp;"$T$14*(O80-1)),0.01)+M80,
AND(C80=""3x3 BLD"",V80&lt;=P80),
MROUND(H80*(Info!$T$23-((Info!$T$23-1)/2)*(1-V80/P80))*(1+((J80/K80)-1)*(1-Info!$J$24))*N80+(Info!$T$11/2)+(N80*Info!$T$11)+(N80*Info!$T$14*(O80-1)),0.01)+M80,
AND(C80=""3x3 BLD"",V80&gt;P80),
MROUND(("&amp;"((J80*Z80+K80*(AA80-Z80))*(H80*Info!$T$23/AA80))/X80)*(1+((J80/K80)-1)*(1-Info!$J$24))*(1+(X80-Info!$T$8)/100)+(Info!$T$11/2)+(N80*Info!$T$11)+(N80*Info!$T$14*(O80-1)),0.01)+M80,
E80=1,MROUND((((J80*Z80+K80*(AA80-Z80))*Y80)/X80)*(1+(X80-Info!$T$8)/100)+(N"&amp;"80*Info!$T$11)+(N80*Info!$T$14*(O80-1)),0.01)+M80,
AND(E80=""Final"",N80=1,FILTER(Info!$G$2:$G$20,Info!$A$2:$A$20=C80)=""Mycket svår""),
MROUND((((J80*Z80+K80*(AA80-Z80))*(Y80*Info!$T$38))/X80)*(1+(X80-Info!$T$8)/100)+(N80*Info!$T$11)+(N80*Info!$T$14*(O80"&amp;"-1)),0.01)+M80,
AND(E80=""Final"",N80=1,FILTER(Info!$G$2:$G$20,Info!$A$2:$A$20=C80)=""Svår""),
MROUND((((J80*Z80+K80*(AA80-Z80))*(Y80*Info!$T$35))/X80)*(1+(X80-Info!$T$8)/100)+(N80*Info!$T$11)+(N80*Info!$T$14*(O80-1)),0.01)+M80,
E80=""Final"",MROUND((((J8"&amp;"0*Z80+K80*(AA80-Z80))*(Y80*Info!$T$5))/X80)*(1+(X80-Info!$T$8)/100)+(N80*Info!$T$11)+(N80*Info!$T$14*(O80-1)),0.01)+M80,
OR(E80=2,E80=3),MROUND((((J80*Z80+K80*(AA80-Z80))*(Y80*Info!$T$2))/X80)*(1+(X80-Info!$T$8)/100)+(N80*Info!$T$11)+(N80*Info!$T$14*(O80-"&amp;"1)),0.01)+M80)"),0.0)</f>
        <v>0</v>
      </c>
      <c r="M80" s="43">
        <f t="shared" ref="M80:M101" si="9">$W$2</f>
        <v>0</v>
      </c>
      <c r="N80" s="43" t="str">
        <f>IFS(OR(COUNTIF(Info!$A$22:A81,C80)&gt;0,C80=""),"",
OR(C80="4x4 BLD",C80="5x5 BLD",C80="3x3 MBLD",C80="3x3 FMC",C80="4x4 / 5x5 BLD"),1,
AND(E80="Final",Q80="Yes",MAX(1,ROUNDUP(J80/P80))&gt;1),MAX(2,ROUNDUP(J80/P80)),
AND(E80="Final",Q80="No",MAX(1,ROUNDUP(J80/((P80*2)+2.625-Y80*1.5)))&gt;1),MAX(2,ROUNDUP(J80/((P80*2)+2.625-Y80*1.5))),
E80="Final",1,
Q80="Yes",MAX(2,ROUNDUP(J80/P80)),
TRUE,MAX(2,ROUNDUP(J80/((P80*2)+2.625-Y80*1.5))))</f>
        <v/>
      </c>
      <c r="O80" s="43" t="str">
        <f>IFS(OR(COUNTIF(Info!$A$22:A81,C80)&gt;0,C80=""),"",
OR("3x3 MBLD"=C80,"3x3 FMC"=C80)=TRUE,"",
D80=$E$4,$G$6,D80=$K$4,$M$6,D80=$Q$4,$S$6,D80=$W$4,$Y$6,
TRUE,$S$2)</f>
        <v/>
      </c>
      <c r="P80" s="43" t="str">
        <f>IFS(OR(COUNTIF(Info!$A$22:A81,C80)&gt;0,C80=""),"",
OR("3x3 MBLD"=C80,"3x3 FMC"=C80)=TRUE,"",
D80=$E$4,$E$6,D80=$K$4,$K$6,D80=$Q$4,$Q$6,D80=$W$4,$W$6,
TRUE,$Q$2)</f>
        <v/>
      </c>
      <c r="Q80" s="44" t="str">
        <f>IFS(OR(COUNTIF(Info!$A$22:A81,C80)&gt;0,C80=""),"",
OR("3x3 MBLD"=C80,"3x3 FMC"=C80)=TRUE,"",
D80=$E$4,$I$6,D80=$K$4,$O$6,D80=$Q$4,$U$6,D80=$W$4,$AA$6,
TRUE,$U$2)</f>
        <v/>
      </c>
      <c r="R80" s="45" t="str">
        <f>IFERROR(__xludf.DUMMYFUNCTION("IF(C80="""","""",IFERROR(FILTER(Info!$B$22:B81,Info!$A$22:A81=C80)+M80,""?""))"),"")</f>
        <v/>
      </c>
      <c r="S80" s="46" t="str">
        <f>IFS(OR(COUNTIF(Info!$A$22:A81,C80)&gt;0,C80=""),"",
AND(H80="",I80=""),J80,
TRUE,"?")</f>
        <v/>
      </c>
      <c r="T80" s="45" t="str">
        <f>IFS(OR(COUNTIF(Info!$A$22:A81,C80)&gt;0,C80=""),"",
AND(L80&lt;&gt;0,OR(R80="?",R80="")),"Fyll i R-kolumnen",
OR(C80="3x3 FMC",C80="3x3 MBLD"),R80,
AND(L80&lt;&gt;0,OR(S80="?",S80="")),"Fyll i S-kolumnen",
OR(COUNTIF(Info!$A$22:A81,C80)&gt;0,C80=""),"",
TRUE,Y80*R80/L80)</f>
        <v/>
      </c>
      <c r="U80" s="45"/>
      <c r="V80" s="47" t="str">
        <f>IFS(OR(COUNTIF(Info!$A$22:A81,C80)&gt;0,C80=""),"",
OR("3x3 MBLD"=C80,"3x3 FMC"=C80)=TRUE,"",
TRUE,MROUND((J80/N80),0.01))</f>
        <v/>
      </c>
      <c r="W80" s="48" t="str">
        <f>IFS(OR(COUNTIF(Info!$A$22:A81,C80)&gt;0,C80=""),"",
TRUE,L80/N80)</f>
        <v/>
      </c>
      <c r="X80" s="49" t="str">
        <f>IFS(OR(COUNTIF(Info!$A$22:A81,C80)&gt;0,C80=""),"",
OR("3x3 MBLD"=C80,"3x3 FMC"=C80)=TRUE,"",
OR(C80="4x4 BLD",C80="5x5 BLD",C80="4x4 / 5x5 BLD",AND(C80="3x3 BLD",H80&lt;&gt;""))=TRUE,MIN(V80,P80),
TRUE,MIN(P80,V80,MROUND(((V80*2/3)+((Y80-1.625)/2)),0.01)))</f>
        <v/>
      </c>
      <c r="Y80" s="48" t="str">
        <f>IFERROR(__xludf.DUMMYFUNCTION("IFS(OR(COUNTIF(Info!$A$22:A81,C80)&gt;0,C80=""""),"""",
FILTER(Info!$F$2:F81, Info!$A$2:A81 = C80) = ""Yes"",H80/AA80,
""3x3 FMC""=C80,Info!$B$9,""3x3 MBLD""=C80,Info!$B$18,
AND(E80=1,I80="""",H80="""",Q80=""No"",G80&gt;SUMIF(Info!$A$2:A81,C80,Info!$B$2:B81)*1."&amp;"5),
MIN(SUMIF(Info!$A$2:A81,C80,Info!$B$2:B81)*1.1,SUMIF(Info!$A$2:A81,C80,Info!$B$2:B81)*(1.15-(0.15*(SUMIF(Info!$A$2:A81,C80,Info!$B$2:B81)*1.5)/G80))),
AND(E80=1,I80="""",H80="""",Q80=""Yes"",G80&gt;SUMIF(Info!$A$2:A81,C80,Info!$C$2:C81)*1.5),
MIN(SUMIF(I"&amp;"nfo!$A$2:A81,C80,Info!$C$2:C81)*1.1,SUMIF(Info!$A$2:A81,C80,Info!$C$2:C81)*(1.15-(0.15*(SUMIF(Info!$A$2:A81,C80,Info!$C$2:C81)*1.5)/G80))),
Q80=""No"",SUMIF(Info!$A$2:A81,C80,Info!$B$2:B81),
Q80=""Yes"",SUMIF(Info!$A$2:A81,C80,Info!$C$2:C81))"),"")</f>
        <v/>
      </c>
      <c r="Z80" s="47" t="str">
        <f>IFS(OR(COUNTIF(Info!$A$22:A81,C80)&gt;0,C80=""),"",
AND(OR("3x3 FMC"=C80,"3x3 MBLD"=C80),I80&lt;&gt;""),1,
AND(OR(H80&lt;&gt;"",I80&lt;&gt;""),F80="Avg of 5"),2,
F80="Avg of 5",AA80,
AND(OR(H80&lt;&gt;"",I80&lt;&gt;""),F80="Mean of 3",C80="6x6 / 7x7"),2,
AND(OR(H80&lt;&gt;"",I80&lt;&gt;""),F80="Mean of 3"),1,
F80="Mean of 3",AA80,
AND(OR(H80&lt;&gt;"",I80&lt;&gt;""),F80="Best of 3",C80="4x4 / 5x5 BLD"),2,
AND(OR(H80&lt;&gt;"",I80&lt;&gt;""),F80="Best of 3"),1,
F80="Best of 2",AA80,
F80="Best of 1",AA80)</f>
        <v/>
      </c>
      <c r="AA80" s="47" t="str">
        <f>IFS(OR(COUNTIF(Info!$A$22:A81,C80)&gt;0,C80=""),"",
AND(OR("3x3 MBLD"=C80,"3x3 FMC"=C80),F80="Best of 1"=TRUE),1,
AND(OR("3x3 MBLD"=C80,"3x3 FMC"=C80),F80="Best of 2"=TRUE),2,
AND(OR("3x3 MBLD"=C80,"3x3 FMC"=C80),OR(F80="Best of 3",F80="Mean of 3")=TRUE),3,
AND(F80="Mean of 3",C80="6x6 / 7x7"),6,
AND(F80="Best of 3",C80="4x4 / 5x5 BLD"),6,
F80="Avg of 5",5,F80="Mean of 3",3,F80="Best of 3",3,F80="Best of 2",2,F80="Best of 1",1)</f>
        <v/>
      </c>
      <c r="AB80" s="50"/>
    </row>
    <row r="81" ht="15.75" customHeight="1">
      <c r="A81" s="35">
        <f>IFERROR(__xludf.DUMMYFUNCTION("IFS(indirect(""A""&amp;row()-1)=""Start"",TIME(indirect(""A""&amp;row()-2),indirect(""B""&amp;row()-2),0),
$O$2=""No"",TIME(0,($A$6*60+$B$6)+CEILING(SUM($L$7:indirect(""L""&amp;row()-1)),5),0),
D81=$E$2,TIME(0,($A$6*60+$B$6)+CEILING(SUM(IFERROR(FILTER($L$7:indirect(""L"""&amp;"&amp;row()-1),REGEXMATCH($D$7:indirect(""D""&amp;row()-1),$E$2)),0)),5),0),
TRUE,""=time(hh;mm;ss)"")"),0.3541666666666665)</f>
        <v>0.3541666667</v>
      </c>
      <c r="B81" s="36">
        <f>IFERROR(__xludf.DUMMYFUNCTION("IFS($O$2=""No"",TIME(0,($A$6*60+$B$6)+CEILING(SUM($L$7:indirect(""L""&amp;row())),5),0),
D81=$E$2,TIME(0,($A$6*60+$B$6)+CEILING(SUM(FILTER($L$7:indirect(""L""&amp;row()),REGEXMATCH($D$7:indirect(""D""&amp;row()),$E$2))),5),0),
A81=""=time(hh;mm;ss)"",CONCATENATE(""Sk"&amp;"riv tid i A""&amp;row()),
AND(A81&lt;&gt;"""",A81&lt;&gt;""=time(hh;mm;ss)""),A81+TIME(0,CEILING(indirect(""L""&amp;row()),5),0))"),0.3541666666666665)</f>
        <v>0.3541666667</v>
      </c>
      <c r="C81" s="37"/>
      <c r="D81" s="38" t="str">
        <f t="shared" si="8"/>
        <v>Stora salen</v>
      </c>
      <c r="E81" s="38" t="str">
        <f>IFERROR(__xludf.DUMMYFUNCTION("IFS(COUNTIF(Info!$A$22:A81,C81)&gt;0,"""",
AND(OR(""3x3 FMC""=C81,""3x3 MBLD""=C81),COUNTIF($C$7:indirect(""C""&amp;row()),indirect(""C""&amp;row()))&gt;=13),""E - Error"",
AND(OR(""3x3 FMC""=C81,""3x3 MBLD""=C81),COUNTIF($C$7:indirect(""C""&amp;row()),indirect(""C""&amp;row()"&amp;"))=12),""Final - A3"",
AND(OR(""3x3 FMC""=C81,""3x3 MBLD""=C81),COUNTIF($C$7:indirect(""C""&amp;row()),indirect(""C""&amp;row()))=11),""Final - A2"",
AND(OR(""3x3 FMC""=C81,""3x3 MBLD""=C81),COUNTIF($C$7:indirect(""C""&amp;row()),indirect(""C""&amp;row()))=10),""Final - "&amp;"A1"",
AND(OR(""3x3 FMC""=C81,""3x3 MBLD""=C81),COUNTIF($C$7:indirect(""C""&amp;row()),indirect(""C""&amp;row()))=9,
COUNTIF($C$7:$C$102,indirect(""C""&amp;row()))&gt;9),""R3 - A3"",
AND(OR(""3x3 FMC""=C81,""3x3 MBLD""=C81),COUNTIF($C$7:indirect(""C""&amp;row()),indirect(""C"&amp;"""&amp;row()))=9,
COUNTIF($C$7:$C$102,indirect(""C""&amp;row()))&lt;=9),""Final - A3"",
AND(OR(""3x3 FMC""=C81,""3x3 MBLD""=C81),COUNTIF($C$7:indirect(""C""&amp;row()),indirect(""C""&amp;row()))=8,
COUNTIF($C$7:$C$102,indirect(""C""&amp;row()))&gt;9),""R3 - A2"",
AND(OR(""3x3 FMC"&amp;"""=C81,""3x3 MBLD""=C81),COUNTIF($C$7:indirect(""C""&amp;row()),indirect(""C""&amp;row()))=8,
COUNTIF($C$7:$C$102,indirect(""C""&amp;row()))&lt;=9),""Final - A2"",
AND(OR(""3x3 FMC""=C81,""3x3 MBLD""=C81),COUNTIF($C$7:indirect(""C""&amp;row()),indirect(""C""&amp;row()))=7,
COUN"&amp;"TIF($C$7:$C$102,indirect(""C""&amp;row()))&gt;9),""R3 - A1"",
AND(OR(""3x3 FMC""=C81,""3x3 MBLD""=C81),COUNTIF($C$7:indirect(""C""&amp;row()),indirect(""C""&amp;row()))=7,
COUNTIF($C$7:$C$102,indirect(""C""&amp;row()))&lt;=9),""Final - A1"",
AND(OR(""3x3 FMC""=C81,""3x3 MBLD"""&amp;"=C81),COUNTIF($C$7:indirect(""C""&amp;row()),indirect(""C""&amp;row()))=6,
COUNTIF($C$7:$C$102,indirect(""C""&amp;row()))&gt;6),""R2 - A3"",
AND(OR(""3x3 FMC""=C81,""3x3 MBLD""=C81),COUNTIF($C$7:indirect(""C""&amp;row()),indirect(""C""&amp;row()))=6,
COUNTIF($C$7:$C$102,indirec"&amp;"t(""C""&amp;row()))&lt;=6),""Final - A3"",
AND(OR(""3x3 FMC""=C81,""3x3 MBLD""=C81),COUNTIF($C$7:indirect(""C""&amp;row()),indirect(""C""&amp;row()))=5,
COUNTIF($C$7:$C$102,indirect(""C""&amp;row()))&gt;6),""R2 - A2"",
AND(OR(""3x3 FMC""=C81,""3x3 MBLD""=C81),COUNTIF($C$7:indi"&amp;"rect(""C""&amp;row()),indirect(""C""&amp;row()))=5,
COUNTIF($C$7:$C$102,indirect(""C""&amp;row()))&lt;=6),""Final - A2"",
AND(OR(""3x3 FMC""=C81,""3x3 MBLD""=C81),COUNTIF($C$7:indirect(""C""&amp;row()),indirect(""C""&amp;row()))=4,
COUNTIF($C$7:$C$102,indirect(""C""&amp;row()))&gt;6),"&amp;"""R2 - A1"",
AND(OR(""3x3 FMC""=C81,""3x3 MBLD""=C81),COUNTIF($C$7:indirect(""C""&amp;row()),indirect(""C""&amp;row()))=4,
COUNTIF($C$7:$C$102,indirect(""C""&amp;row()))&lt;=6),""Final - A1"",
AND(OR(""3x3 FMC""=C81,""3x3 MBLD""=C81),COUNTIF($C$7:indirect(""C""&amp;row()),i"&amp;"ndirect(""C""&amp;row()))=3),""R1 - A3"",
AND(OR(""3x3 FMC""=C81,""3x3 MBLD""=C81),COUNTIF($C$7:indirect(""C""&amp;row()),indirect(""C""&amp;row()))=2),""R1 - A2"",
AND(OR(""3x3 FMC""=C81,""3x3 MBLD""=C81),COUNTIF($C$7:indirect(""C""&amp;row()),indirect(""C""&amp;row()))=1),"&amp;"""R1 -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81, Info!$A$2:A81 = C81),ROUNDUP((FILTER(Info!$H$2:H81,Info!$A$2:A81=C81)/FILTER(Info!$H$2:H81,Info!$A$2:A81=$K$2))*$I$2)&gt;99),3,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81, Info!$A$2:A81 = C81),ROUNDUP((FILTER(Info!$H$2:H81,Info!$A$2:A81=C81)/FILTER(Info!$H$2:H81,Info!$A$2:A81=$K$2))*$I$2)&gt;15),2,
AND(COUNTIF($C$7:indirect(""C""&amp;row()),indirect(""C""&amp;row()))=2,COUNTIF($C$7:$C$102,indirect(""C""&amp;row()))=COUNTIF($"&amp;"C$7:indirect(""C""&amp;row()),indirect(""C""&amp;row()))),""Final"",
COUNTIF($C$7:indirect(""C""&amp;row()),indirect(""C""&amp;row()))=1,1,
COUNTIF($C$7:indirect(""C""&amp;row()),indirect(""C""&amp;row()))=0,"""")"),"")</f>
        <v/>
      </c>
      <c r="F81" s="39" t="str">
        <f>IFERROR(__xludf.DUMMYFUNCTION("IFS(C81="""","""",
AND(C81=""3x3 FMC"",MOD(COUNTIF($C$7:indirect(""C""&amp;row()),indirect(""C""&amp;row())),3)=0),""Mean of 3"",
AND(C81=""3x3 MBLD"",MOD(COUNTIF($C$7:indirect(""C""&amp;row()),indirect(""C""&amp;row())),3)=0),""Best of 3"",
AND(C81=""3x3 FMC"",MOD(COUNT"&amp;"IF($C$7:indirect(""C""&amp;row()),indirect(""C""&amp;row())),3)=2,
COUNTIF($C$7:$C$102,indirect(""C""&amp;row()))&lt;=COUNTIF($C$7:indirect(""C""&amp;row()),indirect(""C""&amp;row()))),""Best of 2"",
AND(C81=""3x3 FMC"",MOD(COUNTIF($C$7:indirect(""C""&amp;row()),indirect(""C""&amp;row("&amp;"))),3)=2,
COUNTIF($C$7:$C$102,indirect(""C""&amp;row()))&gt;COUNTIF($C$7:indirect(""C""&amp;row()),indirect(""C""&amp;row()))),""Mean of 3"",
AND(C81=""3x3 MBLD"",MOD(COUNTIF($C$7:indirect(""C""&amp;row()),indirect(""C""&amp;row())),3)=2,
COUNTIF($C$7:$C$102,indirect(""C""&amp;row("&amp;")))&lt;=COUNTIF($C$7:indirect(""C""&amp;row()),indirect(""C""&amp;row()))),""Best of 2"",
AND(C81=""3x3 MBLD"",MOD(COUNTIF($C$7:indirect(""C""&amp;row()),indirect(""C""&amp;row())),3)=2,
COUNTIF($C$7:$C$102,indirect(""C""&amp;row()))&gt;COUNTIF($C$7:indirect(""C""&amp;row()),indirect("&amp;"""C""&amp;row()))),""Best of 3"",
AND(C81=""3x3 FMC"",MOD(COUNTIF($C$7:indirect(""C""&amp;row()),indirect(""C""&amp;row())),3)=1,
COUNTIF($C$7:$C$102,indirect(""C""&amp;row()))&lt;=COUNTIF($C$7:indirect(""C""&amp;row()),indirect(""C""&amp;row()))),""Best of 1"",
AND(C81=""3x3 FMC"""&amp;",MOD(COUNTIF($C$7:indirect(""C""&amp;row()),indirect(""C""&amp;row())),3)=1,
COUNTIF($C$7:$C$102,indirect(""C""&amp;row()))=COUNTIF($C$7:indirect(""C""&amp;row()),indirect(""C""&amp;row()))+1),""Best of 2"",
AND(C81=""3x3 FMC"",MOD(COUNTIF($C$7:indirect(""C""&amp;row()),indirect"&amp;"(""C""&amp;row())),3)=1,
COUNTIF($C$7:$C$102,indirect(""C""&amp;row()))&gt;COUNTIF($C$7:indirect(""C""&amp;row()),indirect(""C""&amp;row()))),""Mean of 3"",
AND(C81=""3x3 MBLD"",MOD(COUNTIF($C$7:indirect(""C""&amp;row()),indirect(""C""&amp;row())),3)=1,
COUNTIF($C$7:$C$102,indirect"&amp;"(""C""&amp;row()))&lt;=COUNTIF($C$7:indirect(""C""&amp;row()),indirect(""C""&amp;row()))),""Best of 1"",
AND(C81=""3x3 MBLD"",MOD(COUNTIF($C$7:indirect(""C""&amp;row()),indirect(""C""&amp;row())),3)=1,
COUNTIF($C$7:$C$102,indirect(""C""&amp;row()))=COUNTIF($C$7:indirect(""C""&amp;row()"&amp;"),indirect(""C""&amp;row()))+1),""Best of 2"",
AND(C81=""3x3 MBLD"",MOD(COUNTIF($C$7:indirect(""C""&amp;row()),indirect(""C""&amp;row())),3)=1,
COUNTIF($C$7:$C$102,indirect(""C""&amp;row()))&gt;COUNTIF($C$7:indirect(""C""&amp;row()),indirect(""C""&amp;row()))),""Best of 3"",
TRUE,("&amp;"IFERROR(FILTER(Info!$D$2:D81, Info!$A$2:A81 = C81), """")))"),"")</f>
        <v/>
      </c>
      <c r="G81" s="40" t="str">
        <f>IFERROR(__xludf.DUMMYFUNCTION("IFS(OR(COUNTIF(Info!$A$22:A81,C81)&gt;0,C81=""""),"""",
OR(""3x3 MBLD""=C81,""3x3 FMC""=C81),60,
AND(E81=1,FILTER(Info!$F$2:F81, Info!$A$2:A81 = C81) = ""No""),FILTER(Info!$P$2:P81, Info!$A$2:A81 = C81),
AND(E81=2,FILTER(Info!$F$2:F81, Info!$A$2:A81 = C81) ="&amp;" ""No""),FILTER(Info!$Q$2:Q81, Info!$A$2:A81 = C81),
AND(E81=3,FILTER(Info!$F$2:F81, Info!$A$2:A81 = C81) = ""No""),FILTER(Info!$R$2:R81, Info!$A$2:A81 = C81),
AND(E81=""Final"",FILTER(Info!$F$2:F81, Info!$A$2:A81 = C81) = ""No""),FILTER(Info!$S$2:S81, In"&amp;"fo!$A$2:A81 = C81),
FILTER(Info!$F$2:F81, Info!$A$2:A81 = C81) = ""Yes"","""")"),"")</f>
        <v/>
      </c>
      <c r="H81" s="40" t="str">
        <f>IFERROR(__xludf.DUMMYFUNCTION("IFS(OR(COUNTIF(Info!$A$22:A81,C81)&gt;0,C81=""""),"""",
OR(""3x3 MBLD""=C81,""3x3 FMC""=C81)=TRUE,"""",
FILTER(Info!$F$2:F81, Info!$A$2:A81 = C81) = ""Yes"",FILTER(Info!$O$2:O81, Info!$A$2:A81 = C81),
FILTER(Info!$F$2:F81, Info!$A$2:A81 = C81) = ""No"",IF(G8"&amp;"1="""",FILTER(Info!$O$2:O81, Info!$A$2:A81 = C81),""""))"),"")</f>
        <v/>
      </c>
      <c r="I81" s="40" t="str">
        <f>IFERROR(__xludf.DUMMYFUNCTION("IFS(OR(COUNTIF(Info!$A$22:A81,C81)&gt;0,C81="""",H81&lt;&gt;""""),"""",
AND(E81&lt;&gt;1,E81&lt;&gt;""R1 - A1"",E81&lt;&gt;""R1 - A2"",E81&lt;&gt;""R1 - A3""),"""",
FILTER(Info!$E$2:E81, Info!$A$2:A81 = C81) = ""Yes"",IF(H81="""",FILTER(Info!$L$2:L81, Info!$A$2:A81 = C81),""""),
FILTER(I"&amp;"nfo!$E$2:E81, Info!$A$2:A81 = C81) = ""No"","""")"),"")</f>
        <v/>
      </c>
      <c r="J81" s="40" t="str">
        <f>IFERROR(__xludf.DUMMYFUNCTION("IFS(OR(COUNTIF(Info!$A$22:A81,C81)&gt;0,C81="""",""3x3 MBLD""=C81,""3x3 FMC""=C81),"""",
AND(E81=1,FILTER(Info!$H$2:H81,Info!$A$2:A81 = C81)&lt;=FILTER(Info!$H$2:H81,Info!$A$2:A81=$K$2)),
ROUNDUP((FILTER(Info!$H$2:H81,Info!$A$2:A81 = C81)/FILTER(Info!$H$2:H81,I"&amp;"nfo!$A$2:A81=$K$2))*$I$2),
AND(E81=1,FILTER(Info!$H$2:H81,Info!$A$2:A81 = C81)&gt;FILTER(Info!$H$2:H81,Info!$A$2:A81=$K$2)),""K2 - Error"",
AND(E81=2,FILTER($J$7:indirect(""J""&amp;row()-1),$C$7:indirect(""C""&amp;row()-1)=C81)&lt;=7),""J - Error"",
E81=2,FLOOR(FILTER("&amp;"$J$7:indirect(""J""&amp;row()-1),$C$7:indirect(""C""&amp;row()-1)=C81)*Info!$T$32),
AND(E81=3,FILTER($J$7:indirect(""J""&amp;row()-1),$C$7:indirect(""C""&amp;row()-1)=C81)&lt;=15),""J - Error"",
E81=3,FLOOR(Info!$T$32*FLOOR(FILTER($J$7:indirect(""J""&amp;row()-1),$C$7:indirect("&amp;"""C""&amp;row()-1)=C81)*Info!$T$32)),
AND(E81=""Final"",COUNTIF($C$7:$C$102,C81)=2,FILTER($J$7:indirect(""J""&amp;row()-1),$C$7:indirect(""C""&amp;row()-1)=C81)&lt;=7),""J - Error"",
AND(E81=""Final"",COUNTIF($C$7:$C$102,C81)=2),
MIN(P81,FLOOR(FILTER($J$7:indirect(""J"""&amp;"&amp;row()-1),$C$7:indirect(""C""&amp;row()-1)=C81)*Info!$T$32)),
AND(E81=""Final"",COUNTIF($C$7:$C$102,C81)=3,FILTER($J$7:indirect(""J""&amp;row()-1),$C$7:indirect(""C""&amp;row()-1)=C81)&lt;=15),""J - Error"",
AND(E81=""Final"",COUNTIF($C$7:$C$102,C81)=3),
MIN(P81,FLOOR(I"&amp;"nfo!$T$32*FLOOR(FILTER($J$7:indirect(""J""&amp;row()-1),$C$7:indirect(""C""&amp;row()-1)=C81)*Info!$T$32))),
AND(E81=""Final"",COUNTIF($C$7:$C$102,C81)&gt;=4,FILTER($J$7:indirect(""J""&amp;row()-1),$C$7:indirect(""C""&amp;row()-1)=C81)&lt;=99),""J - Error"",
AND(E81=""Final"","&amp;"COUNTIF($C$7:$C$102,C81)&gt;=4),
MIN(P81,FLOOR(Info!$T$32*FLOOR(Info!$T$32*FLOOR(FILTER($J$7:indirect(""J""&amp;row()-1),$C$7:indirect(""C""&amp;row()-1)=C81)*Info!$T$32)))))"),"")</f>
        <v/>
      </c>
      <c r="K81" s="41" t="str">
        <f>IFERROR(__xludf.DUMMYFUNCTION("IFS(AND(indirect(""D""&amp;row()+2)&lt;&gt;$E$2,indirect(""D""&amp;row()+1)=""""),CONCATENATE(""Tom rad! Kopiera hela rad ""&amp;row()&amp;"" dit""),
AND(indirect(""D""&amp;row()-1)&lt;&gt;""Rum"",indirect(""D""&amp;row()-1)=""""),CONCATENATE(""Tom rad! Kopiera hela rad ""&amp;row()&amp;"" dit""),
"&amp;"C81="""","""",
COUNTIF(Info!$A$22:A81,$K$2)&gt;0,""Det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OR(AND(D81&lt;&gt;$E$2,D81&lt;&gt;$E$4,D81&lt;&gt;$K$4,D81&lt;&gt;$Q$4),D81="&amp;"""""),CONCATENATE(""Rum: ""&amp;D81&amp;"" finns ej, byt i D""&amp;row()),
AND(indirect(""D""&amp;row()-1)=""Rum"",C81=""""),CONCATENATE(""För att börja: skriv i cell C""&amp;row()),
AND(C81=""Paus"",M81&lt;=0),CONCATENATE(""Skriv pausens längd i M""&amp;row()),
OR(COUNTIF(Info!$A$"&amp;"22:A81,C81)&gt;0,C81=""""),"""",
AND(D81&lt;&gt;$E$2,$O$2=""Yes"",A81=""=time(hh;mm;ss)""),CONCATENATE(""Skriv starttid för ""&amp;C81&amp;"" i A""&amp;row()),
E81=""E - Error"",CONCATENATE(""För många ""&amp;C81&amp;"" rundor!""),
AND(C81&lt;&gt;""3x3 FMC"",C81&lt;&gt;""3x3 MBLD"",E81&lt;&gt;1,E81&lt;&gt;"&amp;"""Final"",IFERROR(FILTER($E$7:indirect(""E""&amp;row()-1),
$E$7:indirect(""E""&amp;row()-1)=E81-1,$C$7:indirect(""C""&amp;row()-1)=C81))=FALSE),CONCATENATE(""Kan ej vara R""&amp;E81&amp;"", saknar R""&amp;(E81-1)),
AND(indirect(""E""&amp;row()-1)&lt;&gt;""Omgång"",IFERROR(FILTER($E$7:indi"&amp;"rect(""E""&amp;row()-1),
$E$7:indirect(""E""&amp;row()-1)=E81,$C$7:indirect(""C""&amp;row()-1)=C81)=E81)=TRUE),CONCATENATE(""Runda ""&amp;E81&amp;"" i ""&amp;C81&amp;"" finns redan""),
AND(C81&lt;&gt;""3x3 BLD"",C81&lt;&gt;""4x4 BLD"",C81&lt;&gt;""5x5 BLD"",C81&lt;&gt;""4x4 / 5x5 BLD"",OR(E81=2,E81=3,E81="&amp;"""Final""),H81&lt;&gt;""""),CONCATENATE(E81&amp;""-rundor brukar ej ha c.t.l.""),
AND(OR(E81=2,E81=3,E81=""Final""),I81&lt;&gt;""""),CONCATENATE(E81&amp;""-rundor brukar ej ha cutoff""),
AND(OR(C81=""3x3 FMC"",C81=""3x3 MBLD""),OR(E81=1,E81=2,E81=3,E81=""Final"")),CONCATENAT"&amp;"E(C81&amp;""s omgång är Rx - Ax""),
AND(C81&lt;&gt;""3x3 MBLD"",C81&lt;&gt;""3x3 FMC"",FILTER(Info!$D$2:D81, Info!$A$2:A81 = C81)&lt;&gt;F81),CONCATENATE(C81&amp;"" måste ha formatet ""&amp;FILTER(Info!$D$2:D81, Info!$A$2:A81 = C81)),
AND(C81=""3x3 MBLD"",OR(F81=""Avg of 5"",F81=""Mea"&amp;"n of 3"")),CONCATENATE(""Ogiltigt format för ""&amp;C81),
AND(C81=""3x3 FMC"",OR(F81=""Avg of 5"",F81=""Best of 3"")),CONCATENATE(""Ogiltigt format för ""&amp;C81),
AND(OR(F81=""Best of 1"",F81=""Best of 2"",F81=""Best of 3""),I81&lt;&gt;""""),CONCATENATE(F81&amp;""-rundor"&amp;" får ej ha cutoff""),
AND(OR(C81=""3x3 FMC"",C81=""3x3 MBLD""),G81&lt;&gt;60),CONCATENATE(C81&amp;"" måste ha time limit: 60""),
AND(OR(C81=""3x3 FMC"",C81=""3x3 MBLD""),H81&lt;&gt;""""),CONCATENATE(C81&amp;"" kan inte ha c.t.l.""),
AND(G81&lt;&gt;"""",H81&lt;&gt;""""),""Välj time limit"&amp;" ELLER c.t.l"",
AND(C81=""6x6 / 7x7"",G81="""",H81=""""),""Sätt time limit (x / y) eller c.t.l (z)"",
AND(G81="""",H81=""""),""Sätt en time limit eller c.t.l"",
AND(OR(C81=""6x6 / 7x7"",C81=""4x4 / 5x5 BLD""),G81&lt;&gt;"""",REGEXMATCH(TO_TEXT(G81),"" / "")=FAL"&amp;"SE),CONCATENATE(""Time limit måste vara x / y""),
AND(H81&lt;&gt;"""",I81&lt;&gt;""""),CONCATENATE(C81&amp;"" brukar ej ha cutoff OCH c.t.l""),
AND(E81=1,H81="""",I81="""",OR(FILTER(Info!$E$2:E81, Info!$A$2:A81 = C81) = ""Yes"",FILTER(Info!$F$2:F81, Info!$A$2:A81 = C81) "&amp;"= ""Yes""),OR(F81=""Avg of 5"",F81=""Mean of 3"")),CONCATENATE(C81&amp;"" bör ha cutoff eller c.t.l""),
AND(C81=""6x6 / 7x7"",I81&lt;&gt;"""",REGEXMATCH(TO_TEXT(I81),"" / "")=FALSE),CONCATENATE(""Cutoff måste vara x / y""),
AND(H81&lt;&gt;"""",ISNUMBER(H81)=FALSE),""C.t."&amp;"l. måste vara positivt tal (x)"",
AND(C81&lt;&gt;""6x6 / 7x7"",I81&lt;&gt;"""",ISNUMBER(I81)=FALSE),""Cutoff måste vara positivt tal (x)"",
AND(H81&lt;&gt;"""",FILTER(Info!$E$2:E81, Info!$A$2:A81 = C81) = ""No"",FILTER(Info!$F$2:F81, Info!$A$2:A81 = C81) = ""No""),CONCATEN"&amp;"ATE(C81&amp;"" brukar inte ha c.t.l.""),
AND(I81&lt;&gt;"""",FILTER(Info!$E$2:E81, Info!$A$2:A81 = C81) = ""No"",FILTER(Info!$F$2:F81, Info!$A$2:A81 = C81) = ""No""),CONCATENATE(C81&amp;"" brukar inte ha cutoff""),
AND(H81="""",FILTER(Info!$F$2:F81, Info!$A$2:A81 = C81"&amp;") = ""Yes""),CONCATENATE(C81&amp;"" brukar ha c.t.l.""),
AND(C81&lt;&gt;""6x6 / 7x7"",C81&lt;&gt;""4x4 / 5x5 BLD"",G81&lt;&gt;"""",ISNUMBER(G81)=FALSE),""Time limit måste vara positivt tal (x)"",
J81=""J - Error"",CONCATENATE(""För få deltagare i R1 för ""&amp;COUNTIF($C$7:$C$102,"&amp;"indirect(""C""&amp;row()))&amp;"" rundor""),
J81=""K2 - Error"",CONCATENATE(C81&amp;"" är mer populär - byt i K2!""),
AND(C81&lt;&gt;""6x6 / 7x7"",C81&lt;&gt;""4x4 / 5x5 BLD"",G81&lt;&gt;"""",I81&lt;&gt;"""",G81&lt;=I81),""Time limit måste vara &gt; cutoff"",
AND(C81&lt;&gt;""6x6 / 7x7"",C81&lt;&gt;""4x4 / 5"&amp;"x5 BLD"",H81&lt;&gt;"""",I81&lt;&gt;"""",H81&lt;=I81),""C.t.l. måste vara &gt; cutoff"",
AND(C81&lt;&gt;""3x3 FMC"",C81&lt;&gt;""3x3 MBLD"",J81=""""),CONCATENATE(""Fyll i antal deltagare i J""&amp;row()),
AND(C81="""",OR(E81&lt;&gt;"""",F81&lt;&gt;"""",G81&lt;&gt;"""",H81&lt;&gt;"""",I81&lt;&gt;"""",J81&lt;&gt;"""")),""Skri"&amp;"v ALLTID gren / aktivitet först"",
AND(I81="""",H81="""",J81&lt;&gt;""""),J81,
OR(""3x3 FMC""=C81,""3x3 MBLD""=C81),J81,
AND(I81&lt;&gt;"""",""6x6 / 7x7""=C81),
IFS(ArrayFormula(SUM(IFERROR(SPLIT(I81,"" / ""))))&lt;(Info!$J$6+Info!$J$7)*2/3,CONCATENATE(""Höj helst cutof"&amp;"fs i ""&amp;C81),
ArrayFormula(SUM(IFERROR(SPLIT(I81,"" / ""))))&lt;=(Info!$J$6+Info!$J$7),ROUNDUP(J81*Info!$J$22),
ArrayFormula(SUM(IFERROR(SPLIT(I81,"" / ""))))&lt;=Info!$J$6+Info!$J$7,ROUNDUP(J81*Info!$K$22),
ArrayFormula(SUM(IFERROR(SPLIT(I81,"" / ""))))&lt;=Info!"&amp;"$K$6+Info!$K$7,ROUNDUP(J81*Info!L$22),
ArrayFormula(SUM(IFERROR(SPLIT(I81,"" / ""))))&lt;=Info!$L$6+Info!$L$7,ROUNDUP(J81*Info!$M$22),
ArrayFormula(SUM(IFERROR(SPLIT(I81,"" / ""))))&lt;=Info!$M$6+Info!$M$7,ROUNDUP(J81*Info!$N$22),
ArrayFormula(SUM(IFERROR(SPLIT"&amp;"(I81,"" / ""))))&lt;=(Info!$N$6+Info!$N$7)*3/2,ROUNDUP(J81*Info!$J$26),
ArrayFormula(SUM(IFERROR(SPLIT(I81,"" / ""))))&gt;(Info!$N$6+Info!$N$7)*3/2,CONCATENATE(""Sänk helst cutoffs i ""&amp;C81)),
AND(I81&lt;&gt;"""",FILTER(Info!$E$2:E81, Info!$A$2:A81 = C81) = ""Yes""),"&amp;"
IFS(I81&lt;FILTER(Info!$J$2:J81, Info!$A$2:A81 = C81)*2/3,CONCATENATE(""Höj helst cutoff i ""&amp;C81),
I81&lt;=FILTER(Info!$J$2:J81, Info!$A$2:A81 = C81),ROUNDUP(J81*Info!$J$22),
I81&lt;=FILTER(Info!$K$2:K81, Info!$A$2:A81 = C81),ROUNDUP(J81*Info!$K$22),
I81&lt;=FILTER"&amp;"(Info!$L$2:L81, Info!$A$2:A81 = C81),ROUNDUP(J81*Info!L$22),
I81&lt;=FILTER(Info!$M$2:M81, Info!$A$2:A81 = C81),ROUNDUP(J81*Info!$M$22),
I81&lt;=FILTER(Info!$N$2:N81, Info!$A$2:A81 = C81),ROUNDUP(J81*Info!$N$22),
I81&lt;=FILTER(Info!$N$2:N81, Info!$A$2:A81 = C81)*"&amp;"3/2,ROUNDUP(J81*Info!$J$26),
I81&gt;FILTER(Info!$N$2:N81, Info!$A$2:A81 = C81)*3/2,CONCATENATE(""Sänk helst cutoff i ""&amp;C81)),
AND(H81&lt;&gt;"""",""6x6 / 7x7""=C81),
IFS(H81/3&lt;=(Info!$J$6+Info!$J$7)*2/3,""Höj helst cumulative time limit"",
H81/3&lt;=Info!$J$6+Info!$"&amp;"J$7,ROUNDUP(J81*Info!$J$24),
H81/3&lt;=Info!$K$6+Info!$K$7,ROUNDUP(J81*Info!$K$24),
H81/3&lt;=Info!$L$6+Info!$L$7,ROUNDUP(J81*Info!L$24),
H81/3&lt;=Info!$M$6+Info!$M$7,ROUNDUP(J81*Info!$M$24),
H81/3&lt;=Info!$N$6+Info!$N$7,ROUNDUP(J81*Info!$N$24),
H81/3&lt;=(Info!$N$6+I"&amp;"nfo!$N$7)*3/2,ROUNDUP(J81*Info!$L$26),
H81/3&gt;(Info!$J$6+Info!$J$7)*3/2,""Sänk helst cumulative time limit""),
AND(H81&lt;&gt;"""",FILTER(Info!$F$2:F81, Info!$A$2:A81 = C81) = ""Yes""),
IFS(H81&lt;=FILTER(Info!$J$2:J81, Info!$A$2:A81 = C81)*2/3,CONCATENATE(""Höj he"&amp;"lst c.t.l. i ""&amp;C81),
H81&lt;=FILTER(Info!$J$2:J81, Info!$A$2:A81 = C81),ROUNDUP(J81*Info!$J$24),
H81&lt;=FILTER(Info!$K$2:K81, Info!$A$2:A81 = C81),ROUNDUP(J81*Info!$K$24),
H81&lt;=FILTER(Info!$L$2:L81, Info!$A$2:A81 = C81),ROUNDUP(J81*Info!L$24),
H81&lt;=FILTER(Inf"&amp;"o!$M$2:M81, Info!$A$2:A81 = C81),ROUNDUP(J81*Info!$M$24),
H81&lt;=FILTER(Info!$N$2:N81, Info!$A$2:A81 = C81),ROUNDUP(J81*Info!$N$24),
H81&lt;=FILTER(Info!$N$2:N81, Info!$A$2:A81 = C81)*3/2,ROUNDUP(J81*Info!$L$26),
H81&gt;FILTER(Info!$N$2:N81, Info!$A$2:A81 = C81)*"&amp;"3/2,CONCATENATE(""Sänk helst c.t.l. i ""&amp;C81)),
AND(H81&lt;&gt;"""",FILTER(Info!$F$2:F81, Info!$A$2:A81 = C81) = ""No""),
IFS(H81/AA81&lt;=FILTER(Info!$J$2:J81, Info!$A$2:A81 = C81)*2/3,CONCATENATE(""Höj helst c.t.l. i ""&amp;C81),
H81/AA81&lt;=FILTER(Info!$J$2:J81, Info"&amp;"!$A$2:A81 = C81),ROUNDUP(J81*Info!$J$24),
H81/AA81&lt;=FILTER(Info!$K$2:K81, Info!$A$2:A81 = C81),ROUNDUP(J81*Info!$K$24),
H81/AA81&lt;=FILTER(Info!$L$2:L81, Info!$A$2:A81 = C81),ROUNDUP(J81*Info!L$24),
H81/AA81&lt;=FILTER(Info!$M$2:M81, Info!$A$2:A81 = C81),ROUND"&amp;"UP(J81*Info!$M$24),
H81/AA81&lt;=FILTER(Info!$N$2:N81, Info!$A$2:A81 = C81),ROUNDUP(J81*Info!$N$24),
H81/AA81&lt;=FILTER(Info!$N$2:N81, Info!$A$2:A81 = C81)*3/2,ROUNDUP(J81*Info!$L$26),
H81/AA81&gt;FILTER(Info!$N$2:N81, Info!$A$2:A81 = C81)*3/2,CONCATENATE(""Sänk "&amp;"helst c.t.l. i ""&amp;C81)),
AND(I81="""",H81&lt;&gt;"""",J81&lt;&gt;""""),ROUNDUP(J81*Info!$T$29),
AND(I81&lt;&gt;"""",H81="""",J81&lt;&gt;""""),ROUNDUP(J81*Info!$T$26))"),"")</f>
        <v/>
      </c>
      <c r="L81" s="42">
        <f>IFERROR(__xludf.DUMMYFUNCTION("IFS(C81="""",0,
C81=""3x3 FMC"",Info!$B$9*N81+M81, C81=""3x3 MBLD"",Info!$B$18*N81+M81,
COUNTIF(Info!$A$22:A81,C81)&gt;0,FILTER(Info!$B$22:B81,Info!$A$22:A81=C81)+M81,
AND(C81&lt;&gt;"""",E81=""""),CONCATENATE(""Fyll i E""&amp;row()),
AND(C81&lt;&gt;"""",E81&lt;&gt;"""",E81&lt;&gt;1,E8"&amp;"1&lt;&gt;2,E81&lt;&gt;3,E81&lt;&gt;""Final""),CONCATENATE(""Fel format på E""&amp;row()),
K81=CONCATENATE(""Runda ""&amp;E81&amp;"" i ""&amp;C81&amp;"" finns redan""),CONCATENATE(""Fel i E""&amp;row()),
AND(C81&lt;&gt;"""",F81=""""),CONCATENATE(""Fyll i F""&amp;row()),
K81=CONCATENATE(C81&amp;"" måste ha forma"&amp;"tet ""&amp;FILTER(Info!$D$2:D81, Info!$A$2:A81 = C81)),CONCATENATE(""Fel format på F""&amp;row()),
AND(C81&lt;&gt;"""",D81=1,H81="""",FILTER(Info!$F$2:F81, Info!$A$2:A81 = C81) = ""Yes""),CONCATENATE(""Fyll i H""&amp;row()),
AND(C81&lt;&gt;"""",D81=1,I81="""",FILTER(Info!$E$2:E8"&amp;"1, Info!$A$2:A81 = C81) = ""Yes""),CONCATENATE(""Fyll i I""&amp;row()),
AND(C81&lt;&gt;"""",J81=""""),CONCATENATE(""Fyll i J""&amp;row()),
AND(C81&lt;&gt;"""",K81="""",OR(H81&lt;&gt;"""",I81&lt;&gt;"""")),CONCATENATE(""Fyll i K""&amp;row()),
AND(C81&lt;&gt;"""",K81=""""),CONCATENATE(""Skriv samma"&amp;" i K""&amp;row()&amp;"" som i J""&amp;row()),
AND(OR(C81=""4x4 BLD"",C81=""5x5 BLD"",C81=""4x4 / 5x5 BLD"")=TRUE,V81&lt;=P81),
MROUND(H81*(Info!$T$20-((Info!$T$20-1)/2)*(1-V81/P81))*(1+((J81/K81)-1)*(1-Info!$J$24))*N81+(Info!$T$11/2)+(N81*Info!$T$11)+(N81*Info!$T$14*(O8"&amp;"1-1)),0.01)+M81,
AND(OR(C81=""4x4 BLD"",C81=""5x5 BLD"",C81=""4x4 / 5x5 BLD"")=TRUE,V81&gt;P81),
MROUND((((J81*Z81+K81*(AA81-Z81))*(H81*Info!$T$20/AA81))/X81)*(1+((J81/K81)-1)*(1-Info!$J$24))*(1+(X81-Info!$T$8)/100)+(Info!$T$11/2)+(N81*Info!$T$11)+(N81*Info!"&amp;"$T$14*(O81-1)),0.01)+M81,
AND(C81=""3x3 BLD"",V81&lt;=P81),
MROUND(H81*(Info!$T$23-((Info!$T$23-1)/2)*(1-V81/P81))*(1+((J81/K81)-1)*(1-Info!$J$24))*N81+(Info!$T$11/2)+(N81*Info!$T$11)+(N81*Info!$T$14*(O81-1)),0.01)+M81,
AND(C81=""3x3 BLD"",V81&gt;P81),
MROUND(("&amp;"((J81*Z81+K81*(AA81-Z81))*(H81*Info!$T$23/AA81))/X81)*(1+((J81/K81)-1)*(1-Info!$J$24))*(1+(X81-Info!$T$8)/100)+(Info!$T$11/2)+(N81*Info!$T$11)+(N81*Info!$T$14*(O81-1)),0.01)+M81,
E81=1,MROUND((((J81*Z81+K81*(AA81-Z81))*Y81)/X81)*(1+(X81-Info!$T$8)/100)+(N"&amp;"81*Info!$T$11)+(N81*Info!$T$14*(O81-1)),0.01)+M81,
AND(E81=""Final"",N81=1,FILTER(Info!$G$2:$G$20,Info!$A$2:$A$20=C81)=""Mycket svår""),
MROUND((((J81*Z81+K81*(AA81-Z81))*(Y81*Info!$T$38))/X81)*(1+(X81-Info!$T$8)/100)+(N81*Info!$T$11)+(N81*Info!$T$14*(O81"&amp;"-1)),0.01)+M81,
AND(E81=""Final"",N81=1,FILTER(Info!$G$2:$G$20,Info!$A$2:$A$20=C81)=""Svår""),
MROUND((((J81*Z81+K81*(AA81-Z81))*(Y81*Info!$T$35))/X81)*(1+(X81-Info!$T$8)/100)+(N81*Info!$T$11)+(N81*Info!$T$14*(O81-1)),0.01)+M81,
E81=""Final"",MROUND((((J8"&amp;"1*Z81+K81*(AA81-Z81))*(Y81*Info!$T$5))/X81)*(1+(X81-Info!$T$8)/100)+(N81*Info!$T$11)+(N81*Info!$T$14*(O81-1)),0.01)+M81,
OR(E81=2,E81=3),MROUND((((J81*Z81+K81*(AA81-Z81))*(Y81*Info!$T$2))/X81)*(1+(X81-Info!$T$8)/100)+(N81*Info!$T$11)+(N81*Info!$T$14*(O81-"&amp;"1)),0.01)+M81)"),0.0)</f>
        <v>0</v>
      </c>
      <c r="M81" s="43">
        <f t="shared" si="9"/>
        <v>0</v>
      </c>
      <c r="N81" s="43" t="str">
        <f>IFS(OR(COUNTIF(Info!$A$22:A81,C81)&gt;0,C81=""),"",
OR(C81="4x4 BLD",C81="5x5 BLD",C81="3x3 MBLD",C81="3x3 FMC",C81="4x4 / 5x5 BLD"),1,
AND(E81="Final",Q81="Yes",MAX(1,ROUNDUP(J81/P81))&gt;1),MAX(2,ROUNDUP(J81/P81)),
AND(E81="Final",Q81="No",MAX(1,ROUNDUP(J81/((P81*2)+2.625-Y81*1.5)))&gt;1),MAX(2,ROUNDUP(J81/((P81*2)+2.625-Y81*1.5))),
E81="Final",1,
Q81="Yes",MAX(2,ROUNDUP(J81/P81)),
TRUE,MAX(2,ROUNDUP(J81/((P81*2)+2.625-Y81*1.5))))</f>
        <v/>
      </c>
      <c r="O81" s="43" t="str">
        <f>IFS(OR(COUNTIF(Info!$A$22:A81,C81)&gt;0,C81=""),"",
OR("3x3 MBLD"=C81,"3x3 FMC"=C81)=TRUE,"",
D81=$E$4,$G$6,D81=$K$4,$M$6,D81=$Q$4,$S$6,D81=$W$4,$Y$6,
TRUE,$S$2)</f>
        <v/>
      </c>
      <c r="P81" s="43" t="str">
        <f>IFS(OR(COUNTIF(Info!$A$22:A81,C81)&gt;0,C81=""),"",
OR("3x3 MBLD"=C81,"3x3 FMC"=C81)=TRUE,"",
D81=$E$4,$E$6,D81=$K$4,$K$6,D81=$Q$4,$Q$6,D81=$W$4,$W$6,
TRUE,$Q$2)</f>
        <v/>
      </c>
      <c r="Q81" s="44" t="str">
        <f>IFS(OR(COUNTIF(Info!$A$22:A81,C81)&gt;0,C81=""),"",
OR("3x3 MBLD"=C81,"3x3 FMC"=C81)=TRUE,"",
D81=$E$4,$I$6,D81=$K$4,$O$6,D81=$Q$4,$U$6,D81=$W$4,$AA$6,
TRUE,$U$2)</f>
        <v/>
      </c>
      <c r="R81" s="45" t="str">
        <f>IFERROR(__xludf.DUMMYFUNCTION("IF(C81="""","""",IFERROR(FILTER(Info!$B$22:B81,Info!$A$22:A81=C81)+M81,""?""))"),"")</f>
        <v/>
      </c>
      <c r="S81" s="46" t="str">
        <f>IFS(OR(COUNTIF(Info!$A$22:A81,C81)&gt;0,C81=""),"",
AND(H81="",I81=""),J81,
TRUE,"?")</f>
        <v/>
      </c>
      <c r="T81" s="45" t="str">
        <f>IFS(OR(COUNTIF(Info!$A$22:A81,C81)&gt;0,C81=""),"",
AND(L81&lt;&gt;0,OR(R81="?",R81="")),"Fyll i R-kolumnen",
OR(C81="3x3 FMC",C81="3x3 MBLD"),R81,
AND(L81&lt;&gt;0,OR(S81="?",S81="")),"Fyll i S-kolumnen",
OR(COUNTIF(Info!$A$22:A81,C81)&gt;0,C81=""),"",
TRUE,Y81*R81/L81)</f>
        <v/>
      </c>
      <c r="U81" s="45"/>
      <c r="V81" s="47" t="str">
        <f>IFS(OR(COUNTIF(Info!$A$22:A81,C81)&gt;0,C81=""),"",
OR("3x3 MBLD"=C81,"3x3 FMC"=C81)=TRUE,"",
TRUE,MROUND((J81/N81),0.01))</f>
        <v/>
      </c>
      <c r="W81" s="48" t="str">
        <f>IFS(OR(COUNTIF(Info!$A$22:A81,C81)&gt;0,C81=""),"",
TRUE,L81/N81)</f>
        <v/>
      </c>
      <c r="X81" s="49" t="str">
        <f>IFS(OR(COUNTIF(Info!$A$22:A81,C81)&gt;0,C81=""),"",
OR("3x3 MBLD"=C81,"3x3 FMC"=C81)=TRUE,"",
OR(C81="4x4 BLD",C81="5x5 BLD",C81="4x4 / 5x5 BLD",AND(C81="3x3 BLD",H81&lt;&gt;""))=TRUE,MIN(V81,P81),
TRUE,MIN(P81,V81,MROUND(((V81*2/3)+((Y81-1.625)/2)),0.01)))</f>
        <v/>
      </c>
      <c r="Y81" s="48" t="str">
        <f>IFERROR(__xludf.DUMMYFUNCTION("IFS(OR(COUNTIF(Info!$A$22:A81,C81)&gt;0,C81=""""),"""",
FILTER(Info!$F$2:F81, Info!$A$2:A81 = C81) = ""Yes"",H81/AA81,
""3x3 FMC""=C81,Info!$B$9,""3x3 MBLD""=C81,Info!$B$18,
AND(E81=1,I81="""",H81="""",Q81=""No"",G81&gt;SUMIF(Info!$A$2:A81,C81,Info!$B$2:B81)*1."&amp;"5),
MIN(SUMIF(Info!$A$2:A81,C81,Info!$B$2:B81)*1.1,SUMIF(Info!$A$2:A81,C81,Info!$B$2:B81)*(1.15-(0.15*(SUMIF(Info!$A$2:A81,C81,Info!$B$2:B81)*1.5)/G81))),
AND(E81=1,I81="""",H81="""",Q81=""Yes"",G81&gt;SUMIF(Info!$A$2:A81,C81,Info!$C$2:C81)*1.5),
MIN(SUMIF(I"&amp;"nfo!$A$2:A81,C81,Info!$C$2:C81)*1.1,SUMIF(Info!$A$2:A81,C81,Info!$C$2:C81)*(1.15-(0.15*(SUMIF(Info!$A$2:A81,C81,Info!$C$2:C81)*1.5)/G81))),
Q81=""No"",SUMIF(Info!$A$2:A81,C81,Info!$B$2:B81),
Q81=""Yes"",SUMIF(Info!$A$2:A81,C81,Info!$C$2:C81))"),"")</f>
        <v/>
      </c>
      <c r="Z81" s="47" t="str">
        <f>IFS(OR(COUNTIF(Info!$A$22:A81,C81)&gt;0,C81=""),"",
AND(OR("3x3 FMC"=C81,"3x3 MBLD"=C81),I81&lt;&gt;""),1,
AND(OR(H81&lt;&gt;"",I81&lt;&gt;""),F81="Avg of 5"),2,
F81="Avg of 5",AA81,
AND(OR(H81&lt;&gt;"",I81&lt;&gt;""),F81="Mean of 3",C81="6x6 / 7x7"),2,
AND(OR(H81&lt;&gt;"",I81&lt;&gt;""),F81="Mean of 3"),1,
F81="Mean of 3",AA81,
AND(OR(H81&lt;&gt;"",I81&lt;&gt;""),F81="Best of 3",C81="4x4 / 5x5 BLD"),2,
AND(OR(H81&lt;&gt;"",I81&lt;&gt;""),F81="Best of 3"),1,
F81="Best of 2",AA81,
F81="Best of 1",AA81)</f>
        <v/>
      </c>
      <c r="AA81" s="47" t="str">
        <f>IFS(OR(COUNTIF(Info!$A$22:A81,C81)&gt;0,C81=""),"",
AND(OR("3x3 MBLD"=C81,"3x3 FMC"=C81),F81="Best of 1"=TRUE),1,
AND(OR("3x3 MBLD"=C81,"3x3 FMC"=C81),F81="Best of 2"=TRUE),2,
AND(OR("3x3 MBLD"=C81,"3x3 FMC"=C81),OR(F81="Best of 3",F81="Mean of 3")=TRUE),3,
AND(F81="Mean of 3",C81="6x6 / 7x7"),6,
AND(F81="Best of 3",C81="4x4 / 5x5 BLD"),6,
F81="Avg of 5",5,F81="Mean of 3",3,F81="Best of 3",3,F81="Best of 2",2,F81="Best of 1",1)</f>
        <v/>
      </c>
      <c r="AB81" s="50"/>
    </row>
    <row r="82" ht="15.75" customHeight="1">
      <c r="A82" s="35">
        <f>IFERROR(__xludf.DUMMYFUNCTION("IFS(indirect(""A""&amp;row()-1)=""Start"",TIME(indirect(""A""&amp;row()-2),indirect(""B""&amp;row()-2),0),
$O$2=""No"",TIME(0,($A$6*60+$B$6)+CEILING(SUM($L$7:indirect(""L""&amp;row()-1)),5),0),
D82=$E$2,TIME(0,($A$6*60+$B$6)+CEILING(SUM(IFERROR(FILTER($L$7:indirect(""L"""&amp;"&amp;row()-1),REGEXMATCH($D$7:indirect(""D""&amp;row()-1),$E$2)),0)),5),0),
TRUE,""=time(hh;mm;ss)"")"),0.3541666666666665)</f>
        <v>0.3541666667</v>
      </c>
      <c r="B82" s="36">
        <f>IFERROR(__xludf.DUMMYFUNCTION("IFS($O$2=""No"",TIME(0,($A$6*60+$B$6)+CEILING(SUM($L$7:indirect(""L""&amp;row())),5),0),
D82=$E$2,TIME(0,($A$6*60+$B$6)+CEILING(SUM(FILTER($L$7:indirect(""L""&amp;row()),REGEXMATCH($D$7:indirect(""D""&amp;row()),$E$2))),5),0),
A82=""=time(hh;mm;ss)"",CONCATENATE(""Sk"&amp;"riv tid i A""&amp;row()),
AND(A82&lt;&gt;"""",A82&lt;&gt;""=time(hh;mm;ss)""),A82+TIME(0,CEILING(indirect(""L""&amp;row()),5),0))"),0.3541666666666665)</f>
        <v>0.3541666667</v>
      </c>
      <c r="C82" s="37"/>
      <c r="D82" s="38" t="str">
        <f t="shared" si="8"/>
        <v>Stora salen</v>
      </c>
      <c r="E82" s="38" t="str">
        <f>IFERROR(__xludf.DUMMYFUNCTION("IFS(COUNTIF(Info!$A$22:A82,C82)&gt;0,"""",
AND(OR(""3x3 FMC""=C82,""3x3 MBLD""=C82),COUNTIF($C$7:indirect(""C""&amp;row()),indirect(""C""&amp;row()))&gt;=13),""E - Error"",
AND(OR(""3x3 FMC""=C82,""3x3 MBLD""=C82),COUNTIF($C$7:indirect(""C""&amp;row()),indirect(""C""&amp;row()"&amp;"))=12),""Final - A3"",
AND(OR(""3x3 FMC""=C82,""3x3 MBLD""=C82),COUNTIF($C$7:indirect(""C""&amp;row()),indirect(""C""&amp;row()))=11),""Final - A2"",
AND(OR(""3x3 FMC""=C82,""3x3 MBLD""=C82),COUNTIF($C$7:indirect(""C""&amp;row()),indirect(""C""&amp;row()))=10),""Final - "&amp;"A1"",
AND(OR(""3x3 FMC""=C82,""3x3 MBLD""=C82),COUNTIF($C$7:indirect(""C""&amp;row()),indirect(""C""&amp;row()))=9,
COUNTIF($C$7:$C$102,indirect(""C""&amp;row()))&gt;9),""R3 - A3"",
AND(OR(""3x3 FMC""=C82,""3x3 MBLD""=C82),COUNTIF($C$7:indirect(""C""&amp;row()),indirect(""C"&amp;"""&amp;row()))=9,
COUNTIF($C$7:$C$102,indirect(""C""&amp;row()))&lt;=9),""Final - A3"",
AND(OR(""3x3 FMC""=C82,""3x3 MBLD""=C82),COUNTIF($C$7:indirect(""C""&amp;row()),indirect(""C""&amp;row()))=8,
COUNTIF($C$7:$C$102,indirect(""C""&amp;row()))&gt;9),""R3 - A2"",
AND(OR(""3x3 FMC"&amp;"""=C82,""3x3 MBLD""=C82),COUNTIF($C$7:indirect(""C""&amp;row()),indirect(""C""&amp;row()))=8,
COUNTIF($C$7:$C$102,indirect(""C""&amp;row()))&lt;=9),""Final - A2"",
AND(OR(""3x3 FMC""=C82,""3x3 MBLD""=C82),COUNTIF($C$7:indirect(""C""&amp;row()),indirect(""C""&amp;row()))=7,
COUN"&amp;"TIF($C$7:$C$102,indirect(""C""&amp;row()))&gt;9),""R3 - A1"",
AND(OR(""3x3 FMC""=C82,""3x3 MBLD""=C82),COUNTIF($C$7:indirect(""C""&amp;row()),indirect(""C""&amp;row()))=7,
COUNTIF($C$7:$C$102,indirect(""C""&amp;row()))&lt;=9),""Final - A1"",
AND(OR(""3x3 FMC""=C82,""3x3 MBLD"""&amp;"=C82),COUNTIF($C$7:indirect(""C""&amp;row()),indirect(""C""&amp;row()))=6,
COUNTIF($C$7:$C$102,indirect(""C""&amp;row()))&gt;6),""R2 - A3"",
AND(OR(""3x3 FMC""=C82,""3x3 MBLD""=C82),COUNTIF($C$7:indirect(""C""&amp;row()),indirect(""C""&amp;row()))=6,
COUNTIF($C$7:$C$102,indirec"&amp;"t(""C""&amp;row()))&lt;=6),""Final - A3"",
AND(OR(""3x3 FMC""=C82,""3x3 MBLD""=C82),COUNTIF($C$7:indirect(""C""&amp;row()),indirect(""C""&amp;row()))=5,
COUNTIF($C$7:$C$102,indirect(""C""&amp;row()))&gt;6),""R2 - A2"",
AND(OR(""3x3 FMC""=C82,""3x3 MBLD""=C82),COUNTIF($C$7:indi"&amp;"rect(""C""&amp;row()),indirect(""C""&amp;row()))=5,
COUNTIF($C$7:$C$102,indirect(""C""&amp;row()))&lt;=6),""Final - A2"",
AND(OR(""3x3 FMC""=C82,""3x3 MBLD""=C82),COUNTIF($C$7:indirect(""C""&amp;row()),indirect(""C""&amp;row()))=4,
COUNTIF($C$7:$C$102,indirect(""C""&amp;row()))&gt;6),"&amp;"""R2 - A1"",
AND(OR(""3x3 FMC""=C82,""3x3 MBLD""=C82),COUNTIF($C$7:indirect(""C""&amp;row()),indirect(""C""&amp;row()))=4,
COUNTIF($C$7:$C$102,indirect(""C""&amp;row()))&lt;=6),""Final - A1"",
AND(OR(""3x3 FMC""=C82,""3x3 MBLD""=C82),COUNTIF($C$7:indirect(""C""&amp;row()),i"&amp;"ndirect(""C""&amp;row()))=3),""R1 - A3"",
AND(OR(""3x3 FMC""=C82,""3x3 MBLD""=C82),COUNTIF($C$7:indirect(""C""&amp;row()),indirect(""C""&amp;row()))=2),""R1 - A2"",
AND(OR(""3x3 FMC""=C82,""3x3 MBLD""=C82),COUNTIF($C$7:indirect(""C""&amp;row()),indirect(""C""&amp;row()))=1),"&amp;"""R1 -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82, Info!$A$2:A82 = C82),ROUNDUP((FILTER(Info!$H$2:H82,Info!$A$2:A82=C82)/FILTER(Info!$H$2:H82,Info!$A$2:A82=$K$2))*$I$2)&gt;99),3,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82, Info!$A$2:A82 = C82),ROUNDUP((FILTER(Info!$H$2:H82,Info!$A$2:A82=C82)/FILTER(Info!$H$2:H82,Info!$A$2:A82=$K$2))*$I$2)&gt;15),2,
AND(COUNTIF($C$7:indirect(""C""&amp;row()),indirect(""C""&amp;row()))=2,COUNTIF($C$7:$C$102,indirect(""C""&amp;row()))=COUNTIF($"&amp;"C$7:indirect(""C""&amp;row()),indirect(""C""&amp;row()))),""Final"",
COUNTIF($C$7:indirect(""C""&amp;row()),indirect(""C""&amp;row()))=1,1,
COUNTIF($C$7:indirect(""C""&amp;row()),indirect(""C""&amp;row()))=0,"""")"),"")</f>
        <v/>
      </c>
      <c r="F82" s="39" t="str">
        <f>IFERROR(__xludf.DUMMYFUNCTION("IFS(C82="""","""",
AND(C82=""3x3 FMC"",MOD(COUNTIF($C$7:indirect(""C""&amp;row()),indirect(""C""&amp;row())),3)=0),""Mean of 3"",
AND(C82=""3x3 MBLD"",MOD(COUNTIF($C$7:indirect(""C""&amp;row()),indirect(""C""&amp;row())),3)=0),""Best of 3"",
AND(C82=""3x3 FMC"",MOD(COUNT"&amp;"IF($C$7:indirect(""C""&amp;row()),indirect(""C""&amp;row())),3)=2,
COUNTIF($C$7:$C$102,indirect(""C""&amp;row()))&lt;=COUNTIF($C$7:indirect(""C""&amp;row()),indirect(""C""&amp;row()))),""Best of 2"",
AND(C82=""3x3 FMC"",MOD(COUNTIF($C$7:indirect(""C""&amp;row()),indirect(""C""&amp;row("&amp;"))),3)=2,
COUNTIF($C$7:$C$102,indirect(""C""&amp;row()))&gt;COUNTIF($C$7:indirect(""C""&amp;row()),indirect(""C""&amp;row()))),""Mean of 3"",
AND(C82=""3x3 MBLD"",MOD(COUNTIF($C$7:indirect(""C""&amp;row()),indirect(""C""&amp;row())),3)=2,
COUNTIF($C$7:$C$102,indirect(""C""&amp;row("&amp;")))&lt;=COUNTIF($C$7:indirect(""C""&amp;row()),indirect(""C""&amp;row()))),""Best of 2"",
AND(C82=""3x3 MBLD"",MOD(COUNTIF($C$7:indirect(""C""&amp;row()),indirect(""C""&amp;row())),3)=2,
COUNTIF($C$7:$C$102,indirect(""C""&amp;row()))&gt;COUNTIF($C$7:indirect(""C""&amp;row()),indirect("&amp;"""C""&amp;row()))),""Best of 3"",
AND(C82=""3x3 FMC"",MOD(COUNTIF($C$7:indirect(""C""&amp;row()),indirect(""C""&amp;row())),3)=1,
COUNTIF($C$7:$C$102,indirect(""C""&amp;row()))&lt;=COUNTIF($C$7:indirect(""C""&amp;row()),indirect(""C""&amp;row()))),""Best of 1"",
AND(C82=""3x3 FMC"""&amp;",MOD(COUNTIF($C$7:indirect(""C""&amp;row()),indirect(""C""&amp;row())),3)=1,
COUNTIF($C$7:$C$102,indirect(""C""&amp;row()))=COUNTIF($C$7:indirect(""C""&amp;row()),indirect(""C""&amp;row()))+1),""Best of 2"",
AND(C82=""3x3 FMC"",MOD(COUNTIF($C$7:indirect(""C""&amp;row()),indirect"&amp;"(""C""&amp;row())),3)=1,
COUNTIF($C$7:$C$102,indirect(""C""&amp;row()))&gt;COUNTIF($C$7:indirect(""C""&amp;row()),indirect(""C""&amp;row()))),""Mean of 3"",
AND(C82=""3x3 MBLD"",MOD(COUNTIF($C$7:indirect(""C""&amp;row()),indirect(""C""&amp;row())),3)=1,
COUNTIF($C$7:$C$102,indirect"&amp;"(""C""&amp;row()))&lt;=COUNTIF($C$7:indirect(""C""&amp;row()),indirect(""C""&amp;row()))),""Best of 1"",
AND(C82=""3x3 MBLD"",MOD(COUNTIF($C$7:indirect(""C""&amp;row()),indirect(""C""&amp;row())),3)=1,
COUNTIF($C$7:$C$102,indirect(""C""&amp;row()))=COUNTIF($C$7:indirect(""C""&amp;row()"&amp;"),indirect(""C""&amp;row()))+1),""Best of 2"",
AND(C82=""3x3 MBLD"",MOD(COUNTIF($C$7:indirect(""C""&amp;row()),indirect(""C""&amp;row())),3)=1,
COUNTIF($C$7:$C$102,indirect(""C""&amp;row()))&gt;COUNTIF($C$7:indirect(""C""&amp;row()),indirect(""C""&amp;row()))),""Best of 3"",
TRUE,("&amp;"IFERROR(FILTER(Info!$D$2:D82, Info!$A$2:A82 = C82), """")))"),"")</f>
        <v/>
      </c>
      <c r="G82" s="40" t="str">
        <f>IFERROR(__xludf.DUMMYFUNCTION("IFS(OR(COUNTIF(Info!$A$22:A82,C82)&gt;0,C82=""""),"""",
OR(""3x3 MBLD""=C82,""3x3 FMC""=C82),60,
AND(E82=1,FILTER(Info!$F$2:F82, Info!$A$2:A82 = C82) = ""No""),FILTER(Info!$P$2:P82, Info!$A$2:A82 = C82),
AND(E82=2,FILTER(Info!$F$2:F82, Info!$A$2:A82 = C82) ="&amp;" ""No""),FILTER(Info!$Q$2:Q82, Info!$A$2:A82 = C82),
AND(E82=3,FILTER(Info!$F$2:F82, Info!$A$2:A82 = C82) = ""No""),FILTER(Info!$R$2:R82, Info!$A$2:A82 = C82),
AND(E82=""Final"",FILTER(Info!$F$2:F82, Info!$A$2:A82 = C82) = ""No""),FILTER(Info!$S$2:S82, In"&amp;"fo!$A$2:A82 = C82),
FILTER(Info!$F$2:F82, Info!$A$2:A82 = C82) = ""Yes"","""")"),"")</f>
        <v/>
      </c>
      <c r="H82" s="40" t="str">
        <f>IFERROR(__xludf.DUMMYFUNCTION("IFS(OR(COUNTIF(Info!$A$22:A82,C82)&gt;0,C82=""""),"""",
OR(""3x3 MBLD""=C82,""3x3 FMC""=C82)=TRUE,"""",
FILTER(Info!$F$2:F82, Info!$A$2:A82 = C82) = ""Yes"",FILTER(Info!$O$2:O82, Info!$A$2:A82 = C82),
FILTER(Info!$F$2:F82, Info!$A$2:A82 = C82) = ""No"",IF(G8"&amp;"2="""",FILTER(Info!$O$2:O82, Info!$A$2:A82 = C82),""""))"),"")</f>
        <v/>
      </c>
      <c r="I82" s="40" t="str">
        <f>IFERROR(__xludf.DUMMYFUNCTION("IFS(OR(COUNTIF(Info!$A$22:A82,C82)&gt;0,C82="""",H82&lt;&gt;""""),"""",
AND(E82&lt;&gt;1,E82&lt;&gt;""R1 - A1"",E82&lt;&gt;""R1 - A2"",E82&lt;&gt;""R1 - A3""),"""",
FILTER(Info!$E$2:E82, Info!$A$2:A82 = C82) = ""Yes"",IF(H82="""",FILTER(Info!$L$2:L82, Info!$A$2:A82 = C82),""""),
FILTER(I"&amp;"nfo!$E$2:E82, Info!$A$2:A82 = C82) = ""No"","""")"),"")</f>
        <v/>
      </c>
      <c r="J82" s="40" t="str">
        <f>IFERROR(__xludf.DUMMYFUNCTION("IFS(OR(COUNTIF(Info!$A$22:A82,C82)&gt;0,C82="""",""3x3 MBLD""=C82,""3x3 FMC""=C82),"""",
AND(E82=1,FILTER(Info!$H$2:H82,Info!$A$2:A82 = C82)&lt;=FILTER(Info!$H$2:H82,Info!$A$2:A82=$K$2)),
ROUNDUP((FILTER(Info!$H$2:H82,Info!$A$2:A82 = C82)/FILTER(Info!$H$2:H82,I"&amp;"nfo!$A$2:A82=$K$2))*$I$2),
AND(E82=1,FILTER(Info!$H$2:H82,Info!$A$2:A82 = C82)&gt;FILTER(Info!$H$2:H82,Info!$A$2:A82=$K$2)),""K2 - Error"",
AND(E82=2,FILTER($J$7:indirect(""J""&amp;row()-1),$C$7:indirect(""C""&amp;row()-1)=C82)&lt;=7),""J - Error"",
E82=2,FLOOR(FILTER("&amp;"$J$7:indirect(""J""&amp;row()-1),$C$7:indirect(""C""&amp;row()-1)=C82)*Info!$T$32),
AND(E82=3,FILTER($J$7:indirect(""J""&amp;row()-1),$C$7:indirect(""C""&amp;row()-1)=C82)&lt;=15),""J - Error"",
E82=3,FLOOR(Info!$T$32*FLOOR(FILTER($J$7:indirect(""J""&amp;row()-1),$C$7:indirect("&amp;"""C""&amp;row()-1)=C82)*Info!$T$32)),
AND(E82=""Final"",COUNTIF($C$7:$C$102,C82)=2,FILTER($J$7:indirect(""J""&amp;row()-1),$C$7:indirect(""C""&amp;row()-1)=C82)&lt;=7),""J - Error"",
AND(E82=""Final"",COUNTIF($C$7:$C$102,C82)=2),
MIN(P82,FLOOR(FILTER($J$7:indirect(""J"""&amp;"&amp;row()-1),$C$7:indirect(""C""&amp;row()-1)=C82)*Info!$T$32)),
AND(E82=""Final"",COUNTIF($C$7:$C$102,C82)=3,FILTER($J$7:indirect(""J""&amp;row()-1),$C$7:indirect(""C""&amp;row()-1)=C82)&lt;=15),""J - Error"",
AND(E82=""Final"",COUNTIF($C$7:$C$102,C82)=3),
MIN(P82,FLOOR(I"&amp;"nfo!$T$32*FLOOR(FILTER($J$7:indirect(""J""&amp;row()-1),$C$7:indirect(""C""&amp;row()-1)=C82)*Info!$T$32))),
AND(E82=""Final"",COUNTIF($C$7:$C$102,C82)&gt;=4,FILTER($J$7:indirect(""J""&amp;row()-1),$C$7:indirect(""C""&amp;row()-1)=C82)&lt;=99),""J - Error"",
AND(E82=""Final"","&amp;"COUNTIF($C$7:$C$102,C82)&gt;=4),
MIN(P82,FLOOR(Info!$T$32*FLOOR(Info!$T$32*FLOOR(FILTER($J$7:indirect(""J""&amp;row()-1),$C$7:indirect(""C""&amp;row()-1)=C82)*Info!$T$32)))))"),"")</f>
        <v/>
      </c>
      <c r="K82" s="41" t="str">
        <f>IFERROR(__xludf.DUMMYFUNCTION("IFS(AND(indirect(""D""&amp;row()+2)&lt;&gt;$E$2,indirect(""D""&amp;row()+1)=""""),CONCATENATE(""Tom rad! Kopiera hela rad ""&amp;row()&amp;"" dit""),
AND(indirect(""D""&amp;row()-1)&lt;&gt;""Rum"",indirect(""D""&amp;row()-1)=""""),CONCATENATE(""Tom rad! Kopiera hela rad ""&amp;row()&amp;"" dit""),
"&amp;"C82="""","""",
COUNTIF(Info!$A$22:A82,$K$2)&gt;0,""Det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OR(AND(D82&lt;&gt;$E$2,D82&lt;&gt;$E$4,D82&lt;&gt;$K$4,D82&lt;&gt;$Q$4),D82="&amp;"""""),CONCATENATE(""Rum: ""&amp;D82&amp;"" finns ej, byt i D""&amp;row()),
AND(indirect(""D""&amp;row()-1)=""Rum"",C82=""""),CONCATENATE(""För att börja: skriv i cell C""&amp;row()),
AND(C82=""Paus"",M82&lt;=0),CONCATENATE(""Skriv pausens längd i M""&amp;row()),
OR(COUNTIF(Info!$A$"&amp;"22:A82,C82)&gt;0,C82=""""),"""",
AND(D82&lt;&gt;$E$2,$O$2=""Yes"",A82=""=time(hh;mm;ss)""),CONCATENATE(""Skriv starttid för ""&amp;C82&amp;"" i A""&amp;row()),
E82=""E - Error"",CONCATENATE(""För många ""&amp;C82&amp;"" rundor!""),
AND(C82&lt;&gt;""3x3 FMC"",C82&lt;&gt;""3x3 MBLD"",E82&lt;&gt;1,E82&lt;&gt;"&amp;"""Final"",IFERROR(FILTER($E$7:indirect(""E""&amp;row()-1),
$E$7:indirect(""E""&amp;row()-1)=E82-1,$C$7:indirect(""C""&amp;row()-1)=C82))=FALSE),CONCATENATE(""Kan ej vara R""&amp;E82&amp;"", saknar R""&amp;(E82-1)),
AND(indirect(""E""&amp;row()-1)&lt;&gt;""Omgång"",IFERROR(FILTER($E$7:indi"&amp;"rect(""E""&amp;row()-1),
$E$7:indirect(""E""&amp;row()-1)=E82,$C$7:indirect(""C""&amp;row()-1)=C82)=E82)=TRUE),CONCATENATE(""Runda ""&amp;E82&amp;"" i ""&amp;C82&amp;"" finns redan""),
AND(C82&lt;&gt;""3x3 BLD"",C82&lt;&gt;""4x4 BLD"",C82&lt;&gt;""5x5 BLD"",C82&lt;&gt;""4x4 / 5x5 BLD"",OR(E82=2,E82=3,E82="&amp;"""Final""),H82&lt;&gt;""""),CONCATENATE(E82&amp;""-rundor brukar ej ha c.t.l.""),
AND(OR(E82=2,E82=3,E82=""Final""),I82&lt;&gt;""""),CONCATENATE(E82&amp;""-rundor brukar ej ha cutoff""),
AND(OR(C82=""3x3 FMC"",C82=""3x3 MBLD""),OR(E82=1,E82=2,E82=3,E82=""Final"")),CONCATENAT"&amp;"E(C82&amp;""s omgång är Rx - Ax""),
AND(C82&lt;&gt;""3x3 MBLD"",C82&lt;&gt;""3x3 FMC"",FILTER(Info!$D$2:D82, Info!$A$2:A82 = C82)&lt;&gt;F82),CONCATENATE(C82&amp;"" måste ha formatet ""&amp;FILTER(Info!$D$2:D82, Info!$A$2:A82 = C82)),
AND(C82=""3x3 MBLD"",OR(F82=""Avg of 5"",F82=""Mea"&amp;"n of 3"")),CONCATENATE(""Ogiltigt format för ""&amp;C82),
AND(C82=""3x3 FMC"",OR(F82=""Avg of 5"",F82=""Best of 3"")),CONCATENATE(""Ogiltigt format för ""&amp;C82),
AND(OR(F82=""Best of 1"",F82=""Best of 2"",F82=""Best of 3""),I82&lt;&gt;""""),CONCATENATE(F82&amp;""-rundor"&amp;" får ej ha cutoff""),
AND(OR(C82=""3x3 FMC"",C82=""3x3 MBLD""),G82&lt;&gt;60),CONCATENATE(C82&amp;"" måste ha time limit: 60""),
AND(OR(C82=""3x3 FMC"",C82=""3x3 MBLD""),H82&lt;&gt;""""),CONCATENATE(C82&amp;"" kan inte ha c.t.l.""),
AND(G82&lt;&gt;"""",H82&lt;&gt;""""),""Välj time limit"&amp;" ELLER c.t.l"",
AND(C82=""6x6 / 7x7"",G82="""",H82=""""),""Sätt time limit (x / y) eller c.t.l (z)"",
AND(G82="""",H82=""""),""Sätt en time limit eller c.t.l"",
AND(OR(C82=""6x6 / 7x7"",C82=""4x4 / 5x5 BLD""),G82&lt;&gt;"""",REGEXMATCH(TO_TEXT(G82),"" / "")=FAL"&amp;"SE),CONCATENATE(""Time limit måste vara x / y""),
AND(H82&lt;&gt;"""",I82&lt;&gt;""""),CONCATENATE(C82&amp;"" brukar ej ha cutoff OCH c.t.l""),
AND(E82=1,H82="""",I82="""",OR(FILTER(Info!$E$2:E82, Info!$A$2:A82 = C82) = ""Yes"",FILTER(Info!$F$2:F82, Info!$A$2:A82 = C82) "&amp;"= ""Yes""),OR(F82=""Avg of 5"",F82=""Mean of 3"")),CONCATENATE(C82&amp;"" bör ha cutoff eller c.t.l""),
AND(C82=""6x6 / 7x7"",I82&lt;&gt;"""",REGEXMATCH(TO_TEXT(I82),"" / "")=FALSE),CONCATENATE(""Cutoff måste vara x / y""),
AND(H82&lt;&gt;"""",ISNUMBER(H82)=FALSE),""C.t."&amp;"l. måste vara positivt tal (x)"",
AND(C82&lt;&gt;""6x6 / 7x7"",I82&lt;&gt;"""",ISNUMBER(I82)=FALSE),""Cutoff måste vara positivt tal (x)"",
AND(H82&lt;&gt;"""",FILTER(Info!$E$2:E82, Info!$A$2:A82 = C82) = ""No"",FILTER(Info!$F$2:F82, Info!$A$2:A82 = C82) = ""No""),CONCATEN"&amp;"ATE(C82&amp;"" brukar inte ha c.t.l.""),
AND(I82&lt;&gt;"""",FILTER(Info!$E$2:E82, Info!$A$2:A82 = C82) = ""No"",FILTER(Info!$F$2:F82, Info!$A$2:A82 = C82) = ""No""),CONCATENATE(C82&amp;"" brukar inte ha cutoff""),
AND(H82="""",FILTER(Info!$F$2:F82, Info!$A$2:A82 = C82"&amp;") = ""Yes""),CONCATENATE(C82&amp;"" brukar ha c.t.l.""),
AND(C82&lt;&gt;""6x6 / 7x7"",C82&lt;&gt;""4x4 / 5x5 BLD"",G82&lt;&gt;"""",ISNUMBER(G82)=FALSE),""Time limit måste vara positivt tal (x)"",
J82=""J - Error"",CONCATENATE(""För få deltagare i R1 för ""&amp;COUNTIF($C$7:$C$102,"&amp;"indirect(""C""&amp;row()))&amp;"" rundor""),
J82=""K2 - Error"",CONCATENATE(C82&amp;"" är mer populär - byt i K2!""),
AND(C82&lt;&gt;""6x6 / 7x7"",C82&lt;&gt;""4x4 / 5x5 BLD"",G82&lt;&gt;"""",I82&lt;&gt;"""",G82&lt;=I82),""Time limit måste vara &gt; cutoff"",
AND(C82&lt;&gt;""6x6 / 7x7"",C82&lt;&gt;""4x4 / 5"&amp;"x5 BLD"",H82&lt;&gt;"""",I82&lt;&gt;"""",H82&lt;=I82),""C.t.l. måste vara &gt; cutoff"",
AND(C82&lt;&gt;""3x3 FMC"",C82&lt;&gt;""3x3 MBLD"",J82=""""),CONCATENATE(""Fyll i antal deltagare i J""&amp;row()),
AND(C82="""",OR(E82&lt;&gt;"""",F82&lt;&gt;"""",G82&lt;&gt;"""",H82&lt;&gt;"""",I82&lt;&gt;"""",J82&lt;&gt;"""")),""Skri"&amp;"v ALLTID gren / aktivitet först"",
AND(I82="""",H82="""",J82&lt;&gt;""""),J82,
OR(""3x3 FMC""=C82,""3x3 MBLD""=C82),J82,
AND(I82&lt;&gt;"""",""6x6 / 7x7""=C82),
IFS(ArrayFormula(SUM(IFERROR(SPLIT(I82,"" / ""))))&lt;(Info!$J$6+Info!$J$7)*2/3,CONCATENATE(""Höj helst cutof"&amp;"fs i ""&amp;C82),
ArrayFormula(SUM(IFERROR(SPLIT(I82,"" / ""))))&lt;=(Info!$J$6+Info!$J$7),ROUNDUP(J82*Info!$J$22),
ArrayFormula(SUM(IFERROR(SPLIT(I82,"" / ""))))&lt;=Info!$J$6+Info!$J$7,ROUNDUP(J82*Info!$K$22),
ArrayFormula(SUM(IFERROR(SPLIT(I82,"" / ""))))&lt;=Info!"&amp;"$K$6+Info!$K$7,ROUNDUP(J82*Info!L$22),
ArrayFormula(SUM(IFERROR(SPLIT(I82,"" / ""))))&lt;=Info!$L$6+Info!$L$7,ROUNDUP(J82*Info!$M$22),
ArrayFormula(SUM(IFERROR(SPLIT(I82,"" / ""))))&lt;=Info!$M$6+Info!$M$7,ROUNDUP(J82*Info!$N$22),
ArrayFormula(SUM(IFERROR(SPLIT"&amp;"(I82,"" / ""))))&lt;=(Info!$N$6+Info!$N$7)*3/2,ROUNDUP(J82*Info!$J$26),
ArrayFormula(SUM(IFERROR(SPLIT(I82,"" / ""))))&gt;(Info!$N$6+Info!$N$7)*3/2,CONCATENATE(""Sänk helst cutoffs i ""&amp;C82)),
AND(I82&lt;&gt;"""",FILTER(Info!$E$2:E82, Info!$A$2:A82 = C82) = ""Yes""),"&amp;"
IFS(I82&lt;FILTER(Info!$J$2:J82, Info!$A$2:A82 = C82)*2/3,CONCATENATE(""Höj helst cutoff i ""&amp;C82),
I82&lt;=FILTER(Info!$J$2:J82, Info!$A$2:A82 = C82),ROUNDUP(J82*Info!$J$22),
I82&lt;=FILTER(Info!$K$2:K82, Info!$A$2:A82 = C82),ROUNDUP(J82*Info!$K$22),
I82&lt;=FILTER"&amp;"(Info!$L$2:L82, Info!$A$2:A82 = C82),ROUNDUP(J82*Info!L$22),
I82&lt;=FILTER(Info!$M$2:M82, Info!$A$2:A82 = C82),ROUNDUP(J82*Info!$M$22),
I82&lt;=FILTER(Info!$N$2:N82, Info!$A$2:A82 = C82),ROUNDUP(J82*Info!$N$22),
I82&lt;=FILTER(Info!$N$2:N82, Info!$A$2:A82 = C82)*"&amp;"3/2,ROUNDUP(J82*Info!$J$26),
I82&gt;FILTER(Info!$N$2:N82, Info!$A$2:A82 = C82)*3/2,CONCATENATE(""Sänk helst cutoff i ""&amp;C82)),
AND(H82&lt;&gt;"""",""6x6 / 7x7""=C82),
IFS(H82/3&lt;=(Info!$J$6+Info!$J$7)*2/3,""Höj helst cumulative time limit"",
H82/3&lt;=Info!$J$6+Info!$"&amp;"J$7,ROUNDUP(J82*Info!$J$24),
H82/3&lt;=Info!$K$6+Info!$K$7,ROUNDUP(J82*Info!$K$24),
H82/3&lt;=Info!$L$6+Info!$L$7,ROUNDUP(J82*Info!L$24),
H82/3&lt;=Info!$M$6+Info!$M$7,ROUNDUP(J82*Info!$M$24),
H82/3&lt;=Info!$N$6+Info!$N$7,ROUNDUP(J82*Info!$N$24),
H82/3&lt;=(Info!$N$6+I"&amp;"nfo!$N$7)*3/2,ROUNDUP(J82*Info!$L$26),
H82/3&gt;(Info!$J$6+Info!$J$7)*3/2,""Sänk helst cumulative time limit""),
AND(H82&lt;&gt;"""",FILTER(Info!$F$2:F82, Info!$A$2:A82 = C82) = ""Yes""),
IFS(H82&lt;=FILTER(Info!$J$2:J82, Info!$A$2:A82 = C82)*2/3,CONCATENATE(""Höj he"&amp;"lst c.t.l. i ""&amp;C82),
H82&lt;=FILTER(Info!$J$2:J82, Info!$A$2:A82 = C82),ROUNDUP(J82*Info!$J$24),
H82&lt;=FILTER(Info!$K$2:K82, Info!$A$2:A82 = C82),ROUNDUP(J82*Info!$K$24),
H82&lt;=FILTER(Info!$L$2:L82, Info!$A$2:A82 = C82),ROUNDUP(J82*Info!L$24),
H82&lt;=FILTER(Inf"&amp;"o!$M$2:M82, Info!$A$2:A82 = C82),ROUNDUP(J82*Info!$M$24),
H82&lt;=FILTER(Info!$N$2:N82, Info!$A$2:A82 = C82),ROUNDUP(J82*Info!$N$24),
H82&lt;=FILTER(Info!$N$2:N82, Info!$A$2:A82 = C82)*3/2,ROUNDUP(J82*Info!$L$26),
H82&gt;FILTER(Info!$N$2:N82, Info!$A$2:A82 = C82)*"&amp;"3/2,CONCATENATE(""Sänk helst c.t.l. i ""&amp;C82)),
AND(H82&lt;&gt;"""",FILTER(Info!$F$2:F82, Info!$A$2:A82 = C82) = ""No""),
IFS(H82/AA82&lt;=FILTER(Info!$J$2:J82, Info!$A$2:A82 = C82)*2/3,CONCATENATE(""Höj helst c.t.l. i ""&amp;C82),
H82/AA82&lt;=FILTER(Info!$J$2:J82, Info"&amp;"!$A$2:A82 = C82),ROUNDUP(J82*Info!$J$24),
H82/AA82&lt;=FILTER(Info!$K$2:K82, Info!$A$2:A82 = C82),ROUNDUP(J82*Info!$K$24),
H82/AA82&lt;=FILTER(Info!$L$2:L82, Info!$A$2:A82 = C82),ROUNDUP(J82*Info!L$24),
H82/AA82&lt;=FILTER(Info!$M$2:M82, Info!$A$2:A82 = C82),ROUND"&amp;"UP(J82*Info!$M$24),
H82/AA82&lt;=FILTER(Info!$N$2:N82, Info!$A$2:A82 = C82),ROUNDUP(J82*Info!$N$24),
H82/AA82&lt;=FILTER(Info!$N$2:N82, Info!$A$2:A82 = C82)*3/2,ROUNDUP(J82*Info!$L$26),
H82/AA82&gt;FILTER(Info!$N$2:N82, Info!$A$2:A82 = C82)*3/2,CONCATENATE(""Sänk "&amp;"helst c.t.l. i ""&amp;C82)),
AND(I82="""",H82&lt;&gt;"""",J82&lt;&gt;""""),ROUNDUP(J82*Info!$T$29),
AND(I82&lt;&gt;"""",H82="""",J82&lt;&gt;""""),ROUNDUP(J82*Info!$T$26))"),"")</f>
        <v/>
      </c>
      <c r="L82" s="42">
        <f>IFERROR(__xludf.DUMMYFUNCTION("IFS(C82="""",0,
C82=""3x3 FMC"",Info!$B$9*N82+M82, C82=""3x3 MBLD"",Info!$B$18*N82+M82,
COUNTIF(Info!$A$22:A82,C82)&gt;0,FILTER(Info!$B$22:B82,Info!$A$22:A82=C82)+M82,
AND(C82&lt;&gt;"""",E82=""""),CONCATENATE(""Fyll i E""&amp;row()),
AND(C82&lt;&gt;"""",E82&lt;&gt;"""",E82&lt;&gt;1,E8"&amp;"2&lt;&gt;2,E82&lt;&gt;3,E82&lt;&gt;""Final""),CONCATENATE(""Fel format på E""&amp;row()),
K82=CONCATENATE(""Runda ""&amp;E82&amp;"" i ""&amp;C82&amp;"" finns redan""),CONCATENATE(""Fel i E""&amp;row()),
AND(C82&lt;&gt;"""",F82=""""),CONCATENATE(""Fyll i F""&amp;row()),
K82=CONCATENATE(C82&amp;"" måste ha forma"&amp;"tet ""&amp;FILTER(Info!$D$2:D82, Info!$A$2:A82 = C82)),CONCATENATE(""Fel format på F""&amp;row()),
AND(C82&lt;&gt;"""",D82=1,H82="""",FILTER(Info!$F$2:F82, Info!$A$2:A82 = C82) = ""Yes""),CONCATENATE(""Fyll i H""&amp;row()),
AND(C82&lt;&gt;"""",D82=1,I82="""",FILTER(Info!$E$2:E8"&amp;"2, Info!$A$2:A82 = C82) = ""Yes""),CONCATENATE(""Fyll i I""&amp;row()),
AND(C82&lt;&gt;"""",J82=""""),CONCATENATE(""Fyll i J""&amp;row()),
AND(C82&lt;&gt;"""",K82="""",OR(H82&lt;&gt;"""",I82&lt;&gt;"""")),CONCATENATE(""Fyll i K""&amp;row()),
AND(C82&lt;&gt;"""",K82=""""),CONCATENATE(""Skriv samma"&amp;" i K""&amp;row()&amp;"" som i J""&amp;row()),
AND(OR(C82=""4x4 BLD"",C82=""5x5 BLD"",C82=""4x4 / 5x5 BLD"")=TRUE,V82&lt;=P82),
MROUND(H82*(Info!$T$20-((Info!$T$20-1)/2)*(1-V82/P82))*(1+((J82/K82)-1)*(1-Info!$J$24))*N82+(Info!$T$11/2)+(N82*Info!$T$11)+(N82*Info!$T$14*(O8"&amp;"2-1)),0.01)+M82,
AND(OR(C82=""4x4 BLD"",C82=""5x5 BLD"",C82=""4x4 / 5x5 BLD"")=TRUE,V82&gt;P82),
MROUND((((J82*Z82+K82*(AA82-Z82))*(H82*Info!$T$20/AA82))/X82)*(1+((J82/K82)-1)*(1-Info!$J$24))*(1+(X82-Info!$T$8)/100)+(Info!$T$11/2)+(N82*Info!$T$11)+(N82*Info!"&amp;"$T$14*(O82-1)),0.01)+M82,
AND(C82=""3x3 BLD"",V82&lt;=P82),
MROUND(H82*(Info!$T$23-((Info!$T$23-1)/2)*(1-V82/P82))*(1+((J82/K82)-1)*(1-Info!$J$24))*N82+(Info!$T$11/2)+(N82*Info!$T$11)+(N82*Info!$T$14*(O82-1)),0.01)+M82,
AND(C82=""3x3 BLD"",V82&gt;P82),
MROUND(("&amp;"((J82*Z82+K82*(AA82-Z82))*(H82*Info!$T$23/AA82))/X82)*(1+((J82/K82)-1)*(1-Info!$J$24))*(1+(X82-Info!$T$8)/100)+(Info!$T$11/2)+(N82*Info!$T$11)+(N82*Info!$T$14*(O82-1)),0.01)+M82,
E82=1,MROUND((((J82*Z82+K82*(AA82-Z82))*Y82)/X82)*(1+(X82-Info!$T$8)/100)+(N"&amp;"82*Info!$T$11)+(N82*Info!$T$14*(O82-1)),0.01)+M82,
AND(E82=""Final"",N82=1,FILTER(Info!$G$2:$G$20,Info!$A$2:$A$20=C82)=""Mycket svår""),
MROUND((((J82*Z82+K82*(AA82-Z82))*(Y82*Info!$T$38))/X82)*(1+(X82-Info!$T$8)/100)+(N82*Info!$T$11)+(N82*Info!$T$14*(O82"&amp;"-1)),0.01)+M82,
AND(E82=""Final"",N82=1,FILTER(Info!$G$2:$G$20,Info!$A$2:$A$20=C82)=""Svår""),
MROUND((((J82*Z82+K82*(AA82-Z82))*(Y82*Info!$T$35))/X82)*(1+(X82-Info!$T$8)/100)+(N82*Info!$T$11)+(N82*Info!$T$14*(O82-1)),0.01)+M82,
E82=""Final"",MROUND((((J8"&amp;"2*Z82+K82*(AA82-Z82))*(Y82*Info!$T$5))/X82)*(1+(X82-Info!$T$8)/100)+(N82*Info!$T$11)+(N82*Info!$T$14*(O82-1)),0.01)+M82,
OR(E82=2,E82=3),MROUND((((J82*Z82+K82*(AA82-Z82))*(Y82*Info!$T$2))/X82)*(1+(X82-Info!$T$8)/100)+(N82*Info!$T$11)+(N82*Info!$T$14*(O82-"&amp;"1)),0.01)+M82)"),0.0)</f>
        <v>0</v>
      </c>
      <c r="M82" s="43">
        <f t="shared" si="9"/>
        <v>0</v>
      </c>
      <c r="N82" s="43" t="str">
        <f>IFS(OR(COUNTIF(Info!$A$22:A82,C82)&gt;0,C82=""),"",
OR(C82="4x4 BLD",C82="5x5 BLD",C82="3x3 MBLD",C82="3x3 FMC",C82="4x4 / 5x5 BLD"),1,
AND(E82="Final",Q82="Yes",MAX(1,ROUNDUP(J82/P82))&gt;1),MAX(2,ROUNDUP(J82/P82)),
AND(E82="Final",Q82="No",MAX(1,ROUNDUP(J82/((P82*2)+2.625-Y82*1.5)))&gt;1),MAX(2,ROUNDUP(J82/((P82*2)+2.625-Y82*1.5))),
E82="Final",1,
Q82="Yes",MAX(2,ROUNDUP(J82/P82)),
TRUE,MAX(2,ROUNDUP(J82/((P82*2)+2.625-Y82*1.5))))</f>
        <v/>
      </c>
      <c r="O82" s="43" t="str">
        <f>IFS(OR(COUNTIF(Info!$A$22:A82,C82)&gt;0,C82=""),"",
OR("3x3 MBLD"=C82,"3x3 FMC"=C82)=TRUE,"",
D82=$E$4,$G$6,D82=$K$4,$M$6,D82=$Q$4,$S$6,D82=$W$4,$Y$6,
TRUE,$S$2)</f>
        <v/>
      </c>
      <c r="P82" s="43" t="str">
        <f>IFS(OR(COUNTIF(Info!$A$22:A82,C82)&gt;0,C82=""),"",
OR("3x3 MBLD"=C82,"3x3 FMC"=C82)=TRUE,"",
D82=$E$4,$E$6,D82=$K$4,$K$6,D82=$Q$4,$Q$6,D82=$W$4,$W$6,
TRUE,$Q$2)</f>
        <v/>
      </c>
      <c r="Q82" s="44" t="str">
        <f>IFS(OR(COUNTIF(Info!$A$22:A82,C82)&gt;0,C82=""),"",
OR("3x3 MBLD"=C82,"3x3 FMC"=C82)=TRUE,"",
D82=$E$4,$I$6,D82=$K$4,$O$6,D82=$Q$4,$U$6,D82=$W$4,$AA$6,
TRUE,$U$2)</f>
        <v/>
      </c>
      <c r="R82" s="45" t="str">
        <f>IFERROR(__xludf.DUMMYFUNCTION("IF(C82="""","""",IFERROR(FILTER(Info!$B$22:B82,Info!$A$22:A82=C82)+M82,""?""))"),"")</f>
        <v/>
      </c>
      <c r="S82" s="46" t="str">
        <f>IFS(OR(COUNTIF(Info!$A$22:A82,C82)&gt;0,C82=""),"",
AND(H82="",I82=""),J82,
TRUE,"?")</f>
        <v/>
      </c>
      <c r="T82" s="45" t="str">
        <f>IFS(OR(COUNTIF(Info!$A$22:A82,C82)&gt;0,C82=""),"",
AND(L82&lt;&gt;0,OR(R82="?",R82="")),"Fyll i R-kolumnen",
OR(C82="3x3 FMC",C82="3x3 MBLD"),R82,
AND(L82&lt;&gt;0,OR(S82="?",S82="")),"Fyll i S-kolumnen",
OR(COUNTIF(Info!$A$22:A82,C82)&gt;0,C82=""),"",
TRUE,Y82*R82/L82)</f>
        <v/>
      </c>
      <c r="U82" s="45"/>
      <c r="V82" s="47" t="str">
        <f>IFS(OR(COUNTIF(Info!$A$22:A82,C82)&gt;0,C82=""),"",
OR("3x3 MBLD"=C82,"3x3 FMC"=C82)=TRUE,"",
TRUE,MROUND((J82/N82),0.01))</f>
        <v/>
      </c>
      <c r="W82" s="48" t="str">
        <f>IFS(OR(COUNTIF(Info!$A$22:A82,C82)&gt;0,C82=""),"",
TRUE,L82/N82)</f>
        <v/>
      </c>
      <c r="X82" s="49" t="str">
        <f>IFS(OR(COUNTIF(Info!$A$22:A82,C82)&gt;0,C82=""),"",
OR("3x3 MBLD"=C82,"3x3 FMC"=C82)=TRUE,"",
OR(C82="4x4 BLD",C82="5x5 BLD",C82="4x4 / 5x5 BLD",AND(C82="3x3 BLD",H82&lt;&gt;""))=TRUE,MIN(V82,P82),
TRUE,MIN(P82,V82,MROUND(((V82*2/3)+((Y82-1.625)/2)),0.01)))</f>
        <v/>
      </c>
      <c r="Y82" s="48" t="str">
        <f>IFERROR(__xludf.DUMMYFUNCTION("IFS(OR(COUNTIF(Info!$A$22:A82,C82)&gt;0,C82=""""),"""",
FILTER(Info!$F$2:F82, Info!$A$2:A82 = C82) = ""Yes"",H82/AA82,
""3x3 FMC""=C82,Info!$B$9,""3x3 MBLD""=C82,Info!$B$18,
AND(E82=1,I82="""",H82="""",Q82=""No"",G82&gt;SUMIF(Info!$A$2:A82,C82,Info!$B$2:B82)*1."&amp;"5),
MIN(SUMIF(Info!$A$2:A82,C82,Info!$B$2:B82)*1.1,SUMIF(Info!$A$2:A82,C82,Info!$B$2:B82)*(1.15-(0.15*(SUMIF(Info!$A$2:A82,C82,Info!$B$2:B82)*1.5)/G82))),
AND(E82=1,I82="""",H82="""",Q82=""Yes"",G82&gt;SUMIF(Info!$A$2:A82,C82,Info!$C$2:C82)*1.5),
MIN(SUMIF(I"&amp;"nfo!$A$2:A82,C82,Info!$C$2:C82)*1.1,SUMIF(Info!$A$2:A82,C82,Info!$C$2:C82)*(1.15-(0.15*(SUMIF(Info!$A$2:A82,C82,Info!$C$2:C82)*1.5)/G82))),
Q82=""No"",SUMIF(Info!$A$2:A82,C82,Info!$B$2:B82),
Q82=""Yes"",SUMIF(Info!$A$2:A82,C82,Info!$C$2:C82))"),"")</f>
        <v/>
      </c>
      <c r="Z82" s="47" t="str">
        <f>IFS(OR(COUNTIF(Info!$A$22:A82,C82)&gt;0,C82=""),"",
AND(OR("3x3 FMC"=C82,"3x3 MBLD"=C82),I82&lt;&gt;""),1,
AND(OR(H82&lt;&gt;"",I82&lt;&gt;""),F82="Avg of 5"),2,
F82="Avg of 5",AA82,
AND(OR(H82&lt;&gt;"",I82&lt;&gt;""),F82="Mean of 3",C82="6x6 / 7x7"),2,
AND(OR(H82&lt;&gt;"",I82&lt;&gt;""),F82="Mean of 3"),1,
F82="Mean of 3",AA82,
AND(OR(H82&lt;&gt;"",I82&lt;&gt;""),F82="Best of 3",C82="4x4 / 5x5 BLD"),2,
AND(OR(H82&lt;&gt;"",I82&lt;&gt;""),F82="Best of 3"),1,
F82="Best of 2",AA82,
F82="Best of 1",AA82)</f>
        <v/>
      </c>
      <c r="AA82" s="47" t="str">
        <f>IFS(OR(COUNTIF(Info!$A$22:A82,C82)&gt;0,C82=""),"",
AND(OR("3x3 MBLD"=C82,"3x3 FMC"=C82),F82="Best of 1"=TRUE),1,
AND(OR("3x3 MBLD"=C82,"3x3 FMC"=C82),F82="Best of 2"=TRUE),2,
AND(OR("3x3 MBLD"=C82,"3x3 FMC"=C82),OR(F82="Best of 3",F82="Mean of 3")=TRUE),3,
AND(F82="Mean of 3",C82="6x6 / 7x7"),6,
AND(F82="Best of 3",C82="4x4 / 5x5 BLD"),6,
F82="Avg of 5",5,F82="Mean of 3",3,F82="Best of 3",3,F82="Best of 2",2,F82="Best of 1",1)</f>
        <v/>
      </c>
      <c r="AB82" s="50"/>
    </row>
    <row r="83" ht="15.75" customHeight="1">
      <c r="A83" s="35">
        <f>IFERROR(__xludf.DUMMYFUNCTION("IFS(indirect(""A""&amp;row()-1)=""Start"",TIME(indirect(""A""&amp;row()-2),indirect(""B""&amp;row()-2),0),
$O$2=""No"",TIME(0,($A$6*60+$B$6)+CEILING(SUM($L$7:indirect(""L""&amp;row()-1)),5),0),
D83=$E$2,TIME(0,($A$6*60+$B$6)+CEILING(SUM(IFERROR(FILTER($L$7:indirect(""L"""&amp;"&amp;row()-1),REGEXMATCH($D$7:indirect(""D""&amp;row()-1),$E$2)),0)),5),0),
TRUE,""=time(hh;mm;ss)"")"),0.3541666666666665)</f>
        <v>0.3541666667</v>
      </c>
      <c r="B83" s="36">
        <f>IFERROR(__xludf.DUMMYFUNCTION("IFS($O$2=""No"",TIME(0,($A$6*60+$B$6)+CEILING(SUM($L$7:indirect(""L""&amp;row())),5),0),
D83=$E$2,TIME(0,($A$6*60+$B$6)+CEILING(SUM(FILTER($L$7:indirect(""L""&amp;row()),REGEXMATCH($D$7:indirect(""D""&amp;row()),$E$2))),5),0),
A83=""=time(hh;mm;ss)"",CONCATENATE(""Sk"&amp;"riv tid i A""&amp;row()),
AND(A83&lt;&gt;"""",A83&lt;&gt;""=time(hh;mm;ss)""),A83+TIME(0,CEILING(indirect(""L""&amp;row()),5),0))"),0.3541666666666665)</f>
        <v>0.3541666667</v>
      </c>
      <c r="C83" s="37"/>
      <c r="D83" s="38" t="str">
        <f t="shared" si="8"/>
        <v>Stora salen</v>
      </c>
      <c r="E83" s="38" t="str">
        <f>IFERROR(__xludf.DUMMYFUNCTION("IFS(COUNTIF(Info!$A$22:A83,C83)&gt;0,"""",
AND(OR(""3x3 FMC""=C83,""3x3 MBLD""=C83),COUNTIF($C$7:indirect(""C""&amp;row()),indirect(""C""&amp;row()))&gt;=13),""E - Error"",
AND(OR(""3x3 FMC""=C83,""3x3 MBLD""=C83),COUNTIF($C$7:indirect(""C""&amp;row()),indirect(""C""&amp;row()"&amp;"))=12),""Final - A3"",
AND(OR(""3x3 FMC""=C83,""3x3 MBLD""=C83),COUNTIF($C$7:indirect(""C""&amp;row()),indirect(""C""&amp;row()))=11),""Final - A2"",
AND(OR(""3x3 FMC""=C83,""3x3 MBLD""=C83),COUNTIF($C$7:indirect(""C""&amp;row()),indirect(""C""&amp;row()))=10),""Final - "&amp;"A1"",
AND(OR(""3x3 FMC""=C83,""3x3 MBLD""=C83),COUNTIF($C$7:indirect(""C""&amp;row()),indirect(""C""&amp;row()))=9,
COUNTIF($C$7:$C$102,indirect(""C""&amp;row()))&gt;9),""R3 - A3"",
AND(OR(""3x3 FMC""=C83,""3x3 MBLD""=C83),COUNTIF($C$7:indirect(""C""&amp;row()),indirect(""C"&amp;"""&amp;row()))=9,
COUNTIF($C$7:$C$102,indirect(""C""&amp;row()))&lt;=9),""Final - A3"",
AND(OR(""3x3 FMC""=C83,""3x3 MBLD""=C83),COUNTIF($C$7:indirect(""C""&amp;row()),indirect(""C""&amp;row()))=8,
COUNTIF($C$7:$C$102,indirect(""C""&amp;row()))&gt;9),""R3 - A2"",
AND(OR(""3x3 FMC"&amp;"""=C83,""3x3 MBLD""=C83),COUNTIF($C$7:indirect(""C""&amp;row()),indirect(""C""&amp;row()))=8,
COUNTIF($C$7:$C$102,indirect(""C""&amp;row()))&lt;=9),""Final - A2"",
AND(OR(""3x3 FMC""=C83,""3x3 MBLD""=C83),COUNTIF($C$7:indirect(""C""&amp;row()),indirect(""C""&amp;row()))=7,
COUN"&amp;"TIF($C$7:$C$102,indirect(""C""&amp;row()))&gt;9),""R3 - A1"",
AND(OR(""3x3 FMC""=C83,""3x3 MBLD""=C83),COUNTIF($C$7:indirect(""C""&amp;row()),indirect(""C""&amp;row()))=7,
COUNTIF($C$7:$C$102,indirect(""C""&amp;row()))&lt;=9),""Final - A1"",
AND(OR(""3x3 FMC""=C83,""3x3 MBLD"""&amp;"=C83),COUNTIF($C$7:indirect(""C""&amp;row()),indirect(""C""&amp;row()))=6,
COUNTIF($C$7:$C$102,indirect(""C""&amp;row()))&gt;6),""R2 - A3"",
AND(OR(""3x3 FMC""=C83,""3x3 MBLD""=C83),COUNTIF($C$7:indirect(""C""&amp;row()),indirect(""C""&amp;row()))=6,
COUNTIF($C$7:$C$102,indirec"&amp;"t(""C""&amp;row()))&lt;=6),""Final - A3"",
AND(OR(""3x3 FMC""=C83,""3x3 MBLD""=C83),COUNTIF($C$7:indirect(""C""&amp;row()),indirect(""C""&amp;row()))=5,
COUNTIF($C$7:$C$102,indirect(""C""&amp;row()))&gt;6),""R2 - A2"",
AND(OR(""3x3 FMC""=C83,""3x3 MBLD""=C83),COUNTIF($C$7:indi"&amp;"rect(""C""&amp;row()),indirect(""C""&amp;row()))=5,
COUNTIF($C$7:$C$102,indirect(""C""&amp;row()))&lt;=6),""Final - A2"",
AND(OR(""3x3 FMC""=C83,""3x3 MBLD""=C83),COUNTIF($C$7:indirect(""C""&amp;row()),indirect(""C""&amp;row()))=4,
COUNTIF($C$7:$C$102,indirect(""C""&amp;row()))&gt;6),"&amp;"""R2 - A1"",
AND(OR(""3x3 FMC""=C83,""3x3 MBLD""=C83),COUNTIF($C$7:indirect(""C""&amp;row()),indirect(""C""&amp;row()))=4,
COUNTIF($C$7:$C$102,indirect(""C""&amp;row()))&lt;=6),""Final - A1"",
AND(OR(""3x3 FMC""=C83,""3x3 MBLD""=C83),COUNTIF($C$7:indirect(""C""&amp;row()),i"&amp;"ndirect(""C""&amp;row()))=3),""R1 - A3"",
AND(OR(""3x3 FMC""=C83,""3x3 MBLD""=C83),COUNTIF($C$7:indirect(""C""&amp;row()),indirect(""C""&amp;row()))=2),""R1 - A2"",
AND(OR(""3x3 FMC""=C83,""3x3 MBLD""=C83),COUNTIF($C$7:indirect(""C""&amp;row()),indirect(""C""&amp;row()))=1),"&amp;"""R1 -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83, Info!$A$2:A83 = C83),ROUNDUP((FILTER(Info!$H$2:H83,Info!$A$2:A83=C83)/FILTER(Info!$H$2:H83,Info!$A$2:A83=$K$2))*$I$2)&gt;99),3,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83, Info!$A$2:A83 = C83),ROUNDUP((FILTER(Info!$H$2:H83,Info!$A$2:A83=C83)/FILTER(Info!$H$2:H83,Info!$A$2:A83=$K$2))*$I$2)&gt;15),2,
AND(COUNTIF($C$7:indirect(""C""&amp;row()),indirect(""C""&amp;row()))=2,COUNTIF($C$7:$C$102,indirect(""C""&amp;row()))=COUNTIF($"&amp;"C$7:indirect(""C""&amp;row()),indirect(""C""&amp;row()))),""Final"",
COUNTIF($C$7:indirect(""C""&amp;row()),indirect(""C""&amp;row()))=1,1,
COUNTIF($C$7:indirect(""C""&amp;row()),indirect(""C""&amp;row()))=0,"""")"),"")</f>
        <v/>
      </c>
      <c r="F83" s="39" t="str">
        <f>IFERROR(__xludf.DUMMYFUNCTION("IFS(C83="""","""",
AND(C83=""3x3 FMC"",MOD(COUNTIF($C$7:indirect(""C""&amp;row()),indirect(""C""&amp;row())),3)=0),""Mean of 3"",
AND(C83=""3x3 MBLD"",MOD(COUNTIF($C$7:indirect(""C""&amp;row()),indirect(""C""&amp;row())),3)=0),""Best of 3"",
AND(C83=""3x3 FMC"",MOD(COUNT"&amp;"IF($C$7:indirect(""C""&amp;row()),indirect(""C""&amp;row())),3)=2,
COUNTIF($C$7:$C$102,indirect(""C""&amp;row()))&lt;=COUNTIF($C$7:indirect(""C""&amp;row()),indirect(""C""&amp;row()))),""Best of 2"",
AND(C83=""3x3 FMC"",MOD(COUNTIF($C$7:indirect(""C""&amp;row()),indirect(""C""&amp;row("&amp;"))),3)=2,
COUNTIF($C$7:$C$102,indirect(""C""&amp;row()))&gt;COUNTIF($C$7:indirect(""C""&amp;row()),indirect(""C""&amp;row()))),""Mean of 3"",
AND(C83=""3x3 MBLD"",MOD(COUNTIF($C$7:indirect(""C""&amp;row()),indirect(""C""&amp;row())),3)=2,
COUNTIF($C$7:$C$102,indirect(""C""&amp;row("&amp;")))&lt;=COUNTIF($C$7:indirect(""C""&amp;row()),indirect(""C""&amp;row()))),""Best of 2"",
AND(C83=""3x3 MBLD"",MOD(COUNTIF($C$7:indirect(""C""&amp;row()),indirect(""C""&amp;row())),3)=2,
COUNTIF($C$7:$C$102,indirect(""C""&amp;row()))&gt;COUNTIF($C$7:indirect(""C""&amp;row()),indirect("&amp;"""C""&amp;row()))),""Best of 3"",
AND(C83=""3x3 FMC"",MOD(COUNTIF($C$7:indirect(""C""&amp;row()),indirect(""C""&amp;row())),3)=1,
COUNTIF($C$7:$C$102,indirect(""C""&amp;row()))&lt;=COUNTIF($C$7:indirect(""C""&amp;row()),indirect(""C""&amp;row()))),""Best of 1"",
AND(C83=""3x3 FMC"""&amp;",MOD(COUNTIF($C$7:indirect(""C""&amp;row()),indirect(""C""&amp;row())),3)=1,
COUNTIF($C$7:$C$102,indirect(""C""&amp;row()))=COUNTIF($C$7:indirect(""C""&amp;row()),indirect(""C""&amp;row()))+1),""Best of 2"",
AND(C83=""3x3 FMC"",MOD(COUNTIF($C$7:indirect(""C""&amp;row()),indirect"&amp;"(""C""&amp;row())),3)=1,
COUNTIF($C$7:$C$102,indirect(""C""&amp;row()))&gt;COUNTIF($C$7:indirect(""C""&amp;row()),indirect(""C""&amp;row()))),""Mean of 3"",
AND(C83=""3x3 MBLD"",MOD(COUNTIF($C$7:indirect(""C""&amp;row()),indirect(""C""&amp;row())),3)=1,
COUNTIF($C$7:$C$102,indirect"&amp;"(""C""&amp;row()))&lt;=COUNTIF($C$7:indirect(""C""&amp;row()),indirect(""C""&amp;row()))),""Best of 1"",
AND(C83=""3x3 MBLD"",MOD(COUNTIF($C$7:indirect(""C""&amp;row()),indirect(""C""&amp;row())),3)=1,
COUNTIF($C$7:$C$102,indirect(""C""&amp;row()))=COUNTIF($C$7:indirect(""C""&amp;row()"&amp;"),indirect(""C""&amp;row()))+1),""Best of 2"",
AND(C83=""3x3 MBLD"",MOD(COUNTIF($C$7:indirect(""C""&amp;row()),indirect(""C""&amp;row())),3)=1,
COUNTIF($C$7:$C$102,indirect(""C""&amp;row()))&gt;COUNTIF($C$7:indirect(""C""&amp;row()),indirect(""C""&amp;row()))),""Best of 3"",
TRUE,("&amp;"IFERROR(FILTER(Info!$D$2:D83, Info!$A$2:A83 = C83), """")))"),"")</f>
        <v/>
      </c>
      <c r="G83" s="40" t="str">
        <f>IFERROR(__xludf.DUMMYFUNCTION("IFS(OR(COUNTIF(Info!$A$22:A83,C83)&gt;0,C83=""""),"""",
OR(""3x3 MBLD""=C83,""3x3 FMC""=C83),60,
AND(E83=1,FILTER(Info!$F$2:F83, Info!$A$2:A83 = C83) = ""No""),FILTER(Info!$P$2:P83, Info!$A$2:A83 = C83),
AND(E83=2,FILTER(Info!$F$2:F83, Info!$A$2:A83 = C83) ="&amp;" ""No""),FILTER(Info!$Q$2:Q83, Info!$A$2:A83 = C83),
AND(E83=3,FILTER(Info!$F$2:F83, Info!$A$2:A83 = C83) = ""No""),FILTER(Info!$R$2:R83, Info!$A$2:A83 = C83),
AND(E83=""Final"",FILTER(Info!$F$2:F83, Info!$A$2:A83 = C83) = ""No""),FILTER(Info!$S$2:S83, In"&amp;"fo!$A$2:A83 = C83),
FILTER(Info!$F$2:F83, Info!$A$2:A83 = C83) = ""Yes"","""")"),"")</f>
        <v/>
      </c>
      <c r="H83" s="40" t="str">
        <f>IFERROR(__xludf.DUMMYFUNCTION("IFS(OR(COUNTIF(Info!$A$22:A83,C83)&gt;0,C83=""""),"""",
OR(""3x3 MBLD""=C83,""3x3 FMC""=C83)=TRUE,"""",
FILTER(Info!$F$2:F83, Info!$A$2:A83 = C83) = ""Yes"",FILTER(Info!$O$2:O83, Info!$A$2:A83 = C83),
FILTER(Info!$F$2:F83, Info!$A$2:A83 = C83) = ""No"",IF(G8"&amp;"3="""",FILTER(Info!$O$2:O83, Info!$A$2:A83 = C83),""""))"),"")</f>
        <v/>
      </c>
      <c r="I83" s="40" t="str">
        <f>IFERROR(__xludf.DUMMYFUNCTION("IFS(OR(COUNTIF(Info!$A$22:A83,C83)&gt;0,C83="""",H83&lt;&gt;""""),"""",
AND(E83&lt;&gt;1,E83&lt;&gt;""R1 - A1"",E83&lt;&gt;""R1 - A2"",E83&lt;&gt;""R1 - A3""),"""",
FILTER(Info!$E$2:E83, Info!$A$2:A83 = C83) = ""Yes"",IF(H83="""",FILTER(Info!$L$2:L83, Info!$A$2:A83 = C83),""""),
FILTER(I"&amp;"nfo!$E$2:E83, Info!$A$2:A83 = C83) = ""No"","""")"),"")</f>
        <v/>
      </c>
      <c r="J83" s="40" t="str">
        <f>IFERROR(__xludf.DUMMYFUNCTION("IFS(OR(COUNTIF(Info!$A$22:A83,C83)&gt;0,C83="""",""3x3 MBLD""=C83,""3x3 FMC""=C83),"""",
AND(E83=1,FILTER(Info!$H$2:H83,Info!$A$2:A83 = C83)&lt;=FILTER(Info!$H$2:H83,Info!$A$2:A83=$K$2)),
ROUNDUP((FILTER(Info!$H$2:H83,Info!$A$2:A83 = C83)/FILTER(Info!$H$2:H83,I"&amp;"nfo!$A$2:A83=$K$2))*$I$2),
AND(E83=1,FILTER(Info!$H$2:H83,Info!$A$2:A83 = C83)&gt;FILTER(Info!$H$2:H83,Info!$A$2:A83=$K$2)),""K2 - Error"",
AND(E83=2,FILTER($J$7:indirect(""J""&amp;row()-1),$C$7:indirect(""C""&amp;row()-1)=C83)&lt;=7),""J - Error"",
E83=2,FLOOR(FILTER("&amp;"$J$7:indirect(""J""&amp;row()-1),$C$7:indirect(""C""&amp;row()-1)=C83)*Info!$T$32),
AND(E83=3,FILTER($J$7:indirect(""J""&amp;row()-1),$C$7:indirect(""C""&amp;row()-1)=C83)&lt;=15),""J - Error"",
E83=3,FLOOR(Info!$T$32*FLOOR(FILTER($J$7:indirect(""J""&amp;row()-1),$C$7:indirect("&amp;"""C""&amp;row()-1)=C83)*Info!$T$32)),
AND(E83=""Final"",COUNTIF($C$7:$C$102,C83)=2,FILTER($J$7:indirect(""J""&amp;row()-1),$C$7:indirect(""C""&amp;row()-1)=C83)&lt;=7),""J - Error"",
AND(E83=""Final"",COUNTIF($C$7:$C$102,C83)=2),
MIN(P83,FLOOR(FILTER($J$7:indirect(""J"""&amp;"&amp;row()-1),$C$7:indirect(""C""&amp;row()-1)=C83)*Info!$T$32)),
AND(E83=""Final"",COUNTIF($C$7:$C$102,C83)=3,FILTER($J$7:indirect(""J""&amp;row()-1),$C$7:indirect(""C""&amp;row()-1)=C83)&lt;=15),""J - Error"",
AND(E83=""Final"",COUNTIF($C$7:$C$102,C83)=3),
MIN(P83,FLOOR(I"&amp;"nfo!$T$32*FLOOR(FILTER($J$7:indirect(""J""&amp;row()-1),$C$7:indirect(""C""&amp;row()-1)=C83)*Info!$T$32))),
AND(E83=""Final"",COUNTIF($C$7:$C$102,C83)&gt;=4,FILTER($J$7:indirect(""J""&amp;row()-1),$C$7:indirect(""C""&amp;row()-1)=C83)&lt;=99),""J - Error"",
AND(E83=""Final"","&amp;"COUNTIF($C$7:$C$102,C83)&gt;=4),
MIN(P83,FLOOR(Info!$T$32*FLOOR(Info!$T$32*FLOOR(FILTER($J$7:indirect(""J""&amp;row()-1),$C$7:indirect(""C""&amp;row()-1)=C83)*Info!$T$32)))))"),"")</f>
        <v/>
      </c>
      <c r="K83" s="41" t="str">
        <f>IFERROR(__xludf.DUMMYFUNCTION("IFS(AND(indirect(""D""&amp;row()+2)&lt;&gt;$E$2,indirect(""D""&amp;row()+1)=""""),CONCATENATE(""Tom rad! Kopiera hela rad ""&amp;row()&amp;"" dit""),
AND(indirect(""D""&amp;row()-1)&lt;&gt;""Rum"",indirect(""D""&amp;row()-1)=""""),CONCATENATE(""Tom rad! Kopiera hela rad ""&amp;row()&amp;"" dit""),
"&amp;"C83="""","""",
COUNTIF(Info!$A$22:A83,$K$2)&gt;0,""Det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OR(AND(D83&lt;&gt;$E$2,D83&lt;&gt;$E$4,D83&lt;&gt;$K$4,D83&lt;&gt;$Q$4),D83="&amp;"""""),CONCATENATE(""Rum: ""&amp;D83&amp;"" finns ej, byt i D""&amp;row()),
AND(indirect(""D""&amp;row()-1)=""Rum"",C83=""""),CONCATENATE(""För att börja: skriv i cell C""&amp;row()),
AND(C83=""Paus"",M83&lt;=0),CONCATENATE(""Skriv pausens längd i M""&amp;row()),
OR(COUNTIF(Info!$A$"&amp;"22:A83,C83)&gt;0,C83=""""),"""",
AND(D83&lt;&gt;$E$2,$O$2=""Yes"",A83=""=time(hh;mm;ss)""),CONCATENATE(""Skriv starttid för ""&amp;C83&amp;"" i A""&amp;row()),
E83=""E - Error"",CONCATENATE(""För många ""&amp;C83&amp;"" rundor!""),
AND(C83&lt;&gt;""3x3 FMC"",C83&lt;&gt;""3x3 MBLD"",E83&lt;&gt;1,E83&lt;&gt;"&amp;"""Final"",IFERROR(FILTER($E$7:indirect(""E""&amp;row()-1),
$E$7:indirect(""E""&amp;row()-1)=E83-1,$C$7:indirect(""C""&amp;row()-1)=C83))=FALSE),CONCATENATE(""Kan ej vara R""&amp;E83&amp;"", saknar R""&amp;(E83-1)),
AND(indirect(""E""&amp;row()-1)&lt;&gt;""Omgång"",IFERROR(FILTER($E$7:indi"&amp;"rect(""E""&amp;row()-1),
$E$7:indirect(""E""&amp;row()-1)=E83,$C$7:indirect(""C""&amp;row()-1)=C83)=E83)=TRUE),CONCATENATE(""Runda ""&amp;E83&amp;"" i ""&amp;C83&amp;"" finns redan""),
AND(C83&lt;&gt;""3x3 BLD"",C83&lt;&gt;""4x4 BLD"",C83&lt;&gt;""5x5 BLD"",C83&lt;&gt;""4x4 / 5x5 BLD"",OR(E83=2,E83=3,E83="&amp;"""Final""),H83&lt;&gt;""""),CONCATENATE(E83&amp;""-rundor brukar ej ha c.t.l.""),
AND(OR(E83=2,E83=3,E83=""Final""),I83&lt;&gt;""""),CONCATENATE(E83&amp;""-rundor brukar ej ha cutoff""),
AND(OR(C83=""3x3 FMC"",C83=""3x3 MBLD""),OR(E83=1,E83=2,E83=3,E83=""Final"")),CONCATENAT"&amp;"E(C83&amp;""s omgång är Rx - Ax""),
AND(C83&lt;&gt;""3x3 MBLD"",C83&lt;&gt;""3x3 FMC"",FILTER(Info!$D$2:D83, Info!$A$2:A83 = C83)&lt;&gt;F83),CONCATENATE(C83&amp;"" måste ha formatet ""&amp;FILTER(Info!$D$2:D83, Info!$A$2:A83 = C83)),
AND(C83=""3x3 MBLD"",OR(F83=""Avg of 5"",F83=""Mea"&amp;"n of 3"")),CONCATENATE(""Ogiltigt format för ""&amp;C83),
AND(C83=""3x3 FMC"",OR(F83=""Avg of 5"",F83=""Best of 3"")),CONCATENATE(""Ogiltigt format för ""&amp;C83),
AND(OR(F83=""Best of 1"",F83=""Best of 2"",F83=""Best of 3""),I83&lt;&gt;""""),CONCATENATE(F83&amp;""-rundor"&amp;" får ej ha cutoff""),
AND(OR(C83=""3x3 FMC"",C83=""3x3 MBLD""),G83&lt;&gt;60),CONCATENATE(C83&amp;"" måste ha time limit: 60""),
AND(OR(C83=""3x3 FMC"",C83=""3x3 MBLD""),H83&lt;&gt;""""),CONCATENATE(C83&amp;"" kan inte ha c.t.l.""),
AND(G83&lt;&gt;"""",H83&lt;&gt;""""),""Välj time limit"&amp;" ELLER c.t.l"",
AND(C83=""6x6 / 7x7"",G83="""",H83=""""),""Sätt time limit (x / y) eller c.t.l (z)"",
AND(G83="""",H83=""""),""Sätt en time limit eller c.t.l"",
AND(OR(C83=""6x6 / 7x7"",C83=""4x4 / 5x5 BLD""),G83&lt;&gt;"""",REGEXMATCH(TO_TEXT(G83),"" / "")=FAL"&amp;"SE),CONCATENATE(""Time limit måste vara x / y""),
AND(H83&lt;&gt;"""",I83&lt;&gt;""""),CONCATENATE(C83&amp;"" brukar ej ha cutoff OCH c.t.l""),
AND(E83=1,H83="""",I83="""",OR(FILTER(Info!$E$2:E83, Info!$A$2:A83 = C83) = ""Yes"",FILTER(Info!$F$2:F83, Info!$A$2:A83 = C83) "&amp;"= ""Yes""),OR(F83=""Avg of 5"",F83=""Mean of 3"")),CONCATENATE(C83&amp;"" bör ha cutoff eller c.t.l""),
AND(C83=""6x6 / 7x7"",I83&lt;&gt;"""",REGEXMATCH(TO_TEXT(I83),"" / "")=FALSE),CONCATENATE(""Cutoff måste vara x / y""),
AND(H83&lt;&gt;"""",ISNUMBER(H83)=FALSE),""C.t."&amp;"l. måste vara positivt tal (x)"",
AND(C83&lt;&gt;""6x6 / 7x7"",I83&lt;&gt;"""",ISNUMBER(I83)=FALSE),""Cutoff måste vara positivt tal (x)"",
AND(H83&lt;&gt;"""",FILTER(Info!$E$2:E83, Info!$A$2:A83 = C83) = ""No"",FILTER(Info!$F$2:F83, Info!$A$2:A83 = C83) = ""No""),CONCATEN"&amp;"ATE(C83&amp;"" brukar inte ha c.t.l.""),
AND(I83&lt;&gt;"""",FILTER(Info!$E$2:E83, Info!$A$2:A83 = C83) = ""No"",FILTER(Info!$F$2:F83, Info!$A$2:A83 = C83) = ""No""),CONCATENATE(C83&amp;"" brukar inte ha cutoff""),
AND(H83="""",FILTER(Info!$F$2:F83, Info!$A$2:A83 = C83"&amp;") = ""Yes""),CONCATENATE(C83&amp;"" brukar ha c.t.l.""),
AND(C83&lt;&gt;""6x6 / 7x7"",C83&lt;&gt;""4x4 / 5x5 BLD"",G83&lt;&gt;"""",ISNUMBER(G83)=FALSE),""Time limit måste vara positivt tal (x)"",
J83=""J - Error"",CONCATENATE(""För få deltagare i R1 för ""&amp;COUNTIF($C$7:$C$102,"&amp;"indirect(""C""&amp;row()))&amp;"" rundor""),
J83=""K2 - Error"",CONCATENATE(C83&amp;"" är mer populär - byt i K2!""),
AND(C83&lt;&gt;""6x6 / 7x7"",C83&lt;&gt;""4x4 / 5x5 BLD"",G83&lt;&gt;"""",I83&lt;&gt;"""",G83&lt;=I83),""Time limit måste vara &gt; cutoff"",
AND(C83&lt;&gt;""6x6 / 7x7"",C83&lt;&gt;""4x4 / 5"&amp;"x5 BLD"",H83&lt;&gt;"""",I83&lt;&gt;"""",H83&lt;=I83),""C.t.l. måste vara &gt; cutoff"",
AND(C83&lt;&gt;""3x3 FMC"",C83&lt;&gt;""3x3 MBLD"",J83=""""),CONCATENATE(""Fyll i antal deltagare i J""&amp;row()),
AND(C83="""",OR(E83&lt;&gt;"""",F83&lt;&gt;"""",G83&lt;&gt;"""",H83&lt;&gt;"""",I83&lt;&gt;"""",J83&lt;&gt;"""")),""Skri"&amp;"v ALLTID gren / aktivitet först"",
AND(I83="""",H83="""",J83&lt;&gt;""""),J83,
OR(""3x3 FMC""=C83,""3x3 MBLD""=C83),J83,
AND(I83&lt;&gt;"""",""6x6 / 7x7""=C83),
IFS(ArrayFormula(SUM(IFERROR(SPLIT(I83,"" / ""))))&lt;(Info!$J$6+Info!$J$7)*2/3,CONCATENATE(""Höj helst cutof"&amp;"fs i ""&amp;C83),
ArrayFormula(SUM(IFERROR(SPLIT(I83,"" / ""))))&lt;=(Info!$J$6+Info!$J$7),ROUNDUP(J83*Info!$J$22),
ArrayFormula(SUM(IFERROR(SPLIT(I83,"" / ""))))&lt;=Info!$J$6+Info!$J$7,ROUNDUP(J83*Info!$K$22),
ArrayFormula(SUM(IFERROR(SPLIT(I83,"" / ""))))&lt;=Info!"&amp;"$K$6+Info!$K$7,ROUNDUP(J83*Info!L$22),
ArrayFormula(SUM(IFERROR(SPLIT(I83,"" / ""))))&lt;=Info!$L$6+Info!$L$7,ROUNDUP(J83*Info!$M$22),
ArrayFormula(SUM(IFERROR(SPLIT(I83,"" / ""))))&lt;=Info!$M$6+Info!$M$7,ROUNDUP(J83*Info!$N$22),
ArrayFormula(SUM(IFERROR(SPLIT"&amp;"(I83,"" / ""))))&lt;=(Info!$N$6+Info!$N$7)*3/2,ROUNDUP(J83*Info!$J$26),
ArrayFormula(SUM(IFERROR(SPLIT(I83,"" / ""))))&gt;(Info!$N$6+Info!$N$7)*3/2,CONCATENATE(""Sänk helst cutoffs i ""&amp;C83)),
AND(I83&lt;&gt;"""",FILTER(Info!$E$2:E83, Info!$A$2:A83 = C83) = ""Yes""),"&amp;"
IFS(I83&lt;FILTER(Info!$J$2:J83, Info!$A$2:A83 = C83)*2/3,CONCATENATE(""Höj helst cutoff i ""&amp;C83),
I83&lt;=FILTER(Info!$J$2:J83, Info!$A$2:A83 = C83),ROUNDUP(J83*Info!$J$22),
I83&lt;=FILTER(Info!$K$2:K83, Info!$A$2:A83 = C83),ROUNDUP(J83*Info!$K$22),
I83&lt;=FILTER"&amp;"(Info!$L$2:L83, Info!$A$2:A83 = C83),ROUNDUP(J83*Info!L$22),
I83&lt;=FILTER(Info!$M$2:M83, Info!$A$2:A83 = C83),ROUNDUP(J83*Info!$M$22),
I83&lt;=FILTER(Info!$N$2:N83, Info!$A$2:A83 = C83),ROUNDUP(J83*Info!$N$22),
I83&lt;=FILTER(Info!$N$2:N83, Info!$A$2:A83 = C83)*"&amp;"3/2,ROUNDUP(J83*Info!$J$26),
I83&gt;FILTER(Info!$N$2:N83, Info!$A$2:A83 = C83)*3/2,CONCATENATE(""Sänk helst cutoff i ""&amp;C83)),
AND(H83&lt;&gt;"""",""6x6 / 7x7""=C83),
IFS(H83/3&lt;=(Info!$J$6+Info!$J$7)*2/3,""Höj helst cumulative time limit"",
H83/3&lt;=Info!$J$6+Info!$"&amp;"J$7,ROUNDUP(J83*Info!$J$24),
H83/3&lt;=Info!$K$6+Info!$K$7,ROUNDUP(J83*Info!$K$24),
H83/3&lt;=Info!$L$6+Info!$L$7,ROUNDUP(J83*Info!L$24),
H83/3&lt;=Info!$M$6+Info!$M$7,ROUNDUP(J83*Info!$M$24),
H83/3&lt;=Info!$N$6+Info!$N$7,ROUNDUP(J83*Info!$N$24),
H83/3&lt;=(Info!$N$6+I"&amp;"nfo!$N$7)*3/2,ROUNDUP(J83*Info!$L$26),
H83/3&gt;(Info!$J$6+Info!$J$7)*3/2,""Sänk helst cumulative time limit""),
AND(H83&lt;&gt;"""",FILTER(Info!$F$2:F83, Info!$A$2:A83 = C83) = ""Yes""),
IFS(H83&lt;=FILTER(Info!$J$2:J83, Info!$A$2:A83 = C83)*2/3,CONCATENATE(""Höj he"&amp;"lst c.t.l. i ""&amp;C83),
H83&lt;=FILTER(Info!$J$2:J83, Info!$A$2:A83 = C83),ROUNDUP(J83*Info!$J$24),
H83&lt;=FILTER(Info!$K$2:K83, Info!$A$2:A83 = C83),ROUNDUP(J83*Info!$K$24),
H83&lt;=FILTER(Info!$L$2:L83, Info!$A$2:A83 = C83),ROUNDUP(J83*Info!L$24),
H83&lt;=FILTER(Inf"&amp;"o!$M$2:M83, Info!$A$2:A83 = C83),ROUNDUP(J83*Info!$M$24),
H83&lt;=FILTER(Info!$N$2:N83, Info!$A$2:A83 = C83),ROUNDUP(J83*Info!$N$24),
H83&lt;=FILTER(Info!$N$2:N83, Info!$A$2:A83 = C83)*3/2,ROUNDUP(J83*Info!$L$26),
H83&gt;FILTER(Info!$N$2:N83, Info!$A$2:A83 = C83)*"&amp;"3/2,CONCATENATE(""Sänk helst c.t.l. i ""&amp;C83)),
AND(H83&lt;&gt;"""",FILTER(Info!$F$2:F83, Info!$A$2:A83 = C83) = ""No""),
IFS(H83/AA83&lt;=FILTER(Info!$J$2:J83, Info!$A$2:A83 = C83)*2/3,CONCATENATE(""Höj helst c.t.l. i ""&amp;C83),
H83/AA83&lt;=FILTER(Info!$J$2:J83, Info"&amp;"!$A$2:A83 = C83),ROUNDUP(J83*Info!$J$24),
H83/AA83&lt;=FILTER(Info!$K$2:K83, Info!$A$2:A83 = C83),ROUNDUP(J83*Info!$K$24),
H83/AA83&lt;=FILTER(Info!$L$2:L83, Info!$A$2:A83 = C83),ROUNDUP(J83*Info!L$24),
H83/AA83&lt;=FILTER(Info!$M$2:M83, Info!$A$2:A83 = C83),ROUND"&amp;"UP(J83*Info!$M$24),
H83/AA83&lt;=FILTER(Info!$N$2:N83, Info!$A$2:A83 = C83),ROUNDUP(J83*Info!$N$24),
H83/AA83&lt;=FILTER(Info!$N$2:N83, Info!$A$2:A83 = C83)*3/2,ROUNDUP(J83*Info!$L$26),
H83/AA83&gt;FILTER(Info!$N$2:N83, Info!$A$2:A83 = C83)*3/2,CONCATENATE(""Sänk "&amp;"helst c.t.l. i ""&amp;C83)),
AND(I83="""",H83&lt;&gt;"""",J83&lt;&gt;""""),ROUNDUP(J83*Info!$T$29),
AND(I83&lt;&gt;"""",H83="""",J83&lt;&gt;""""),ROUNDUP(J83*Info!$T$26))"),"")</f>
        <v/>
      </c>
      <c r="L83" s="42">
        <f>IFERROR(__xludf.DUMMYFUNCTION("IFS(C83="""",0,
C83=""3x3 FMC"",Info!$B$9*N83+M83, C83=""3x3 MBLD"",Info!$B$18*N83+M83,
COUNTIF(Info!$A$22:A83,C83)&gt;0,FILTER(Info!$B$22:B83,Info!$A$22:A83=C83)+M83,
AND(C83&lt;&gt;"""",E83=""""),CONCATENATE(""Fyll i E""&amp;row()),
AND(C83&lt;&gt;"""",E83&lt;&gt;"""",E83&lt;&gt;1,E8"&amp;"3&lt;&gt;2,E83&lt;&gt;3,E83&lt;&gt;""Final""),CONCATENATE(""Fel format på E""&amp;row()),
K83=CONCATENATE(""Runda ""&amp;E83&amp;"" i ""&amp;C83&amp;"" finns redan""),CONCATENATE(""Fel i E""&amp;row()),
AND(C83&lt;&gt;"""",F83=""""),CONCATENATE(""Fyll i F""&amp;row()),
K83=CONCATENATE(C83&amp;"" måste ha forma"&amp;"tet ""&amp;FILTER(Info!$D$2:D83, Info!$A$2:A83 = C83)),CONCATENATE(""Fel format på F""&amp;row()),
AND(C83&lt;&gt;"""",D83=1,H83="""",FILTER(Info!$F$2:F83, Info!$A$2:A83 = C83) = ""Yes""),CONCATENATE(""Fyll i H""&amp;row()),
AND(C83&lt;&gt;"""",D83=1,I83="""",FILTER(Info!$E$2:E8"&amp;"3, Info!$A$2:A83 = C83) = ""Yes""),CONCATENATE(""Fyll i I""&amp;row()),
AND(C83&lt;&gt;"""",J83=""""),CONCATENATE(""Fyll i J""&amp;row()),
AND(C83&lt;&gt;"""",K83="""",OR(H83&lt;&gt;"""",I83&lt;&gt;"""")),CONCATENATE(""Fyll i K""&amp;row()),
AND(C83&lt;&gt;"""",K83=""""),CONCATENATE(""Skriv samma"&amp;" i K""&amp;row()&amp;"" som i J""&amp;row()),
AND(OR(C83=""4x4 BLD"",C83=""5x5 BLD"",C83=""4x4 / 5x5 BLD"")=TRUE,V83&lt;=P83),
MROUND(H83*(Info!$T$20-((Info!$T$20-1)/2)*(1-V83/P83))*(1+((J83/K83)-1)*(1-Info!$J$24))*N83+(Info!$T$11/2)+(N83*Info!$T$11)+(N83*Info!$T$14*(O8"&amp;"3-1)),0.01)+M83,
AND(OR(C83=""4x4 BLD"",C83=""5x5 BLD"",C83=""4x4 / 5x5 BLD"")=TRUE,V83&gt;P83),
MROUND((((J83*Z83+K83*(AA83-Z83))*(H83*Info!$T$20/AA83))/X83)*(1+((J83/K83)-1)*(1-Info!$J$24))*(1+(X83-Info!$T$8)/100)+(Info!$T$11/2)+(N83*Info!$T$11)+(N83*Info!"&amp;"$T$14*(O83-1)),0.01)+M83,
AND(C83=""3x3 BLD"",V83&lt;=P83),
MROUND(H83*(Info!$T$23-((Info!$T$23-1)/2)*(1-V83/P83))*(1+((J83/K83)-1)*(1-Info!$J$24))*N83+(Info!$T$11/2)+(N83*Info!$T$11)+(N83*Info!$T$14*(O83-1)),0.01)+M83,
AND(C83=""3x3 BLD"",V83&gt;P83),
MROUND(("&amp;"((J83*Z83+K83*(AA83-Z83))*(H83*Info!$T$23/AA83))/X83)*(1+((J83/K83)-1)*(1-Info!$J$24))*(1+(X83-Info!$T$8)/100)+(Info!$T$11/2)+(N83*Info!$T$11)+(N83*Info!$T$14*(O83-1)),0.01)+M83,
E83=1,MROUND((((J83*Z83+K83*(AA83-Z83))*Y83)/X83)*(1+(X83-Info!$T$8)/100)+(N"&amp;"83*Info!$T$11)+(N83*Info!$T$14*(O83-1)),0.01)+M83,
AND(E83=""Final"",N83=1,FILTER(Info!$G$2:$G$20,Info!$A$2:$A$20=C83)=""Mycket svår""),
MROUND((((J83*Z83+K83*(AA83-Z83))*(Y83*Info!$T$38))/X83)*(1+(X83-Info!$T$8)/100)+(N83*Info!$T$11)+(N83*Info!$T$14*(O83"&amp;"-1)),0.01)+M83,
AND(E83=""Final"",N83=1,FILTER(Info!$G$2:$G$20,Info!$A$2:$A$20=C83)=""Svår""),
MROUND((((J83*Z83+K83*(AA83-Z83))*(Y83*Info!$T$35))/X83)*(1+(X83-Info!$T$8)/100)+(N83*Info!$T$11)+(N83*Info!$T$14*(O83-1)),0.01)+M83,
E83=""Final"",MROUND((((J8"&amp;"3*Z83+K83*(AA83-Z83))*(Y83*Info!$T$5))/X83)*(1+(X83-Info!$T$8)/100)+(N83*Info!$T$11)+(N83*Info!$T$14*(O83-1)),0.01)+M83,
OR(E83=2,E83=3),MROUND((((J83*Z83+K83*(AA83-Z83))*(Y83*Info!$T$2))/X83)*(1+(X83-Info!$T$8)/100)+(N83*Info!$T$11)+(N83*Info!$T$14*(O83-"&amp;"1)),0.01)+M83)"),0.0)</f>
        <v>0</v>
      </c>
      <c r="M83" s="43">
        <f t="shared" si="9"/>
        <v>0</v>
      </c>
      <c r="N83" s="43" t="str">
        <f>IFS(OR(COUNTIF(Info!$A$22:A83,C83)&gt;0,C83=""),"",
OR(C83="4x4 BLD",C83="5x5 BLD",C83="3x3 MBLD",C83="3x3 FMC",C83="4x4 / 5x5 BLD"),1,
AND(E83="Final",Q83="Yes",MAX(1,ROUNDUP(J83/P83))&gt;1),MAX(2,ROUNDUP(J83/P83)),
AND(E83="Final",Q83="No",MAX(1,ROUNDUP(J83/((P83*2)+2.625-Y83*1.5)))&gt;1),MAX(2,ROUNDUP(J83/((P83*2)+2.625-Y83*1.5))),
E83="Final",1,
Q83="Yes",MAX(2,ROUNDUP(J83/P83)),
TRUE,MAX(2,ROUNDUP(J83/((P83*2)+2.625-Y83*1.5))))</f>
        <v/>
      </c>
      <c r="O83" s="43" t="str">
        <f>IFS(OR(COUNTIF(Info!$A$22:A83,C83)&gt;0,C83=""),"",
OR("3x3 MBLD"=C83,"3x3 FMC"=C83)=TRUE,"",
D83=$E$4,$G$6,D83=$K$4,$M$6,D83=$Q$4,$S$6,D83=$W$4,$Y$6,
TRUE,$S$2)</f>
        <v/>
      </c>
      <c r="P83" s="43" t="str">
        <f>IFS(OR(COUNTIF(Info!$A$22:A83,C83)&gt;0,C83=""),"",
OR("3x3 MBLD"=C83,"3x3 FMC"=C83)=TRUE,"",
D83=$E$4,$E$6,D83=$K$4,$K$6,D83=$Q$4,$Q$6,D83=$W$4,$W$6,
TRUE,$Q$2)</f>
        <v/>
      </c>
      <c r="Q83" s="44" t="str">
        <f>IFS(OR(COUNTIF(Info!$A$22:A83,C83)&gt;0,C83=""),"",
OR("3x3 MBLD"=C83,"3x3 FMC"=C83)=TRUE,"",
D83=$E$4,$I$6,D83=$K$4,$O$6,D83=$Q$4,$U$6,D83=$W$4,$AA$6,
TRUE,$U$2)</f>
        <v/>
      </c>
      <c r="R83" s="45" t="str">
        <f>IFERROR(__xludf.DUMMYFUNCTION("IF(C83="""","""",IFERROR(FILTER(Info!$B$22:B83,Info!$A$22:A83=C83)+M83,""?""))"),"")</f>
        <v/>
      </c>
      <c r="S83" s="46" t="str">
        <f>IFS(OR(COUNTIF(Info!$A$22:A83,C83)&gt;0,C83=""),"",
AND(H83="",I83=""),J83,
TRUE,"?")</f>
        <v/>
      </c>
      <c r="T83" s="45" t="str">
        <f>IFS(OR(COUNTIF(Info!$A$22:A83,C83)&gt;0,C83=""),"",
AND(L83&lt;&gt;0,OR(R83="?",R83="")),"Fyll i R-kolumnen",
OR(C83="3x3 FMC",C83="3x3 MBLD"),R83,
AND(L83&lt;&gt;0,OR(S83="?",S83="")),"Fyll i S-kolumnen",
OR(COUNTIF(Info!$A$22:A83,C83)&gt;0,C83=""),"",
TRUE,Y83*R83/L83)</f>
        <v/>
      </c>
      <c r="U83" s="45"/>
      <c r="V83" s="47" t="str">
        <f>IFS(OR(COUNTIF(Info!$A$22:A83,C83)&gt;0,C83=""),"",
OR("3x3 MBLD"=C83,"3x3 FMC"=C83)=TRUE,"",
TRUE,MROUND((J83/N83),0.01))</f>
        <v/>
      </c>
      <c r="W83" s="48" t="str">
        <f>IFS(OR(COUNTIF(Info!$A$22:A83,C83)&gt;0,C83=""),"",
TRUE,L83/N83)</f>
        <v/>
      </c>
      <c r="X83" s="49" t="str">
        <f>IFS(OR(COUNTIF(Info!$A$22:A83,C83)&gt;0,C83=""),"",
OR("3x3 MBLD"=C83,"3x3 FMC"=C83)=TRUE,"",
OR(C83="4x4 BLD",C83="5x5 BLD",C83="4x4 / 5x5 BLD",AND(C83="3x3 BLD",H83&lt;&gt;""))=TRUE,MIN(V83,P83),
TRUE,MIN(P83,V83,MROUND(((V83*2/3)+((Y83-1.625)/2)),0.01)))</f>
        <v/>
      </c>
      <c r="Y83" s="48" t="str">
        <f>IFERROR(__xludf.DUMMYFUNCTION("IFS(OR(COUNTIF(Info!$A$22:A83,C83)&gt;0,C83=""""),"""",
FILTER(Info!$F$2:F83, Info!$A$2:A83 = C83) = ""Yes"",H83/AA83,
""3x3 FMC""=C83,Info!$B$9,""3x3 MBLD""=C83,Info!$B$18,
AND(E83=1,I83="""",H83="""",Q83=""No"",G83&gt;SUMIF(Info!$A$2:A83,C83,Info!$B$2:B83)*1."&amp;"5),
MIN(SUMIF(Info!$A$2:A83,C83,Info!$B$2:B83)*1.1,SUMIF(Info!$A$2:A83,C83,Info!$B$2:B83)*(1.15-(0.15*(SUMIF(Info!$A$2:A83,C83,Info!$B$2:B83)*1.5)/G83))),
AND(E83=1,I83="""",H83="""",Q83=""Yes"",G83&gt;SUMIF(Info!$A$2:A83,C83,Info!$C$2:C83)*1.5),
MIN(SUMIF(I"&amp;"nfo!$A$2:A83,C83,Info!$C$2:C83)*1.1,SUMIF(Info!$A$2:A83,C83,Info!$C$2:C83)*(1.15-(0.15*(SUMIF(Info!$A$2:A83,C83,Info!$C$2:C83)*1.5)/G83))),
Q83=""No"",SUMIF(Info!$A$2:A83,C83,Info!$B$2:B83),
Q83=""Yes"",SUMIF(Info!$A$2:A83,C83,Info!$C$2:C83))"),"")</f>
        <v/>
      </c>
      <c r="Z83" s="47" t="str">
        <f>IFS(OR(COUNTIF(Info!$A$22:A83,C83)&gt;0,C83=""),"",
AND(OR("3x3 FMC"=C83,"3x3 MBLD"=C83),I83&lt;&gt;""),1,
AND(OR(H83&lt;&gt;"",I83&lt;&gt;""),F83="Avg of 5"),2,
F83="Avg of 5",AA83,
AND(OR(H83&lt;&gt;"",I83&lt;&gt;""),F83="Mean of 3",C83="6x6 / 7x7"),2,
AND(OR(H83&lt;&gt;"",I83&lt;&gt;""),F83="Mean of 3"),1,
F83="Mean of 3",AA83,
AND(OR(H83&lt;&gt;"",I83&lt;&gt;""),F83="Best of 3",C83="4x4 / 5x5 BLD"),2,
AND(OR(H83&lt;&gt;"",I83&lt;&gt;""),F83="Best of 3"),1,
F83="Best of 2",AA83,
F83="Best of 1",AA83)</f>
        <v/>
      </c>
      <c r="AA83" s="47" t="str">
        <f>IFS(OR(COUNTIF(Info!$A$22:A83,C83)&gt;0,C83=""),"",
AND(OR("3x3 MBLD"=C83,"3x3 FMC"=C83),F83="Best of 1"=TRUE),1,
AND(OR("3x3 MBLD"=C83,"3x3 FMC"=C83),F83="Best of 2"=TRUE),2,
AND(OR("3x3 MBLD"=C83,"3x3 FMC"=C83),OR(F83="Best of 3",F83="Mean of 3")=TRUE),3,
AND(F83="Mean of 3",C83="6x6 / 7x7"),6,
AND(F83="Best of 3",C83="4x4 / 5x5 BLD"),6,
F83="Avg of 5",5,F83="Mean of 3",3,F83="Best of 3",3,F83="Best of 2",2,F83="Best of 1",1)</f>
        <v/>
      </c>
      <c r="AB83" s="50"/>
    </row>
    <row r="84" ht="15.75" customHeight="1">
      <c r="A84" s="62">
        <f>IFERROR(__xludf.DUMMYFUNCTION("IFS(indirect(""A""&amp;row()-1)=""Start"",TIME(indirect(""A""&amp;row()-2),indirect(""B""&amp;row()-2),0),
$O$2=""No"",TIME(0,($A$6*60+$B$6)+CEILING(SUM($L$7:indirect(""L""&amp;row()-1)),5),0),
D84=$E$2,TIME(0,($A$6*60+$B$6)+CEILING(SUM(IFERROR(FILTER($L$7:indirect(""L"""&amp;"&amp;row()-1),REGEXMATCH($D$7:indirect(""D""&amp;row()-1),$E$2)),0)),5),0),
TRUE,""=time(hh;mm;ss)"")"),0.3541666666666665)</f>
        <v>0.3541666667</v>
      </c>
      <c r="B84" s="63">
        <f>IFERROR(__xludf.DUMMYFUNCTION("IFS($O$2=""No"",TIME(0,($A$6*60+$B$6)+CEILING(SUM($L$7:indirect(""L""&amp;row())),5),0),
D84=$E$2,TIME(0,($A$6*60+$B$6)+CEILING(SUM(FILTER($L$7:indirect(""L""&amp;row()),REGEXMATCH($D$7:indirect(""D""&amp;row()),$E$2))),5),0),
A84=""=time(hh;mm;ss)"",CONCATENATE(""Sk"&amp;"riv tid i A""&amp;row()),
AND(A84&lt;&gt;"""",A84&lt;&gt;""=time(hh;mm;ss)""),A84+TIME(0,CEILING(indirect(""L""&amp;row()),5),0))"),0.3541666666666665)</f>
        <v>0.3541666667</v>
      </c>
      <c r="C84" s="37"/>
      <c r="D84" s="64" t="str">
        <f t="shared" ref="D84:D101" si="10">IFS($M$2=1,$E$2,
AND($M$2&gt;1,OR(C84="4x4 BLD",C84="5x5 BLD",C84="3x3 MBLD",C84="4x4 / 5x5 BLD")),$E$4,
$M$2&gt;1,$E$2)</f>
        <v>Stora salen</v>
      </c>
      <c r="E84" s="64" t="str">
        <f>IFERROR(__xludf.DUMMYFUNCTION("IFS(COUNTIF(Info!$A$22:A84,C84)&gt;0,"""",
AND(OR(""3x3 FMC""=C84,""3x3 MBLD""=C84),COUNTIF($C$7:indirect(""C""&amp;row()),indirect(""C""&amp;row()))&gt;=13),""E - Error"",
AND(OR(""3x3 FMC""=C84,""3x3 MBLD""=C84),COUNTIF($C$7:indirect(""C""&amp;row()),indirect(""C""&amp;row()"&amp;"))=12),""Final - A3"",
AND(OR(""3x3 FMC""=C84,""3x3 MBLD""=C84),COUNTIF($C$7:indirect(""C""&amp;row()),indirect(""C""&amp;row()))=11),""Final - A2"",
AND(OR(""3x3 FMC""=C84,""3x3 MBLD""=C84),COUNTIF($C$7:indirect(""C""&amp;row()),indirect(""C""&amp;row()))=10),""Final - "&amp;"A1"",
AND(OR(""3x3 FMC""=C84,""3x3 MBLD""=C84),COUNTIF($C$7:indirect(""C""&amp;row()),indirect(""C""&amp;row()))=9,
COUNTIF($C$7:$C$102,indirect(""C""&amp;row()))&gt;9),""R3 - A3"",
AND(OR(""3x3 FMC""=C84,""3x3 MBLD""=C84),COUNTIF($C$7:indirect(""C""&amp;row()),indirect(""C"&amp;"""&amp;row()))=9,
COUNTIF($C$7:$C$102,indirect(""C""&amp;row()))&lt;=9),""Final - A3"",
AND(OR(""3x3 FMC""=C84,""3x3 MBLD""=C84),COUNTIF($C$7:indirect(""C""&amp;row()),indirect(""C""&amp;row()))=8,
COUNTIF($C$7:$C$102,indirect(""C""&amp;row()))&gt;9),""R3 - A2"",
AND(OR(""3x3 FMC"&amp;"""=C84,""3x3 MBLD""=C84),COUNTIF($C$7:indirect(""C""&amp;row()),indirect(""C""&amp;row()))=8,
COUNTIF($C$7:$C$102,indirect(""C""&amp;row()))&lt;=9),""Final - A2"",
AND(OR(""3x3 FMC""=C84,""3x3 MBLD""=C84),COUNTIF($C$7:indirect(""C""&amp;row()),indirect(""C""&amp;row()))=7,
COUN"&amp;"TIF($C$7:$C$102,indirect(""C""&amp;row()))&gt;9),""R3 - A1"",
AND(OR(""3x3 FMC""=C84,""3x3 MBLD""=C84),COUNTIF($C$7:indirect(""C""&amp;row()),indirect(""C""&amp;row()))=7,
COUNTIF($C$7:$C$102,indirect(""C""&amp;row()))&lt;=9),""Final - A1"",
AND(OR(""3x3 FMC""=C84,""3x3 MBLD"""&amp;"=C84),COUNTIF($C$7:indirect(""C""&amp;row()),indirect(""C""&amp;row()))=6,
COUNTIF($C$7:$C$102,indirect(""C""&amp;row()))&gt;6),""R2 - A3"",
AND(OR(""3x3 FMC""=C84,""3x3 MBLD""=C84),COUNTIF($C$7:indirect(""C""&amp;row()),indirect(""C""&amp;row()))=6,
COUNTIF($C$7:$C$102,indirec"&amp;"t(""C""&amp;row()))&lt;=6),""Final - A3"",
AND(OR(""3x3 FMC""=C84,""3x3 MBLD""=C84),COUNTIF($C$7:indirect(""C""&amp;row()),indirect(""C""&amp;row()))=5,
COUNTIF($C$7:$C$102,indirect(""C""&amp;row()))&gt;6),""R2 - A2"",
AND(OR(""3x3 FMC""=C84,""3x3 MBLD""=C84),COUNTIF($C$7:indi"&amp;"rect(""C""&amp;row()),indirect(""C""&amp;row()))=5,
COUNTIF($C$7:$C$102,indirect(""C""&amp;row()))&lt;=6),""Final - A2"",
AND(OR(""3x3 FMC""=C84,""3x3 MBLD""=C84),COUNTIF($C$7:indirect(""C""&amp;row()),indirect(""C""&amp;row()))=4,
COUNTIF($C$7:$C$102,indirect(""C""&amp;row()))&gt;6),"&amp;"""R2 - A1"",
AND(OR(""3x3 FMC""=C84,""3x3 MBLD""=C84),COUNTIF($C$7:indirect(""C""&amp;row()),indirect(""C""&amp;row()))=4,
COUNTIF($C$7:$C$102,indirect(""C""&amp;row()))&lt;=6),""Final - A1"",
AND(OR(""3x3 FMC""=C84,""3x3 MBLD""=C84),COUNTIF($C$7:indirect(""C""&amp;row()),i"&amp;"ndirect(""C""&amp;row()))=3),""R1 - A3"",
AND(OR(""3x3 FMC""=C84,""3x3 MBLD""=C84),COUNTIF($C$7:indirect(""C""&amp;row()),indirect(""C""&amp;row()))=2),""R1 - A2"",
AND(OR(""3x3 FMC""=C84,""3x3 MBLD""=C84),COUNTIF($C$7:indirect(""C""&amp;row()),indirect(""C""&amp;row()))=1),"&amp;"""R1 -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84, Info!$A$2:A84 = C84),ROUNDUP((FILTER(Info!$H$2:H84,Info!$A$2:A84=C84)/FILTER(Info!$H$2:H84,Info!$A$2:A84=$K$2))*$I$2)&gt;99),3,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84, Info!$A$2:A84 = C84),ROUNDUP((FILTER(Info!$H$2:H84,Info!$A$2:A84=C84)/FILTER(Info!$H$2:H84,Info!$A$2:A84=$K$2))*$I$2)&gt;15),2,
AND(COUNTIF($C$7:indirect(""C""&amp;row()),indirect(""C""&amp;row()))=2,COUNTIF($C$7:$C$102,indirect(""C""&amp;row()))=COUNTIF($"&amp;"C$7:indirect(""C""&amp;row()),indirect(""C""&amp;row()))),""Final"",
COUNTIF($C$7:indirect(""C""&amp;row()),indirect(""C""&amp;row()))=1,1,
COUNTIF($C$7:indirect(""C""&amp;row()),indirect(""C""&amp;row()))=0,"""")"),"")</f>
        <v/>
      </c>
      <c r="F84" s="64" t="str">
        <f>IFERROR(__xludf.DUMMYFUNCTION("IFS(C84="""","""",
AND(C84=""3x3 FMC"",MOD(COUNTIF($C$7:indirect(""C""&amp;row()),indirect(""C""&amp;row())),3)=0),""Mean of 3"",
AND(C84=""3x3 MBLD"",MOD(COUNTIF($C$7:indirect(""C""&amp;row()),indirect(""C""&amp;row())),3)=0),""Best of 3"",
AND(C84=""3x3 FMC"",MOD(COUNT"&amp;"IF($C$7:indirect(""C""&amp;row()),indirect(""C""&amp;row())),3)=2,
COUNTIF($C$7:$C$102,indirect(""C""&amp;row()))&lt;=COUNTIF($C$7:indirect(""C""&amp;row()),indirect(""C""&amp;row()))),""Best of 2"",
AND(C84=""3x3 FMC"",MOD(COUNTIF($C$7:indirect(""C""&amp;row()),indirect(""C""&amp;row("&amp;"))),3)=2,
COUNTIF($C$7:$C$102,indirect(""C""&amp;row()))&gt;COUNTIF($C$7:indirect(""C""&amp;row()),indirect(""C""&amp;row()))),""Mean of 3"",
AND(C84=""3x3 MBLD"",MOD(COUNTIF($C$7:indirect(""C""&amp;row()),indirect(""C""&amp;row())),3)=2,
COUNTIF($C$7:$C$102,indirect(""C""&amp;row("&amp;")))&lt;=COUNTIF($C$7:indirect(""C""&amp;row()),indirect(""C""&amp;row()))),""Best of 2"",
AND(C84=""3x3 MBLD"",MOD(COUNTIF($C$7:indirect(""C""&amp;row()),indirect(""C""&amp;row())),3)=2,
COUNTIF($C$7:$C$102,indirect(""C""&amp;row()))&gt;COUNTIF($C$7:indirect(""C""&amp;row()),indirect("&amp;"""C""&amp;row()))),""Best of 3"",
AND(C84=""3x3 FMC"",MOD(COUNTIF($C$7:indirect(""C""&amp;row()),indirect(""C""&amp;row())),3)=1,
COUNTIF($C$7:$C$102,indirect(""C""&amp;row()))&lt;=COUNTIF($C$7:indirect(""C""&amp;row()),indirect(""C""&amp;row()))),""Best of 1"",
AND(C84=""3x3 FMC"""&amp;",MOD(COUNTIF($C$7:indirect(""C""&amp;row()),indirect(""C""&amp;row())),3)=1,
COUNTIF($C$7:$C$102,indirect(""C""&amp;row()))=COUNTIF($C$7:indirect(""C""&amp;row()),indirect(""C""&amp;row()))+1),""Best of 2"",
AND(C84=""3x3 FMC"",MOD(COUNTIF($C$7:indirect(""C""&amp;row()),indirect"&amp;"(""C""&amp;row())),3)=1,
COUNTIF($C$7:$C$102,indirect(""C""&amp;row()))&gt;COUNTIF($C$7:indirect(""C""&amp;row()),indirect(""C""&amp;row()))),""Mean of 3"",
AND(C84=""3x3 MBLD"",MOD(COUNTIF($C$7:indirect(""C""&amp;row()),indirect(""C""&amp;row())),3)=1,
COUNTIF($C$7:$C$102,indirect"&amp;"(""C""&amp;row()))&lt;=COUNTIF($C$7:indirect(""C""&amp;row()),indirect(""C""&amp;row()))),""Best of 1"",
AND(C84=""3x3 MBLD"",MOD(COUNTIF($C$7:indirect(""C""&amp;row()),indirect(""C""&amp;row())),3)=1,
COUNTIF($C$7:$C$102,indirect(""C""&amp;row()))=COUNTIF($C$7:indirect(""C""&amp;row()"&amp;"),indirect(""C""&amp;row()))+1),""Best of 2"",
AND(C84=""3x3 MBLD"",MOD(COUNTIF($C$7:indirect(""C""&amp;row()),indirect(""C""&amp;row())),3)=1,
COUNTIF($C$7:$C$102,indirect(""C""&amp;row()))&gt;COUNTIF($C$7:indirect(""C""&amp;row()),indirect(""C""&amp;row()))),""Best of 3"",
TRUE,("&amp;"IFERROR(FILTER(Info!$D$2:D84, Info!$A$2:A84 = C84), """")))"),"")</f>
        <v/>
      </c>
      <c r="G84" s="64" t="str">
        <f>IFERROR(__xludf.DUMMYFUNCTION("IFS(OR(COUNTIF(Info!$A$22:A84,C84)&gt;0,C84=""""),"""",
OR(""3x3 MBLD""=C84,""3x3 FMC""=C84),60,
AND(E84=1,FILTER(Info!$F$2:F84, Info!$A$2:A84 = C84) = ""No""),FILTER(Info!$P$2:P84, Info!$A$2:A84 = C84),
AND(E84=2,FILTER(Info!$F$2:F84, Info!$A$2:A84 = C84) ="&amp;" ""No""),FILTER(Info!$Q$2:Q84, Info!$A$2:A84 = C84),
AND(E84=3,FILTER(Info!$F$2:F84, Info!$A$2:A84 = C84) = ""No""),FILTER(Info!$R$2:R84, Info!$A$2:A84 = C84),
AND(E84=""Final"",FILTER(Info!$F$2:F84, Info!$A$2:A84 = C84) = ""No""),FILTER(Info!$S$2:S84, In"&amp;"fo!$A$2:A84 = C84),
FILTER(Info!$F$2:F84, Info!$A$2:A84 = C84) = ""Yes"","""")"),"")</f>
        <v/>
      </c>
      <c r="H84" s="64" t="str">
        <f>IFERROR(__xludf.DUMMYFUNCTION("IFS(OR(COUNTIF(Info!$A$22:A84,C84)&gt;0,C84=""""),"""",
OR(""3x3 MBLD""=C84,""3x3 FMC""=C84)=TRUE,"""",
FILTER(Info!$F$2:F84, Info!$A$2:A84 = C84) = ""Yes"",FILTER(Info!$O$2:O84, Info!$A$2:A84 = C84),
FILTER(Info!$F$2:F84, Info!$A$2:A84 = C84) = ""No"",IF(G8"&amp;"4="""",FILTER(Info!$O$2:O84, Info!$A$2:A84 = C84),""""))"),"")</f>
        <v/>
      </c>
      <c r="I84" s="64" t="str">
        <f>IFERROR(__xludf.DUMMYFUNCTION("IFS(OR(COUNTIF(Info!$A$22:A84,C84)&gt;0,C84="""",H84&lt;&gt;""""),"""",
AND(E84&lt;&gt;1,E84&lt;&gt;""R1 - A1"",E84&lt;&gt;""R1 - A2"",E84&lt;&gt;""R1 - A3""),"""",
FILTER(Info!$E$2:E84, Info!$A$2:A84 = C84) = ""Yes"",IF(H84="""",FILTER(Info!$L$2:L84, Info!$A$2:A84 = C84),""""),
FILTER(I"&amp;"nfo!$E$2:E84, Info!$A$2:A84 = C84) = ""No"","""")"),"")</f>
        <v/>
      </c>
      <c r="J84" s="64" t="str">
        <f>IFERROR(__xludf.DUMMYFUNCTION("IFS(OR(COUNTIF(Info!$A$22:A84,C84)&gt;0,C84="""",""3x3 MBLD""=C84,""3x3 FMC""=C84),"""",
AND(E84=1,FILTER(Info!$H$2:H84,Info!$A$2:A84 = C84)&lt;=FILTER(Info!$H$2:H84,Info!$A$2:A84=$K$2)),
ROUNDUP((FILTER(Info!$H$2:H84,Info!$A$2:A84 = C84)/FILTER(Info!$H$2:H84,I"&amp;"nfo!$A$2:A84=$K$2))*$I$2),
AND(E84=1,FILTER(Info!$H$2:H84,Info!$A$2:A84 = C84)&gt;FILTER(Info!$H$2:H84,Info!$A$2:A84=$K$2)),""K2 - Error"",
AND(E84=2,FILTER($J$7:indirect(""J""&amp;row()-1),$C$7:indirect(""C""&amp;row()-1)=C84)&lt;=7),""J - Error"",
E84=2,FLOOR(FILTER("&amp;"$J$7:indirect(""J""&amp;row()-1),$C$7:indirect(""C""&amp;row()-1)=C84)*Info!$T$32),
AND(E84=3,FILTER($J$7:indirect(""J""&amp;row()-1),$C$7:indirect(""C""&amp;row()-1)=C84)&lt;=15),""J - Error"",
E84=3,FLOOR(Info!$T$32*FLOOR(FILTER($J$7:indirect(""J""&amp;row()-1),$C$7:indirect("&amp;"""C""&amp;row()-1)=C84)*Info!$T$32)),
AND(E84=""Final"",COUNTIF($C$7:$C$102,C84)=2,FILTER($J$7:indirect(""J""&amp;row()-1),$C$7:indirect(""C""&amp;row()-1)=C84)&lt;=7),""J - Error"",
AND(E84=""Final"",COUNTIF($C$7:$C$102,C84)=2),
MIN(P84,FLOOR(FILTER($J$7:indirect(""J"""&amp;"&amp;row()-1),$C$7:indirect(""C""&amp;row()-1)=C84)*Info!$T$32)),
AND(E84=""Final"",COUNTIF($C$7:$C$102,C84)=3,FILTER($J$7:indirect(""J""&amp;row()-1),$C$7:indirect(""C""&amp;row()-1)=C84)&lt;=15),""J - Error"",
AND(E84=""Final"",COUNTIF($C$7:$C$102,C84)=3),
MIN(P84,FLOOR(I"&amp;"nfo!$T$32*FLOOR(FILTER($J$7:indirect(""J""&amp;row()-1),$C$7:indirect(""C""&amp;row()-1)=C84)*Info!$T$32))),
AND(E84=""Final"",COUNTIF($C$7:$C$102,C84)&gt;=4,FILTER($J$7:indirect(""J""&amp;row()-1),$C$7:indirect(""C""&amp;row()-1)=C84)&lt;=99),""J - Error"",
AND(E84=""Final"","&amp;"COUNTIF($C$7:$C$102,C84)&gt;=4),
MIN(P84,FLOOR(Info!$T$32*FLOOR(Info!$T$32*FLOOR(FILTER($J$7:indirect(""J""&amp;row()-1),$C$7:indirect(""C""&amp;row()-1)=C84)*Info!$T$32)))))"),"")</f>
        <v/>
      </c>
      <c r="K84" s="41" t="str">
        <f>IFERROR(__xludf.DUMMYFUNCTION("IFS(AND(indirect(""D""&amp;row()+2)&lt;&gt;$E$2,indirect(""D""&amp;row()+1)=""""),CONCATENATE(""Tom rad! Kopiera hela rad ""&amp;row()&amp;"" dit""),
AND(indirect(""D""&amp;row()-1)&lt;&gt;""Rum"",indirect(""D""&amp;row()-1)=""""),CONCATENATE(""Tom rad! Kopiera hela rad ""&amp;row()&amp;"" dit""),
"&amp;"C84="""","""",
COUNTIF(Info!$A$22:A84,$K$2)&gt;0,""Det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OR(AND(D84&lt;&gt;$E$2,D84&lt;&gt;$E$4,D84&lt;&gt;$K$4,D84&lt;&gt;$Q$4),D84="&amp;"""""),CONCATENATE(""Rum: ""&amp;D84&amp;"" finns ej, byt i D""&amp;row()),
AND(indirect(""D""&amp;row()-1)=""Rum"",C84=""""),CONCATENATE(""För att börja: skriv i cell C""&amp;row()),
AND(C84=""Paus"",M84&lt;=0),CONCATENATE(""Skriv pausens längd i M""&amp;row()),
OR(COUNTIF(Info!$A$"&amp;"22:A84,C84)&gt;0,C84=""""),"""",
AND(D84&lt;&gt;$E$2,$O$2=""Yes"",A84=""=time(hh;mm;ss)""),CONCATENATE(""Skriv starttid för ""&amp;C84&amp;"" i A""&amp;row()),
E84=""E - Error"",CONCATENATE(""För många ""&amp;C84&amp;"" rundor!""),
AND(C84&lt;&gt;""3x3 FMC"",C84&lt;&gt;""3x3 MBLD"",E84&lt;&gt;1,E84&lt;&gt;"&amp;"""Final"",IFERROR(FILTER($E$7:indirect(""E""&amp;row()-1),
$E$7:indirect(""E""&amp;row()-1)=E84-1,$C$7:indirect(""C""&amp;row()-1)=C84))=FALSE),CONCATENATE(""Kan ej vara R""&amp;E84&amp;"", saknar R""&amp;(E84-1)),
AND(indirect(""E""&amp;row()-1)&lt;&gt;""Omgång"",IFERROR(FILTER($E$7:indi"&amp;"rect(""E""&amp;row()-1),
$E$7:indirect(""E""&amp;row()-1)=E84,$C$7:indirect(""C""&amp;row()-1)=C84)=E84)=TRUE),CONCATENATE(""Runda ""&amp;E84&amp;"" i ""&amp;C84&amp;"" finns redan""),
AND(C84&lt;&gt;""3x3 BLD"",C84&lt;&gt;""4x4 BLD"",C84&lt;&gt;""5x5 BLD"",C84&lt;&gt;""4x4 / 5x5 BLD"",OR(E84=2,E84=3,E84="&amp;"""Final""),H84&lt;&gt;""""),CONCATENATE(E84&amp;""-rundor brukar ej ha c.t.l.""),
AND(OR(E84=2,E84=3,E84=""Final""),I84&lt;&gt;""""),CONCATENATE(E84&amp;""-rundor brukar ej ha cutoff""),
AND(OR(C84=""3x3 FMC"",C84=""3x3 MBLD""),OR(E84=1,E84=2,E84=3,E84=""Final"")),CONCATENAT"&amp;"E(C84&amp;""s omgång är Rx - Ax""),
AND(C84&lt;&gt;""3x3 MBLD"",C84&lt;&gt;""3x3 FMC"",FILTER(Info!$D$2:D84, Info!$A$2:A84 = C84)&lt;&gt;F84),CONCATENATE(C84&amp;"" måste ha formatet ""&amp;FILTER(Info!$D$2:D84, Info!$A$2:A84 = C84)),
AND(C84=""3x3 MBLD"",OR(F84=""Avg of 5"",F84=""Mea"&amp;"n of 3"")),CONCATENATE(""Ogiltigt format för ""&amp;C84),
AND(C84=""3x3 FMC"",OR(F84=""Avg of 5"",F84=""Best of 3"")),CONCATENATE(""Ogiltigt format för ""&amp;C84),
AND(OR(F84=""Best of 1"",F84=""Best of 2"",F84=""Best of 3""),I84&lt;&gt;""""),CONCATENATE(F84&amp;""-rundor"&amp;" får ej ha cutoff""),
AND(OR(C84=""3x3 FMC"",C84=""3x3 MBLD""),G84&lt;&gt;60),CONCATENATE(C84&amp;"" måste ha time limit: 60""),
AND(OR(C84=""3x3 FMC"",C84=""3x3 MBLD""),H84&lt;&gt;""""),CONCATENATE(C84&amp;"" kan inte ha c.t.l.""),
AND(G84&lt;&gt;"""",H84&lt;&gt;""""),""Välj time limit"&amp;" ELLER c.t.l"",
AND(C84=""6x6 / 7x7"",G84="""",H84=""""),""Sätt time limit (x / y) eller c.t.l (z)"",
AND(G84="""",H84=""""),""Sätt en time limit eller c.t.l"",
AND(OR(C84=""6x6 / 7x7"",C84=""4x4 / 5x5 BLD""),G84&lt;&gt;"""",REGEXMATCH(TO_TEXT(G84),"" / "")=FAL"&amp;"SE),CONCATENATE(""Time limit måste vara x / y""),
AND(H84&lt;&gt;"""",I84&lt;&gt;""""),CONCATENATE(C84&amp;"" brukar ej ha cutoff OCH c.t.l""),
AND(E84=1,H84="""",I84="""",OR(FILTER(Info!$E$2:E84, Info!$A$2:A84 = C84) = ""Yes"",FILTER(Info!$F$2:F84, Info!$A$2:A84 = C84) "&amp;"= ""Yes""),OR(F84=""Avg of 5"",F84=""Mean of 3"")),CONCATENATE(C84&amp;"" bör ha cutoff eller c.t.l""),
AND(C84=""6x6 / 7x7"",I84&lt;&gt;"""",REGEXMATCH(TO_TEXT(I84),"" / "")=FALSE),CONCATENATE(""Cutoff måste vara x / y""),
AND(H84&lt;&gt;"""",ISNUMBER(H84)=FALSE),""C.t."&amp;"l. måste vara positivt tal (x)"",
AND(C84&lt;&gt;""6x6 / 7x7"",I84&lt;&gt;"""",ISNUMBER(I84)=FALSE),""Cutoff måste vara positivt tal (x)"",
AND(H84&lt;&gt;"""",FILTER(Info!$E$2:E84, Info!$A$2:A84 = C84) = ""No"",FILTER(Info!$F$2:F84, Info!$A$2:A84 = C84) = ""No""),CONCATEN"&amp;"ATE(C84&amp;"" brukar inte ha c.t.l.""),
AND(I84&lt;&gt;"""",FILTER(Info!$E$2:E84, Info!$A$2:A84 = C84) = ""No"",FILTER(Info!$F$2:F84, Info!$A$2:A84 = C84) = ""No""),CONCATENATE(C84&amp;"" brukar inte ha cutoff""),
AND(H84="""",FILTER(Info!$F$2:F84, Info!$A$2:A84 = C84"&amp;") = ""Yes""),CONCATENATE(C84&amp;"" brukar ha c.t.l.""),
AND(C84&lt;&gt;""6x6 / 7x7"",C84&lt;&gt;""4x4 / 5x5 BLD"",G84&lt;&gt;"""",ISNUMBER(G84)=FALSE),""Time limit måste vara positivt tal (x)"",
J84=""J - Error"",CONCATENATE(""För få deltagare i R1 för ""&amp;COUNTIF($C$7:$C$102,"&amp;"indirect(""C""&amp;row()))&amp;"" rundor""),
J84=""K2 - Error"",CONCATENATE(C84&amp;"" är mer populär - byt i K2!""),
AND(C84&lt;&gt;""6x6 / 7x7"",C84&lt;&gt;""4x4 / 5x5 BLD"",G84&lt;&gt;"""",I84&lt;&gt;"""",G84&lt;=I84),""Time limit måste vara &gt; cutoff"",
AND(C84&lt;&gt;""6x6 / 7x7"",C84&lt;&gt;""4x4 / 5"&amp;"x5 BLD"",H84&lt;&gt;"""",I84&lt;&gt;"""",H84&lt;=I84),""C.t.l. måste vara &gt; cutoff"",
AND(C84&lt;&gt;""3x3 FMC"",C84&lt;&gt;""3x3 MBLD"",J84=""""),CONCATENATE(""Fyll i antal deltagare i J""&amp;row()),
AND(C84="""",OR(E84&lt;&gt;"""",F84&lt;&gt;"""",G84&lt;&gt;"""",H84&lt;&gt;"""",I84&lt;&gt;"""",J84&lt;&gt;"""")),""Skri"&amp;"v ALLTID gren / aktivitet först"",
AND(I84="""",H84="""",J84&lt;&gt;""""),J84,
OR(""3x3 FMC""=C84,""3x3 MBLD""=C84),J84,
AND(I84&lt;&gt;"""",""6x6 / 7x7""=C84),
IFS(ArrayFormula(SUM(IFERROR(SPLIT(I84,"" / ""))))&lt;(Info!$J$6+Info!$J$7)*2/3,CONCATENATE(""Höj helst cutof"&amp;"fs i ""&amp;C84),
ArrayFormula(SUM(IFERROR(SPLIT(I84,"" / ""))))&lt;=(Info!$J$6+Info!$J$7),ROUNDUP(J84*Info!$J$22),
ArrayFormula(SUM(IFERROR(SPLIT(I84,"" / ""))))&lt;=Info!$J$6+Info!$J$7,ROUNDUP(J84*Info!$K$22),
ArrayFormula(SUM(IFERROR(SPLIT(I84,"" / ""))))&lt;=Info!"&amp;"$K$6+Info!$K$7,ROUNDUP(J84*Info!L$22),
ArrayFormula(SUM(IFERROR(SPLIT(I84,"" / ""))))&lt;=Info!$L$6+Info!$L$7,ROUNDUP(J84*Info!$M$22),
ArrayFormula(SUM(IFERROR(SPLIT(I84,"" / ""))))&lt;=Info!$M$6+Info!$M$7,ROUNDUP(J84*Info!$N$22),
ArrayFormula(SUM(IFERROR(SPLIT"&amp;"(I84,"" / ""))))&lt;=(Info!$N$6+Info!$N$7)*3/2,ROUNDUP(J84*Info!$J$26),
ArrayFormula(SUM(IFERROR(SPLIT(I84,"" / ""))))&gt;(Info!$N$6+Info!$N$7)*3/2,CONCATENATE(""Sänk helst cutoffs i ""&amp;C84)),
AND(I84&lt;&gt;"""",FILTER(Info!$E$2:E84, Info!$A$2:A84 = C84) = ""Yes""),"&amp;"
IFS(I84&lt;FILTER(Info!$J$2:J84, Info!$A$2:A84 = C84)*2/3,CONCATENATE(""Höj helst cutoff i ""&amp;C84),
I84&lt;=FILTER(Info!$J$2:J84, Info!$A$2:A84 = C84),ROUNDUP(J84*Info!$J$22),
I84&lt;=FILTER(Info!$K$2:K84, Info!$A$2:A84 = C84),ROUNDUP(J84*Info!$K$22),
I84&lt;=FILTER"&amp;"(Info!$L$2:L84, Info!$A$2:A84 = C84),ROUNDUP(J84*Info!L$22),
I84&lt;=FILTER(Info!$M$2:M84, Info!$A$2:A84 = C84),ROUNDUP(J84*Info!$M$22),
I84&lt;=FILTER(Info!$N$2:N84, Info!$A$2:A84 = C84),ROUNDUP(J84*Info!$N$22),
I84&lt;=FILTER(Info!$N$2:N84, Info!$A$2:A84 = C84)*"&amp;"3/2,ROUNDUP(J84*Info!$J$26),
I84&gt;FILTER(Info!$N$2:N84, Info!$A$2:A84 = C84)*3/2,CONCATENATE(""Sänk helst cutoff i ""&amp;C84)),
AND(H84&lt;&gt;"""",""6x6 / 7x7""=C84),
IFS(H84/3&lt;=(Info!$J$6+Info!$J$7)*2/3,""Höj helst cumulative time limit"",
H84/3&lt;=Info!$J$6+Info!$"&amp;"J$7,ROUNDUP(J84*Info!$J$24),
H84/3&lt;=Info!$K$6+Info!$K$7,ROUNDUP(J84*Info!$K$24),
H84/3&lt;=Info!$L$6+Info!$L$7,ROUNDUP(J84*Info!L$24),
H84/3&lt;=Info!$M$6+Info!$M$7,ROUNDUP(J84*Info!$M$24),
H84/3&lt;=Info!$N$6+Info!$N$7,ROUNDUP(J84*Info!$N$24),
H84/3&lt;=(Info!$N$6+I"&amp;"nfo!$N$7)*3/2,ROUNDUP(J84*Info!$L$26),
H84/3&gt;(Info!$J$6+Info!$J$7)*3/2,""Sänk helst cumulative time limit""),
AND(H84&lt;&gt;"""",FILTER(Info!$F$2:F84, Info!$A$2:A84 = C84) = ""Yes""),
IFS(H84&lt;=FILTER(Info!$J$2:J84, Info!$A$2:A84 = C84)*2/3,CONCATENATE(""Höj he"&amp;"lst c.t.l. i ""&amp;C84),
H84&lt;=FILTER(Info!$J$2:J84, Info!$A$2:A84 = C84),ROUNDUP(J84*Info!$J$24),
H84&lt;=FILTER(Info!$K$2:K84, Info!$A$2:A84 = C84),ROUNDUP(J84*Info!$K$24),
H84&lt;=FILTER(Info!$L$2:L84, Info!$A$2:A84 = C84),ROUNDUP(J84*Info!L$24),
H84&lt;=FILTER(Inf"&amp;"o!$M$2:M84, Info!$A$2:A84 = C84),ROUNDUP(J84*Info!$M$24),
H84&lt;=FILTER(Info!$N$2:N84, Info!$A$2:A84 = C84),ROUNDUP(J84*Info!$N$24),
H84&lt;=FILTER(Info!$N$2:N84, Info!$A$2:A84 = C84)*3/2,ROUNDUP(J84*Info!$L$26),
H84&gt;FILTER(Info!$N$2:N84, Info!$A$2:A84 = C84)*"&amp;"3/2,CONCATENATE(""Sänk helst c.t.l. i ""&amp;C84)),
AND(H84&lt;&gt;"""",FILTER(Info!$F$2:F84, Info!$A$2:A84 = C84) = ""No""),
IFS(H84/AA84&lt;=FILTER(Info!$J$2:J84, Info!$A$2:A84 = C84)*2/3,CONCATENATE(""Höj helst c.t.l. i ""&amp;C84),
H84/AA84&lt;=FILTER(Info!$J$2:J84, Info"&amp;"!$A$2:A84 = C84),ROUNDUP(J84*Info!$J$24),
H84/AA84&lt;=FILTER(Info!$K$2:K84, Info!$A$2:A84 = C84),ROUNDUP(J84*Info!$K$24),
H84/AA84&lt;=FILTER(Info!$L$2:L84, Info!$A$2:A84 = C84),ROUNDUP(J84*Info!L$24),
H84/AA84&lt;=FILTER(Info!$M$2:M84, Info!$A$2:A84 = C84),ROUND"&amp;"UP(J84*Info!$M$24),
H84/AA84&lt;=FILTER(Info!$N$2:N84, Info!$A$2:A84 = C84),ROUNDUP(J84*Info!$N$24),
H84/AA84&lt;=FILTER(Info!$N$2:N84, Info!$A$2:A84 = C84)*3/2,ROUNDUP(J84*Info!$L$26),
H84/AA84&gt;FILTER(Info!$N$2:N84, Info!$A$2:A84 = C84)*3/2,CONCATENATE(""Sänk "&amp;"helst c.t.l. i ""&amp;C84)),
AND(I84="""",H84&lt;&gt;"""",J84&lt;&gt;""""),ROUNDUP(J84*Info!$T$29),
AND(I84&lt;&gt;"""",H84="""",J84&lt;&gt;""""),ROUNDUP(J84*Info!$T$26))"),"")</f>
        <v/>
      </c>
      <c r="L84" s="42">
        <f>IFERROR(__xludf.DUMMYFUNCTION("IFS(C84="""",0,
C84=""3x3 FMC"",Info!$B$9*N84+M84, C84=""3x3 MBLD"",Info!$B$18*N84+M84,
COUNTIF(Info!$A$22:A84,C84)&gt;0,FILTER(Info!$B$22:B84,Info!$A$22:A84=C84)+M84,
AND(C84&lt;&gt;"""",E84=""""),CONCATENATE(""Fyll i E""&amp;row()),
AND(C84&lt;&gt;"""",E84&lt;&gt;"""",E84&lt;&gt;1,E8"&amp;"4&lt;&gt;2,E84&lt;&gt;3,E84&lt;&gt;""Final""),CONCATENATE(""Fel format på E""&amp;row()),
K84=CONCATENATE(""Runda ""&amp;E84&amp;"" i ""&amp;C84&amp;"" finns redan""),CONCATENATE(""Fel i E""&amp;row()),
AND(C84&lt;&gt;"""",F84=""""),CONCATENATE(""Fyll i F""&amp;row()),
K84=CONCATENATE(C84&amp;"" måste ha forma"&amp;"tet ""&amp;FILTER(Info!$D$2:D84, Info!$A$2:A84 = C84)),CONCATENATE(""Fel format på F""&amp;row()),
AND(C84&lt;&gt;"""",D84=1,H84="""",FILTER(Info!$F$2:F84, Info!$A$2:A84 = C84) = ""Yes""),CONCATENATE(""Fyll i H""&amp;row()),
AND(C84&lt;&gt;"""",D84=1,I84="""",FILTER(Info!$E$2:E8"&amp;"4, Info!$A$2:A84 = C84) = ""Yes""),CONCATENATE(""Fyll i I""&amp;row()),
AND(C84&lt;&gt;"""",J84=""""),CONCATENATE(""Fyll i J""&amp;row()),
AND(C84&lt;&gt;"""",K84="""",OR(H84&lt;&gt;"""",I84&lt;&gt;"""")),CONCATENATE(""Fyll i K""&amp;row()),
AND(C84&lt;&gt;"""",K84=""""),CONCATENATE(""Skriv samma"&amp;" i K""&amp;row()&amp;"" som i J""&amp;row()),
AND(OR(C84=""4x4 BLD"",C84=""5x5 BLD"",C84=""4x4 / 5x5 BLD"")=TRUE,V84&lt;=P84),
MROUND(H84*(Info!$T$20-((Info!$T$20-1)/2)*(1-V84/P84))*(1+((J84/K84)-1)*(1-Info!$J$24))*N84+(Info!$T$11/2)+(N84*Info!$T$11)+(N84*Info!$T$14*(O8"&amp;"4-1)),0.01)+M84,
AND(OR(C84=""4x4 BLD"",C84=""5x5 BLD"",C84=""4x4 / 5x5 BLD"")=TRUE,V84&gt;P84),
MROUND((((J84*Z84+K84*(AA84-Z84))*(H84*Info!$T$20/AA84))/X84)*(1+((J84/K84)-1)*(1-Info!$J$24))*(1+(X84-Info!$T$8)/100)+(Info!$T$11/2)+(N84*Info!$T$11)+(N84*Info!"&amp;"$T$14*(O84-1)),0.01)+M84,
AND(C84=""3x3 BLD"",V84&lt;=P84),
MROUND(H84*(Info!$T$23-((Info!$T$23-1)/2)*(1-V84/P84))*(1+((J84/K84)-1)*(1-Info!$J$24))*N84+(Info!$T$11/2)+(N84*Info!$T$11)+(N84*Info!$T$14*(O84-1)),0.01)+M84,
AND(C84=""3x3 BLD"",V84&gt;P84),
MROUND(("&amp;"((J84*Z84+K84*(AA84-Z84))*(H84*Info!$T$23/AA84))/X84)*(1+((J84/K84)-1)*(1-Info!$J$24))*(1+(X84-Info!$T$8)/100)+(Info!$T$11/2)+(N84*Info!$T$11)+(N84*Info!$T$14*(O84-1)),0.01)+M84,
E84=1,MROUND((((J84*Z84+K84*(AA84-Z84))*Y84)/X84)*(1+(X84-Info!$T$8)/100)+(N"&amp;"84*Info!$T$11)+(N84*Info!$T$14*(O84-1)),0.01)+M84,
AND(E84=""Final"",N84=1,FILTER(Info!$G$2:$G$20,Info!$A$2:$A$20=C84)=""Mycket svår""),
MROUND((((J84*Z84+K84*(AA84-Z84))*(Y84*Info!$T$38))/X84)*(1+(X84-Info!$T$8)/100)+(N84*Info!$T$11)+(N84*Info!$T$14*(O84"&amp;"-1)),0.01)+M84,
AND(E84=""Final"",N84=1,FILTER(Info!$G$2:$G$20,Info!$A$2:$A$20=C84)=""Svår""),
MROUND((((J84*Z84+K84*(AA84-Z84))*(Y84*Info!$T$35))/X84)*(1+(X84-Info!$T$8)/100)+(N84*Info!$T$11)+(N84*Info!$T$14*(O84-1)),0.01)+M84,
E84=""Final"",MROUND((((J8"&amp;"4*Z84+K84*(AA84-Z84))*(Y84*Info!$T$5))/X84)*(1+(X84-Info!$T$8)/100)+(N84*Info!$T$11)+(N84*Info!$T$14*(O84-1)),0.01)+M84,
OR(E84=2,E84=3),MROUND((((J84*Z84+K84*(AA84-Z84))*(Y84*Info!$T$2))/X84)*(1+(X84-Info!$T$8)/100)+(N84*Info!$T$11)+(N84*Info!$T$14*(O84-"&amp;"1)),0.01)+M84)"),0.0)</f>
        <v>0</v>
      </c>
      <c r="M84" s="43">
        <f t="shared" si="9"/>
        <v>0</v>
      </c>
      <c r="N84" s="43" t="str">
        <f>IFS(OR(COUNTIF(Info!$A$22:A84,C84)&gt;0,C84=""),"",
OR(C84="4x4 BLD",C84="5x5 BLD",C84="3x3 MBLD",C84="3x3 FMC",C84="4x4 / 5x5 BLD"),1,
AND(E84="Final",Q84="Yes",MAX(1,ROUNDUP(J84/P84))&gt;1),MAX(2,ROUNDUP(J84/P84)),
AND(E84="Final",Q84="No",MAX(1,ROUNDUP(J84/((P84*2)+2.625-Y84*1.5)))&gt;1),MAX(2,ROUNDUP(J84/((P84*2)+2.625-Y84*1.5))),
E84="Final",1,
Q84="Yes",MAX(2,ROUNDUP(J84/P84)),
TRUE,MAX(2,ROUNDUP(J84/((P84*2)+2.625-Y84*1.5))))</f>
        <v/>
      </c>
      <c r="O84" s="43" t="str">
        <f>IFS(OR(COUNTIF(Info!$A$22:A84,C84)&gt;0,C84=""),"",
OR("3x3 MBLD"=C84,"3x3 FMC"=C84)=TRUE,"",
D84=$E$4,$G$6,D84=$K$4,$M$6,D84=$Q$4,$S$6,D84=$W$4,$Y$6,
TRUE,$S$2)</f>
        <v/>
      </c>
      <c r="P84" s="43" t="str">
        <f>IFS(OR(COUNTIF(Info!$A$22:A84,C84)&gt;0,C84=""),"",
OR("3x3 MBLD"=C84,"3x3 FMC"=C84)=TRUE,"",
D84=$E$4,$E$6,D84=$K$4,$K$6,D84=$Q$4,$Q$6,D84=$W$4,$W$6,
TRUE,$Q$2)</f>
        <v/>
      </c>
      <c r="Q84" s="44" t="str">
        <f>IFS(OR(COUNTIF(Info!$A$22:A84,C84)&gt;0,C84=""),"",
OR("3x3 MBLD"=C84,"3x3 FMC"=C84)=TRUE,"",
D84=$E$4,$I$6,D84=$K$4,$O$6,D84=$Q$4,$U$6,D84=$W$4,$AA$6,
TRUE,$U$2)</f>
        <v/>
      </c>
      <c r="R84" s="65" t="str">
        <f>IFERROR(__xludf.DUMMYFUNCTION("IF(C84="""","""",IFERROR(FILTER(Info!$B$22:B84,Info!$A$22:A84=C84)+M84,""?""))"),"")</f>
        <v/>
      </c>
      <c r="S84" s="66" t="str">
        <f>IFS(OR(COUNTIF(Info!$A$22:A84,C84)&gt;0,C84=""),"",
AND(H84="",I84=""),J84,
TRUE,"?")</f>
        <v/>
      </c>
      <c r="T84" s="65" t="str">
        <f>IFS(OR(COUNTIF(Info!$A$22:A84,C84)&gt;0,C84=""),"",
AND(L84&lt;&gt;0,OR(R84="?",R84="")),"Fyll i R-kolumnen",
OR(C84="3x3 FMC",C84="3x3 MBLD"),R84,
AND(L84&lt;&gt;0,OR(S84="?",S84="")),"Fyll i S-kolumnen",
OR(COUNTIF(Info!$A$22:A84,C84)&gt;0,C84=""),"",
TRUE,Y84*R84/L84)</f>
        <v/>
      </c>
      <c r="U84" s="65"/>
      <c r="V84" s="67" t="str">
        <f>IFS(OR(COUNTIF(Info!$A$22:A84,C84)&gt;0,C84=""),"",
OR("3x3 MBLD"=C84,"3x3 FMC"=C84)=TRUE,"",
TRUE,MROUND((J84/N84),0.01))</f>
        <v/>
      </c>
      <c r="W84" s="68" t="str">
        <f>IFS(OR(COUNTIF(Info!$A$22:A84,C84)&gt;0,C84=""),"",
TRUE,L84/N84)</f>
        <v/>
      </c>
      <c r="X84" s="67" t="str">
        <f>IFS(OR(COUNTIF(Info!$A$22:A84,C84)&gt;0,C84=""),"",
OR("3x3 MBLD"=C84,"3x3 FMC"=C84)=TRUE,"",
OR(C84="4x4 BLD",C84="5x5 BLD",C84="4x4 / 5x5 BLD",AND(C84="3x3 BLD",H84&lt;&gt;""))=TRUE,MIN(V84,P84),
TRUE,MIN(P84,V84,MROUND(((V84*2/3)+((Y84-1.625)/2)),0.01)))</f>
        <v/>
      </c>
      <c r="Y84" s="68" t="str">
        <f>IFERROR(__xludf.DUMMYFUNCTION("IFS(OR(COUNTIF(Info!$A$22:A84,C84)&gt;0,C84=""""),"""",
FILTER(Info!$F$2:F84, Info!$A$2:A84 = C84) = ""Yes"",H84/AA84,
""3x3 FMC""=C84,Info!$B$9,""3x3 MBLD""=C84,Info!$B$18,
AND(E84=1,I84="""",H84="""",Q84=""No"",G84&gt;SUMIF(Info!$A$2:A84,C84,Info!$B$2:B84)*1."&amp;"5),
MIN(SUMIF(Info!$A$2:A84,C84,Info!$B$2:B84)*1.1,SUMIF(Info!$A$2:A84,C84,Info!$B$2:B84)*(1.15-(0.15*(SUMIF(Info!$A$2:A84,C84,Info!$B$2:B84)*1.5)/G84))),
AND(E84=1,I84="""",H84="""",Q84=""Yes"",G84&gt;SUMIF(Info!$A$2:A84,C84,Info!$C$2:C84)*1.5),
MIN(SUMIF(I"&amp;"nfo!$A$2:A84,C84,Info!$C$2:C84)*1.1,SUMIF(Info!$A$2:A84,C84,Info!$C$2:C84)*(1.15-(0.15*(SUMIF(Info!$A$2:A84,C84,Info!$C$2:C84)*1.5)/G84))),
Q84=""No"",SUMIF(Info!$A$2:A84,C84,Info!$B$2:B84),
Q84=""Yes"",SUMIF(Info!$A$2:A84,C84,Info!$C$2:C84))"),"")</f>
        <v/>
      </c>
      <c r="Z84" s="67" t="str">
        <f>IFS(OR(COUNTIF(Info!$A$22:A84,C84)&gt;0,C84=""),"",
AND(OR("3x3 FMC"=C84,"3x3 MBLD"=C84),I84&lt;&gt;""),1,
AND(OR(H84&lt;&gt;"",I84&lt;&gt;""),F84="Avg of 5"),2,
F84="Avg of 5",AA84,
AND(OR(H84&lt;&gt;"",I84&lt;&gt;""),F84="Mean of 3",C84="6x6 / 7x7"),2,
AND(OR(H84&lt;&gt;"",I84&lt;&gt;""),F84="Mean of 3"),1,
F84="Mean of 3",AA84,
AND(OR(H84&lt;&gt;"",I84&lt;&gt;""),F84="Best of 3",C84="4x4 / 5x5 BLD"),2,
AND(OR(H84&lt;&gt;"",I84&lt;&gt;""),F84="Best of 3"),1,
F84="Best of 2",AA84,
F84="Best of 1",AA84)</f>
        <v/>
      </c>
      <c r="AA84" s="67" t="str">
        <f>IFS(OR(COUNTIF(Info!$A$22:A84,C84)&gt;0,C84=""),"",
AND(OR("3x3 MBLD"=C84,"3x3 FMC"=C84),F84="Best of 1"=TRUE),1,
AND(OR("3x3 MBLD"=C84,"3x3 FMC"=C84),F84="Best of 2"=TRUE),2,
AND(OR("3x3 MBLD"=C84,"3x3 FMC"=C84),OR(F84="Best of 3",F84="Mean of 3")=TRUE),3,
AND(F84="Mean of 3",C84="6x6 / 7x7"),6,
AND(F84="Best of 3",C84="4x4 / 5x5 BLD"),6,
F84="Avg of 5",5,F84="Mean of 3",3,F84="Best of 3",3,F84="Best of 2",2,F84="Best of 1",1)</f>
        <v/>
      </c>
      <c r="AB84" s="69"/>
    </row>
    <row r="85" ht="15.75" customHeight="1">
      <c r="A85" s="62">
        <f>IFERROR(__xludf.DUMMYFUNCTION("IFS(indirect(""A""&amp;row()-1)=""Start"",TIME(indirect(""A""&amp;row()-2),indirect(""B""&amp;row()-2),0),
$O$2=""No"",TIME(0,($A$6*60+$B$6)+CEILING(SUM($L$7:indirect(""L""&amp;row()-1)),5),0),
D85=$E$2,TIME(0,($A$6*60+$B$6)+CEILING(SUM(IFERROR(FILTER($L$7:indirect(""L"""&amp;"&amp;row()-1),REGEXMATCH($D$7:indirect(""D""&amp;row()-1),$E$2)),0)),5),0),
TRUE,""=time(hh;mm;ss)"")"),0.3541666666666665)</f>
        <v>0.3541666667</v>
      </c>
      <c r="B85" s="63">
        <f>IFERROR(__xludf.DUMMYFUNCTION("IFS($O$2=""No"",TIME(0,($A$6*60+$B$6)+CEILING(SUM($L$7:indirect(""L""&amp;row())),5),0),
D85=$E$2,TIME(0,($A$6*60+$B$6)+CEILING(SUM(FILTER($L$7:indirect(""L""&amp;row()),REGEXMATCH($D$7:indirect(""D""&amp;row()),$E$2))),5),0),
A85=""=time(hh;mm;ss)"",CONCATENATE(""Sk"&amp;"riv tid i A""&amp;row()),
AND(A85&lt;&gt;"""",A85&lt;&gt;""=time(hh;mm;ss)""),A85+TIME(0,CEILING(indirect(""L""&amp;row()),5),0))"),0.3541666666666665)</f>
        <v>0.3541666667</v>
      </c>
      <c r="C85" s="37"/>
      <c r="D85" s="64" t="str">
        <f t="shared" si="10"/>
        <v>Stora salen</v>
      </c>
      <c r="E85" s="64" t="str">
        <f>IFERROR(__xludf.DUMMYFUNCTION("IFS(COUNTIF(Info!$A$22:A85,C85)&gt;0,"""",
AND(OR(""3x3 FMC""=C85,""3x3 MBLD""=C85),COUNTIF($C$7:indirect(""C""&amp;row()),indirect(""C""&amp;row()))&gt;=13),""E - Error"",
AND(OR(""3x3 FMC""=C85,""3x3 MBLD""=C85),COUNTIF($C$7:indirect(""C""&amp;row()),indirect(""C""&amp;row()"&amp;"))=12),""Final - A3"",
AND(OR(""3x3 FMC""=C85,""3x3 MBLD""=C85),COUNTIF($C$7:indirect(""C""&amp;row()),indirect(""C""&amp;row()))=11),""Final - A2"",
AND(OR(""3x3 FMC""=C85,""3x3 MBLD""=C85),COUNTIF($C$7:indirect(""C""&amp;row()),indirect(""C""&amp;row()))=10),""Final - "&amp;"A1"",
AND(OR(""3x3 FMC""=C85,""3x3 MBLD""=C85),COUNTIF($C$7:indirect(""C""&amp;row()),indirect(""C""&amp;row()))=9,
COUNTIF($C$7:$C$102,indirect(""C""&amp;row()))&gt;9),""R3 - A3"",
AND(OR(""3x3 FMC""=C85,""3x3 MBLD""=C85),COUNTIF($C$7:indirect(""C""&amp;row()),indirect(""C"&amp;"""&amp;row()))=9,
COUNTIF($C$7:$C$102,indirect(""C""&amp;row()))&lt;=9),""Final - A3"",
AND(OR(""3x3 FMC""=C85,""3x3 MBLD""=C85),COUNTIF($C$7:indirect(""C""&amp;row()),indirect(""C""&amp;row()))=8,
COUNTIF($C$7:$C$102,indirect(""C""&amp;row()))&gt;9),""R3 - A2"",
AND(OR(""3x3 FMC"&amp;"""=C85,""3x3 MBLD""=C85),COUNTIF($C$7:indirect(""C""&amp;row()),indirect(""C""&amp;row()))=8,
COUNTIF($C$7:$C$102,indirect(""C""&amp;row()))&lt;=9),""Final - A2"",
AND(OR(""3x3 FMC""=C85,""3x3 MBLD""=C85),COUNTIF($C$7:indirect(""C""&amp;row()),indirect(""C""&amp;row()))=7,
COUN"&amp;"TIF($C$7:$C$102,indirect(""C""&amp;row()))&gt;9),""R3 - A1"",
AND(OR(""3x3 FMC""=C85,""3x3 MBLD""=C85),COUNTIF($C$7:indirect(""C""&amp;row()),indirect(""C""&amp;row()))=7,
COUNTIF($C$7:$C$102,indirect(""C""&amp;row()))&lt;=9),""Final - A1"",
AND(OR(""3x3 FMC""=C85,""3x3 MBLD"""&amp;"=C85),COUNTIF($C$7:indirect(""C""&amp;row()),indirect(""C""&amp;row()))=6,
COUNTIF($C$7:$C$102,indirect(""C""&amp;row()))&gt;6),""R2 - A3"",
AND(OR(""3x3 FMC""=C85,""3x3 MBLD""=C85),COUNTIF($C$7:indirect(""C""&amp;row()),indirect(""C""&amp;row()))=6,
COUNTIF($C$7:$C$102,indirec"&amp;"t(""C""&amp;row()))&lt;=6),""Final - A3"",
AND(OR(""3x3 FMC""=C85,""3x3 MBLD""=C85),COUNTIF($C$7:indirect(""C""&amp;row()),indirect(""C""&amp;row()))=5,
COUNTIF($C$7:$C$102,indirect(""C""&amp;row()))&gt;6),""R2 - A2"",
AND(OR(""3x3 FMC""=C85,""3x3 MBLD""=C85),COUNTIF($C$7:indi"&amp;"rect(""C""&amp;row()),indirect(""C""&amp;row()))=5,
COUNTIF($C$7:$C$102,indirect(""C""&amp;row()))&lt;=6),""Final - A2"",
AND(OR(""3x3 FMC""=C85,""3x3 MBLD""=C85),COUNTIF($C$7:indirect(""C""&amp;row()),indirect(""C""&amp;row()))=4,
COUNTIF($C$7:$C$102,indirect(""C""&amp;row()))&gt;6),"&amp;"""R2 - A1"",
AND(OR(""3x3 FMC""=C85,""3x3 MBLD""=C85),COUNTIF($C$7:indirect(""C""&amp;row()),indirect(""C""&amp;row()))=4,
COUNTIF($C$7:$C$102,indirect(""C""&amp;row()))&lt;=6),""Final - A1"",
AND(OR(""3x3 FMC""=C85,""3x3 MBLD""=C85),COUNTIF($C$7:indirect(""C""&amp;row()),i"&amp;"ndirect(""C""&amp;row()))=3),""R1 - A3"",
AND(OR(""3x3 FMC""=C85,""3x3 MBLD""=C85),COUNTIF($C$7:indirect(""C""&amp;row()),indirect(""C""&amp;row()))=2),""R1 - A2"",
AND(OR(""3x3 FMC""=C85,""3x3 MBLD""=C85),COUNTIF($C$7:indirect(""C""&amp;row()),indirect(""C""&amp;row()))=1),"&amp;"""R1 -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85, Info!$A$2:A85 = C85),ROUNDUP((FILTER(Info!$H$2:H85,Info!$A$2:A85=C85)/FILTER(Info!$H$2:H85,Info!$A$2:A85=$K$2))*$I$2)&gt;99),3,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85, Info!$A$2:A85 = C85),ROUNDUP((FILTER(Info!$H$2:H85,Info!$A$2:A85=C85)/FILTER(Info!$H$2:H85,Info!$A$2:A85=$K$2))*$I$2)&gt;15),2,
AND(COUNTIF($C$7:indirect(""C""&amp;row()),indirect(""C""&amp;row()))=2,COUNTIF($C$7:$C$102,indirect(""C""&amp;row()))=COUNTIF($"&amp;"C$7:indirect(""C""&amp;row()),indirect(""C""&amp;row()))),""Final"",
COUNTIF($C$7:indirect(""C""&amp;row()),indirect(""C""&amp;row()))=1,1,
COUNTIF($C$7:indirect(""C""&amp;row()),indirect(""C""&amp;row()))=0,"""")"),"")</f>
        <v/>
      </c>
      <c r="F85" s="64" t="str">
        <f>IFERROR(__xludf.DUMMYFUNCTION("IFS(C85="""","""",
AND(C85=""3x3 FMC"",MOD(COUNTIF($C$7:indirect(""C""&amp;row()),indirect(""C""&amp;row())),3)=0),""Mean of 3"",
AND(C85=""3x3 MBLD"",MOD(COUNTIF($C$7:indirect(""C""&amp;row()),indirect(""C""&amp;row())),3)=0),""Best of 3"",
AND(C85=""3x3 FMC"",MOD(COUNT"&amp;"IF($C$7:indirect(""C""&amp;row()),indirect(""C""&amp;row())),3)=2,
COUNTIF($C$7:$C$102,indirect(""C""&amp;row()))&lt;=COUNTIF($C$7:indirect(""C""&amp;row()),indirect(""C""&amp;row()))),""Best of 2"",
AND(C85=""3x3 FMC"",MOD(COUNTIF($C$7:indirect(""C""&amp;row()),indirect(""C""&amp;row("&amp;"))),3)=2,
COUNTIF($C$7:$C$102,indirect(""C""&amp;row()))&gt;COUNTIF($C$7:indirect(""C""&amp;row()),indirect(""C""&amp;row()))),""Mean of 3"",
AND(C85=""3x3 MBLD"",MOD(COUNTIF($C$7:indirect(""C""&amp;row()),indirect(""C""&amp;row())),3)=2,
COUNTIF($C$7:$C$102,indirect(""C""&amp;row("&amp;")))&lt;=COUNTIF($C$7:indirect(""C""&amp;row()),indirect(""C""&amp;row()))),""Best of 2"",
AND(C85=""3x3 MBLD"",MOD(COUNTIF($C$7:indirect(""C""&amp;row()),indirect(""C""&amp;row())),3)=2,
COUNTIF($C$7:$C$102,indirect(""C""&amp;row()))&gt;COUNTIF($C$7:indirect(""C""&amp;row()),indirect("&amp;"""C""&amp;row()))),""Best of 3"",
AND(C85=""3x3 FMC"",MOD(COUNTIF($C$7:indirect(""C""&amp;row()),indirect(""C""&amp;row())),3)=1,
COUNTIF($C$7:$C$102,indirect(""C""&amp;row()))&lt;=COUNTIF($C$7:indirect(""C""&amp;row()),indirect(""C""&amp;row()))),""Best of 1"",
AND(C85=""3x3 FMC"""&amp;",MOD(COUNTIF($C$7:indirect(""C""&amp;row()),indirect(""C""&amp;row())),3)=1,
COUNTIF($C$7:$C$102,indirect(""C""&amp;row()))=COUNTIF($C$7:indirect(""C""&amp;row()),indirect(""C""&amp;row()))+1),""Best of 2"",
AND(C85=""3x3 FMC"",MOD(COUNTIF($C$7:indirect(""C""&amp;row()),indirect"&amp;"(""C""&amp;row())),3)=1,
COUNTIF($C$7:$C$102,indirect(""C""&amp;row()))&gt;COUNTIF($C$7:indirect(""C""&amp;row()),indirect(""C""&amp;row()))),""Mean of 3"",
AND(C85=""3x3 MBLD"",MOD(COUNTIF($C$7:indirect(""C""&amp;row()),indirect(""C""&amp;row())),3)=1,
COUNTIF($C$7:$C$102,indirect"&amp;"(""C""&amp;row()))&lt;=COUNTIF($C$7:indirect(""C""&amp;row()),indirect(""C""&amp;row()))),""Best of 1"",
AND(C85=""3x3 MBLD"",MOD(COUNTIF($C$7:indirect(""C""&amp;row()),indirect(""C""&amp;row())),3)=1,
COUNTIF($C$7:$C$102,indirect(""C""&amp;row()))=COUNTIF($C$7:indirect(""C""&amp;row()"&amp;"),indirect(""C""&amp;row()))+1),""Best of 2"",
AND(C85=""3x3 MBLD"",MOD(COUNTIF($C$7:indirect(""C""&amp;row()),indirect(""C""&amp;row())),3)=1,
COUNTIF($C$7:$C$102,indirect(""C""&amp;row()))&gt;COUNTIF($C$7:indirect(""C""&amp;row()),indirect(""C""&amp;row()))),""Best of 3"",
TRUE,("&amp;"IFERROR(FILTER(Info!$D$2:D85, Info!$A$2:A85 = C85), """")))"),"")</f>
        <v/>
      </c>
      <c r="G85" s="64" t="str">
        <f>IFERROR(__xludf.DUMMYFUNCTION("IFS(OR(COUNTIF(Info!$A$22:A85,C85)&gt;0,C85=""""),"""",
OR(""3x3 MBLD""=C85,""3x3 FMC""=C85),60,
AND(E85=1,FILTER(Info!$F$2:F85, Info!$A$2:A85 = C85) = ""No""),FILTER(Info!$P$2:P85, Info!$A$2:A85 = C85),
AND(E85=2,FILTER(Info!$F$2:F85, Info!$A$2:A85 = C85) ="&amp;" ""No""),FILTER(Info!$Q$2:Q85, Info!$A$2:A85 = C85),
AND(E85=3,FILTER(Info!$F$2:F85, Info!$A$2:A85 = C85) = ""No""),FILTER(Info!$R$2:R85, Info!$A$2:A85 = C85),
AND(E85=""Final"",FILTER(Info!$F$2:F85, Info!$A$2:A85 = C85) = ""No""),FILTER(Info!$S$2:S85, In"&amp;"fo!$A$2:A85 = C85),
FILTER(Info!$F$2:F85, Info!$A$2:A85 = C85) = ""Yes"","""")"),"")</f>
        <v/>
      </c>
      <c r="H85" s="64" t="str">
        <f>IFERROR(__xludf.DUMMYFUNCTION("IFS(OR(COUNTIF(Info!$A$22:A85,C85)&gt;0,C85=""""),"""",
OR(""3x3 MBLD""=C85,""3x3 FMC""=C85)=TRUE,"""",
FILTER(Info!$F$2:F85, Info!$A$2:A85 = C85) = ""Yes"",FILTER(Info!$O$2:O85, Info!$A$2:A85 = C85),
FILTER(Info!$F$2:F85, Info!$A$2:A85 = C85) = ""No"",IF(G8"&amp;"5="""",FILTER(Info!$O$2:O85, Info!$A$2:A85 = C85),""""))"),"")</f>
        <v/>
      </c>
      <c r="I85" s="64" t="str">
        <f>IFERROR(__xludf.DUMMYFUNCTION("IFS(OR(COUNTIF(Info!$A$22:A85,C85)&gt;0,C85="""",H85&lt;&gt;""""),"""",
AND(E85&lt;&gt;1,E85&lt;&gt;""R1 - A1"",E85&lt;&gt;""R1 - A2"",E85&lt;&gt;""R1 - A3""),"""",
FILTER(Info!$E$2:E85, Info!$A$2:A85 = C85) = ""Yes"",IF(H85="""",FILTER(Info!$L$2:L85, Info!$A$2:A85 = C85),""""),
FILTER(I"&amp;"nfo!$E$2:E85, Info!$A$2:A85 = C85) = ""No"","""")"),"")</f>
        <v/>
      </c>
      <c r="J85" s="64" t="str">
        <f>IFERROR(__xludf.DUMMYFUNCTION("IFS(OR(COUNTIF(Info!$A$22:A85,C85)&gt;0,C85="""",""3x3 MBLD""=C85,""3x3 FMC""=C85),"""",
AND(E85=1,FILTER(Info!$H$2:H85,Info!$A$2:A85 = C85)&lt;=FILTER(Info!$H$2:H85,Info!$A$2:A85=$K$2)),
ROUNDUP((FILTER(Info!$H$2:H85,Info!$A$2:A85 = C85)/FILTER(Info!$H$2:H85,I"&amp;"nfo!$A$2:A85=$K$2))*$I$2),
AND(E85=1,FILTER(Info!$H$2:H85,Info!$A$2:A85 = C85)&gt;FILTER(Info!$H$2:H85,Info!$A$2:A85=$K$2)),""K2 - Error"",
AND(E85=2,FILTER($J$7:indirect(""J""&amp;row()-1),$C$7:indirect(""C""&amp;row()-1)=C85)&lt;=7),""J - Error"",
E85=2,FLOOR(FILTER("&amp;"$J$7:indirect(""J""&amp;row()-1),$C$7:indirect(""C""&amp;row()-1)=C85)*Info!$T$32),
AND(E85=3,FILTER($J$7:indirect(""J""&amp;row()-1),$C$7:indirect(""C""&amp;row()-1)=C85)&lt;=15),""J - Error"",
E85=3,FLOOR(Info!$T$32*FLOOR(FILTER($J$7:indirect(""J""&amp;row()-1),$C$7:indirect("&amp;"""C""&amp;row()-1)=C85)*Info!$T$32)),
AND(E85=""Final"",COUNTIF($C$7:$C$102,C85)=2,FILTER($J$7:indirect(""J""&amp;row()-1),$C$7:indirect(""C""&amp;row()-1)=C85)&lt;=7),""J - Error"",
AND(E85=""Final"",COUNTIF($C$7:$C$102,C85)=2),
MIN(P85,FLOOR(FILTER($J$7:indirect(""J"""&amp;"&amp;row()-1),$C$7:indirect(""C""&amp;row()-1)=C85)*Info!$T$32)),
AND(E85=""Final"",COUNTIF($C$7:$C$102,C85)=3,FILTER($J$7:indirect(""J""&amp;row()-1),$C$7:indirect(""C""&amp;row()-1)=C85)&lt;=15),""J - Error"",
AND(E85=""Final"",COUNTIF($C$7:$C$102,C85)=3),
MIN(P85,FLOOR(I"&amp;"nfo!$T$32*FLOOR(FILTER($J$7:indirect(""J""&amp;row()-1),$C$7:indirect(""C""&amp;row()-1)=C85)*Info!$T$32))),
AND(E85=""Final"",COUNTIF($C$7:$C$102,C85)&gt;=4,FILTER($J$7:indirect(""J""&amp;row()-1),$C$7:indirect(""C""&amp;row()-1)=C85)&lt;=99),""J - Error"",
AND(E85=""Final"","&amp;"COUNTIF($C$7:$C$102,C85)&gt;=4),
MIN(P85,FLOOR(Info!$T$32*FLOOR(Info!$T$32*FLOOR(FILTER($J$7:indirect(""J""&amp;row()-1),$C$7:indirect(""C""&amp;row()-1)=C85)*Info!$T$32)))))"),"")</f>
        <v/>
      </c>
      <c r="K85" s="41" t="str">
        <f>IFERROR(__xludf.DUMMYFUNCTION("IFS(AND(indirect(""D""&amp;row()+2)&lt;&gt;$E$2,indirect(""D""&amp;row()+1)=""""),CONCATENATE(""Tom rad! Kopiera hela rad ""&amp;row()&amp;"" dit""),
AND(indirect(""D""&amp;row()-1)&lt;&gt;""Rum"",indirect(""D""&amp;row()-1)=""""),CONCATENATE(""Tom rad! Kopiera hela rad ""&amp;row()&amp;"" dit""),
"&amp;"C85="""","""",
COUNTIF(Info!$A$22:A85,$K$2)&gt;0,""Det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OR(AND(D85&lt;&gt;$E$2,D85&lt;&gt;$E$4,D85&lt;&gt;$K$4,D85&lt;&gt;$Q$4),D85="&amp;"""""),CONCATENATE(""Rum: ""&amp;D85&amp;"" finns ej, byt i D""&amp;row()),
AND(indirect(""D""&amp;row()-1)=""Rum"",C85=""""),CONCATENATE(""För att börja: skriv i cell C""&amp;row()),
AND(C85=""Paus"",M85&lt;=0),CONCATENATE(""Skriv pausens längd i M""&amp;row()),
OR(COUNTIF(Info!$A$"&amp;"22:A85,C85)&gt;0,C85=""""),"""",
AND(D85&lt;&gt;$E$2,$O$2=""Yes"",A85=""=time(hh;mm;ss)""),CONCATENATE(""Skriv starttid för ""&amp;C85&amp;"" i A""&amp;row()),
E85=""E - Error"",CONCATENATE(""För många ""&amp;C85&amp;"" rundor!""),
AND(C85&lt;&gt;""3x3 FMC"",C85&lt;&gt;""3x3 MBLD"",E85&lt;&gt;1,E85&lt;&gt;"&amp;"""Final"",IFERROR(FILTER($E$7:indirect(""E""&amp;row()-1),
$E$7:indirect(""E""&amp;row()-1)=E85-1,$C$7:indirect(""C""&amp;row()-1)=C85))=FALSE),CONCATENATE(""Kan ej vara R""&amp;E85&amp;"", saknar R""&amp;(E85-1)),
AND(indirect(""E""&amp;row()-1)&lt;&gt;""Omgång"",IFERROR(FILTER($E$7:indi"&amp;"rect(""E""&amp;row()-1),
$E$7:indirect(""E""&amp;row()-1)=E85,$C$7:indirect(""C""&amp;row()-1)=C85)=E85)=TRUE),CONCATENATE(""Runda ""&amp;E85&amp;"" i ""&amp;C85&amp;"" finns redan""),
AND(C85&lt;&gt;""3x3 BLD"",C85&lt;&gt;""4x4 BLD"",C85&lt;&gt;""5x5 BLD"",C85&lt;&gt;""4x4 / 5x5 BLD"",OR(E85=2,E85=3,E85="&amp;"""Final""),H85&lt;&gt;""""),CONCATENATE(E85&amp;""-rundor brukar ej ha c.t.l.""),
AND(OR(E85=2,E85=3,E85=""Final""),I85&lt;&gt;""""),CONCATENATE(E85&amp;""-rundor brukar ej ha cutoff""),
AND(OR(C85=""3x3 FMC"",C85=""3x3 MBLD""),OR(E85=1,E85=2,E85=3,E85=""Final"")),CONCATENAT"&amp;"E(C85&amp;""s omgång är Rx - Ax""),
AND(C85&lt;&gt;""3x3 MBLD"",C85&lt;&gt;""3x3 FMC"",FILTER(Info!$D$2:D85, Info!$A$2:A85 = C85)&lt;&gt;F85),CONCATENATE(C85&amp;"" måste ha formatet ""&amp;FILTER(Info!$D$2:D85, Info!$A$2:A85 = C85)),
AND(C85=""3x3 MBLD"",OR(F85=""Avg of 5"",F85=""Mea"&amp;"n of 3"")),CONCATENATE(""Ogiltigt format för ""&amp;C85),
AND(C85=""3x3 FMC"",OR(F85=""Avg of 5"",F85=""Best of 3"")),CONCATENATE(""Ogiltigt format för ""&amp;C85),
AND(OR(F85=""Best of 1"",F85=""Best of 2"",F85=""Best of 3""),I85&lt;&gt;""""),CONCATENATE(F85&amp;""-rundor"&amp;" får ej ha cutoff""),
AND(OR(C85=""3x3 FMC"",C85=""3x3 MBLD""),G85&lt;&gt;60),CONCATENATE(C85&amp;"" måste ha time limit: 60""),
AND(OR(C85=""3x3 FMC"",C85=""3x3 MBLD""),H85&lt;&gt;""""),CONCATENATE(C85&amp;"" kan inte ha c.t.l.""),
AND(G85&lt;&gt;"""",H85&lt;&gt;""""),""Välj time limit"&amp;" ELLER c.t.l"",
AND(C85=""6x6 / 7x7"",G85="""",H85=""""),""Sätt time limit (x / y) eller c.t.l (z)"",
AND(G85="""",H85=""""),""Sätt en time limit eller c.t.l"",
AND(OR(C85=""6x6 / 7x7"",C85=""4x4 / 5x5 BLD""),G85&lt;&gt;"""",REGEXMATCH(TO_TEXT(G85),"" / "")=FAL"&amp;"SE),CONCATENATE(""Time limit måste vara x / y""),
AND(H85&lt;&gt;"""",I85&lt;&gt;""""),CONCATENATE(C85&amp;"" brukar ej ha cutoff OCH c.t.l""),
AND(E85=1,H85="""",I85="""",OR(FILTER(Info!$E$2:E85, Info!$A$2:A85 = C85) = ""Yes"",FILTER(Info!$F$2:F85, Info!$A$2:A85 = C85) "&amp;"= ""Yes""),OR(F85=""Avg of 5"",F85=""Mean of 3"")),CONCATENATE(C85&amp;"" bör ha cutoff eller c.t.l""),
AND(C85=""6x6 / 7x7"",I85&lt;&gt;"""",REGEXMATCH(TO_TEXT(I85),"" / "")=FALSE),CONCATENATE(""Cutoff måste vara x / y""),
AND(H85&lt;&gt;"""",ISNUMBER(H85)=FALSE),""C.t."&amp;"l. måste vara positivt tal (x)"",
AND(C85&lt;&gt;""6x6 / 7x7"",I85&lt;&gt;"""",ISNUMBER(I85)=FALSE),""Cutoff måste vara positivt tal (x)"",
AND(H85&lt;&gt;"""",FILTER(Info!$E$2:E85, Info!$A$2:A85 = C85) = ""No"",FILTER(Info!$F$2:F85, Info!$A$2:A85 = C85) = ""No""),CONCATEN"&amp;"ATE(C85&amp;"" brukar inte ha c.t.l.""),
AND(I85&lt;&gt;"""",FILTER(Info!$E$2:E85, Info!$A$2:A85 = C85) = ""No"",FILTER(Info!$F$2:F85, Info!$A$2:A85 = C85) = ""No""),CONCATENATE(C85&amp;"" brukar inte ha cutoff""),
AND(H85="""",FILTER(Info!$F$2:F85, Info!$A$2:A85 = C85"&amp;") = ""Yes""),CONCATENATE(C85&amp;"" brukar ha c.t.l.""),
AND(C85&lt;&gt;""6x6 / 7x7"",C85&lt;&gt;""4x4 / 5x5 BLD"",G85&lt;&gt;"""",ISNUMBER(G85)=FALSE),""Time limit måste vara positivt tal (x)"",
J85=""J - Error"",CONCATENATE(""För få deltagare i R1 för ""&amp;COUNTIF($C$7:$C$102,"&amp;"indirect(""C""&amp;row()))&amp;"" rundor""),
J85=""K2 - Error"",CONCATENATE(C85&amp;"" är mer populär - byt i K2!""),
AND(C85&lt;&gt;""6x6 / 7x7"",C85&lt;&gt;""4x4 / 5x5 BLD"",G85&lt;&gt;"""",I85&lt;&gt;"""",G85&lt;=I85),""Time limit måste vara &gt; cutoff"",
AND(C85&lt;&gt;""6x6 / 7x7"",C85&lt;&gt;""4x4 / 5"&amp;"x5 BLD"",H85&lt;&gt;"""",I85&lt;&gt;"""",H85&lt;=I85),""C.t.l. måste vara &gt; cutoff"",
AND(C85&lt;&gt;""3x3 FMC"",C85&lt;&gt;""3x3 MBLD"",J85=""""),CONCATENATE(""Fyll i antal deltagare i J""&amp;row()),
AND(C85="""",OR(E85&lt;&gt;"""",F85&lt;&gt;"""",G85&lt;&gt;"""",H85&lt;&gt;"""",I85&lt;&gt;"""",J85&lt;&gt;"""")),""Skri"&amp;"v ALLTID gren / aktivitet först"",
AND(I85="""",H85="""",J85&lt;&gt;""""),J85,
OR(""3x3 FMC""=C85,""3x3 MBLD""=C85),J85,
AND(I85&lt;&gt;"""",""6x6 / 7x7""=C85),
IFS(ArrayFormula(SUM(IFERROR(SPLIT(I85,"" / ""))))&lt;(Info!$J$6+Info!$J$7)*2/3,CONCATENATE(""Höj helst cutof"&amp;"fs i ""&amp;C85),
ArrayFormula(SUM(IFERROR(SPLIT(I85,"" / ""))))&lt;=(Info!$J$6+Info!$J$7),ROUNDUP(J85*Info!$J$22),
ArrayFormula(SUM(IFERROR(SPLIT(I85,"" / ""))))&lt;=Info!$J$6+Info!$J$7,ROUNDUP(J85*Info!$K$22),
ArrayFormula(SUM(IFERROR(SPLIT(I85,"" / ""))))&lt;=Info!"&amp;"$K$6+Info!$K$7,ROUNDUP(J85*Info!L$22),
ArrayFormula(SUM(IFERROR(SPLIT(I85,"" / ""))))&lt;=Info!$L$6+Info!$L$7,ROUNDUP(J85*Info!$M$22),
ArrayFormula(SUM(IFERROR(SPLIT(I85,"" / ""))))&lt;=Info!$M$6+Info!$M$7,ROUNDUP(J85*Info!$N$22),
ArrayFormula(SUM(IFERROR(SPLIT"&amp;"(I85,"" / ""))))&lt;=(Info!$N$6+Info!$N$7)*3/2,ROUNDUP(J85*Info!$J$26),
ArrayFormula(SUM(IFERROR(SPLIT(I85,"" / ""))))&gt;(Info!$N$6+Info!$N$7)*3/2,CONCATENATE(""Sänk helst cutoffs i ""&amp;C85)),
AND(I85&lt;&gt;"""",FILTER(Info!$E$2:E85, Info!$A$2:A85 = C85) = ""Yes""),"&amp;"
IFS(I85&lt;FILTER(Info!$J$2:J85, Info!$A$2:A85 = C85)*2/3,CONCATENATE(""Höj helst cutoff i ""&amp;C85),
I85&lt;=FILTER(Info!$J$2:J85, Info!$A$2:A85 = C85),ROUNDUP(J85*Info!$J$22),
I85&lt;=FILTER(Info!$K$2:K85, Info!$A$2:A85 = C85),ROUNDUP(J85*Info!$K$22),
I85&lt;=FILTER"&amp;"(Info!$L$2:L85, Info!$A$2:A85 = C85),ROUNDUP(J85*Info!L$22),
I85&lt;=FILTER(Info!$M$2:M85, Info!$A$2:A85 = C85),ROUNDUP(J85*Info!$M$22),
I85&lt;=FILTER(Info!$N$2:N85, Info!$A$2:A85 = C85),ROUNDUP(J85*Info!$N$22),
I85&lt;=FILTER(Info!$N$2:N85, Info!$A$2:A85 = C85)*"&amp;"3/2,ROUNDUP(J85*Info!$J$26),
I85&gt;FILTER(Info!$N$2:N85, Info!$A$2:A85 = C85)*3/2,CONCATENATE(""Sänk helst cutoff i ""&amp;C85)),
AND(H85&lt;&gt;"""",""6x6 / 7x7""=C85),
IFS(H85/3&lt;=(Info!$J$6+Info!$J$7)*2/3,""Höj helst cumulative time limit"",
H85/3&lt;=Info!$J$6+Info!$"&amp;"J$7,ROUNDUP(J85*Info!$J$24),
H85/3&lt;=Info!$K$6+Info!$K$7,ROUNDUP(J85*Info!$K$24),
H85/3&lt;=Info!$L$6+Info!$L$7,ROUNDUP(J85*Info!L$24),
H85/3&lt;=Info!$M$6+Info!$M$7,ROUNDUP(J85*Info!$M$24),
H85/3&lt;=Info!$N$6+Info!$N$7,ROUNDUP(J85*Info!$N$24),
H85/3&lt;=(Info!$N$6+I"&amp;"nfo!$N$7)*3/2,ROUNDUP(J85*Info!$L$26),
H85/3&gt;(Info!$J$6+Info!$J$7)*3/2,""Sänk helst cumulative time limit""),
AND(H85&lt;&gt;"""",FILTER(Info!$F$2:F85, Info!$A$2:A85 = C85) = ""Yes""),
IFS(H85&lt;=FILTER(Info!$J$2:J85, Info!$A$2:A85 = C85)*2/3,CONCATENATE(""Höj he"&amp;"lst c.t.l. i ""&amp;C85),
H85&lt;=FILTER(Info!$J$2:J85, Info!$A$2:A85 = C85),ROUNDUP(J85*Info!$J$24),
H85&lt;=FILTER(Info!$K$2:K85, Info!$A$2:A85 = C85),ROUNDUP(J85*Info!$K$24),
H85&lt;=FILTER(Info!$L$2:L85, Info!$A$2:A85 = C85),ROUNDUP(J85*Info!L$24),
H85&lt;=FILTER(Inf"&amp;"o!$M$2:M85, Info!$A$2:A85 = C85),ROUNDUP(J85*Info!$M$24),
H85&lt;=FILTER(Info!$N$2:N85, Info!$A$2:A85 = C85),ROUNDUP(J85*Info!$N$24),
H85&lt;=FILTER(Info!$N$2:N85, Info!$A$2:A85 = C85)*3/2,ROUNDUP(J85*Info!$L$26),
H85&gt;FILTER(Info!$N$2:N85, Info!$A$2:A85 = C85)*"&amp;"3/2,CONCATENATE(""Sänk helst c.t.l. i ""&amp;C85)),
AND(H85&lt;&gt;"""",FILTER(Info!$F$2:F85, Info!$A$2:A85 = C85) = ""No""),
IFS(H85/AA85&lt;=FILTER(Info!$J$2:J85, Info!$A$2:A85 = C85)*2/3,CONCATENATE(""Höj helst c.t.l. i ""&amp;C85),
H85/AA85&lt;=FILTER(Info!$J$2:J85, Info"&amp;"!$A$2:A85 = C85),ROUNDUP(J85*Info!$J$24),
H85/AA85&lt;=FILTER(Info!$K$2:K85, Info!$A$2:A85 = C85),ROUNDUP(J85*Info!$K$24),
H85/AA85&lt;=FILTER(Info!$L$2:L85, Info!$A$2:A85 = C85),ROUNDUP(J85*Info!L$24),
H85/AA85&lt;=FILTER(Info!$M$2:M85, Info!$A$2:A85 = C85),ROUND"&amp;"UP(J85*Info!$M$24),
H85/AA85&lt;=FILTER(Info!$N$2:N85, Info!$A$2:A85 = C85),ROUNDUP(J85*Info!$N$24),
H85/AA85&lt;=FILTER(Info!$N$2:N85, Info!$A$2:A85 = C85)*3/2,ROUNDUP(J85*Info!$L$26),
H85/AA85&gt;FILTER(Info!$N$2:N85, Info!$A$2:A85 = C85)*3/2,CONCATENATE(""Sänk "&amp;"helst c.t.l. i ""&amp;C85)),
AND(I85="""",H85&lt;&gt;"""",J85&lt;&gt;""""),ROUNDUP(J85*Info!$T$29),
AND(I85&lt;&gt;"""",H85="""",J85&lt;&gt;""""),ROUNDUP(J85*Info!$T$26))"),"")</f>
        <v/>
      </c>
      <c r="L85" s="42">
        <f>IFERROR(__xludf.DUMMYFUNCTION("IFS(C85="""",0,
C85=""3x3 FMC"",Info!$B$9*N85+M85, C85=""3x3 MBLD"",Info!$B$18*N85+M85,
COUNTIF(Info!$A$22:A85,C85)&gt;0,FILTER(Info!$B$22:B85,Info!$A$22:A85=C85)+M85,
AND(C85&lt;&gt;"""",E85=""""),CONCATENATE(""Fyll i E""&amp;row()),
AND(C85&lt;&gt;"""",E85&lt;&gt;"""",E85&lt;&gt;1,E8"&amp;"5&lt;&gt;2,E85&lt;&gt;3,E85&lt;&gt;""Final""),CONCATENATE(""Fel format på E""&amp;row()),
K85=CONCATENATE(""Runda ""&amp;E85&amp;"" i ""&amp;C85&amp;"" finns redan""),CONCATENATE(""Fel i E""&amp;row()),
AND(C85&lt;&gt;"""",F85=""""),CONCATENATE(""Fyll i F""&amp;row()),
K85=CONCATENATE(C85&amp;"" måste ha forma"&amp;"tet ""&amp;FILTER(Info!$D$2:D85, Info!$A$2:A85 = C85)),CONCATENATE(""Fel format på F""&amp;row()),
AND(C85&lt;&gt;"""",D85=1,H85="""",FILTER(Info!$F$2:F85, Info!$A$2:A85 = C85) = ""Yes""),CONCATENATE(""Fyll i H""&amp;row()),
AND(C85&lt;&gt;"""",D85=1,I85="""",FILTER(Info!$E$2:E8"&amp;"5, Info!$A$2:A85 = C85) = ""Yes""),CONCATENATE(""Fyll i I""&amp;row()),
AND(C85&lt;&gt;"""",J85=""""),CONCATENATE(""Fyll i J""&amp;row()),
AND(C85&lt;&gt;"""",K85="""",OR(H85&lt;&gt;"""",I85&lt;&gt;"""")),CONCATENATE(""Fyll i K""&amp;row()),
AND(C85&lt;&gt;"""",K85=""""),CONCATENATE(""Skriv samma"&amp;" i K""&amp;row()&amp;"" som i J""&amp;row()),
AND(OR(C85=""4x4 BLD"",C85=""5x5 BLD"",C85=""4x4 / 5x5 BLD"")=TRUE,V85&lt;=P85),
MROUND(H85*(Info!$T$20-((Info!$T$20-1)/2)*(1-V85/P85))*(1+((J85/K85)-1)*(1-Info!$J$24))*N85+(Info!$T$11/2)+(N85*Info!$T$11)+(N85*Info!$T$14*(O8"&amp;"5-1)),0.01)+M85,
AND(OR(C85=""4x4 BLD"",C85=""5x5 BLD"",C85=""4x4 / 5x5 BLD"")=TRUE,V85&gt;P85),
MROUND((((J85*Z85+K85*(AA85-Z85))*(H85*Info!$T$20/AA85))/X85)*(1+((J85/K85)-1)*(1-Info!$J$24))*(1+(X85-Info!$T$8)/100)+(Info!$T$11/2)+(N85*Info!$T$11)+(N85*Info!"&amp;"$T$14*(O85-1)),0.01)+M85,
AND(C85=""3x3 BLD"",V85&lt;=P85),
MROUND(H85*(Info!$T$23-((Info!$T$23-1)/2)*(1-V85/P85))*(1+((J85/K85)-1)*(1-Info!$J$24))*N85+(Info!$T$11/2)+(N85*Info!$T$11)+(N85*Info!$T$14*(O85-1)),0.01)+M85,
AND(C85=""3x3 BLD"",V85&gt;P85),
MROUND(("&amp;"((J85*Z85+K85*(AA85-Z85))*(H85*Info!$T$23/AA85))/X85)*(1+((J85/K85)-1)*(1-Info!$J$24))*(1+(X85-Info!$T$8)/100)+(Info!$T$11/2)+(N85*Info!$T$11)+(N85*Info!$T$14*(O85-1)),0.01)+M85,
E85=1,MROUND((((J85*Z85+K85*(AA85-Z85))*Y85)/X85)*(1+(X85-Info!$T$8)/100)+(N"&amp;"85*Info!$T$11)+(N85*Info!$T$14*(O85-1)),0.01)+M85,
AND(E85=""Final"",N85=1,FILTER(Info!$G$2:$G$20,Info!$A$2:$A$20=C85)=""Mycket svår""),
MROUND((((J85*Z85+K85*(AA85-Z85))*(Y85*Info!$T$38))/X85)*(1+(X85-Info!$T$8)/100)+(N85*Info!$T$11)+(N85*Info!$T$14*(O85"&amp;"-1)),0.01)+M85,
AND(E85=""Final"",N85=1,FILTER(Info!$G$2:$G$20,Info!$A$2:$A$20=C85)=""Svår""),
MROUND((((J85*Z85+K85*(AA85-Z85))*(Y85*Info!$T$35))/X85)*(1+(X85-Info!$T$8)/100)+(N85*Info!$T$11)+(N85*Info!$T$14*(O85-1)),0.01)+M85,
E85=""Final"",MROUND((((J8"&amp;"5*Z85+K85*(AA85-Z85))*(Y85*Info!$T$5))/X85)*(1+(X85-Info!$T$8)/100)+(N85*Info!$T$11)+(N85*Info!$T$14*(O85-1)),0.01)+M85,
OR(E85=2,E85=3),MROUND((((J85*Z85+K85*(AA85-Z85))*(Y85*Info!$T$2))/X85)*(1+(X85-Info!$T$8)/100)+(N85*Info!$T$11)+(N85*Info!$T$14*(O85-"&amp;"1)),0.01)+M85)"),0.0)</f>
        <v>0</v>
      </c>
      <c r="M85" s="43">
        <f t="shared" si="9"/>
        <v>0</v>
      </c>
      <c r="N85" s="43" t="str">
        <f>IFS(OR(COUNTIF(Info!$A$22:A85,C85)&gt;0,C85=""),"",
OR(C85="4x4 BLD",C85="5x5 BLD",C85="3x3 MBLD",C85="3x3 FMC",C85="4x4 / 5x5 BLD"),1,
AND(E85="Final",Q85="Yes",MAX(1,ROUNDUP(J85/P85))&gt;1),MAX(2,ROUNDUP(J85/P85)),
AND(E85="Final",Q85="No",MAX(1,ROUNDUP(J85/((P85*2)+2.625-Y85*1.5)))&gt;1),MAX(2,ROUNDUP(J85/((P85*2)+2.625-Y85*1.5))),
E85="Final",1,
Q85="Yes",MAX(2,ROUNDUP(J85/P85)),
TRUE,MAX(2,ROUNDUP(J85/((P85*2)+2.625-Y85*1.5))))</f>
        <v/>
      </c>
      <c r="O85" s="43" t="str">
        <f>IFS(OR(COUNTIF(Info!$A$22:A85,C85)&gt;0,C85=""),"",
OR("3x3 MBLD"=C85,"3x3 FMC"=C85)=TRUE,"",
D85=$E$4,$G$6,D85=$K$4,$M$6,D85=$Q$4,$S$6,D85=$W$4,$Y$6,
TRUE,$S$2)</f>
        <v/>
      </c>
      <c r="P85" s="43" t="str">
        <f>IFS(OR(COUNTIF(Info!$A$22:A85,C85)&gt;0,C85=""),"",
OR("3x3 MBLD"=C85,"3x3 FMC"=C85)=TRUE,"",
D85=$E$4,$E$6,D85=$K$4,$K$6,D85=$Q$4,$Q$6,D85=$W$4,$W$6,
TRUE,$Q$2)</f>
        <v/>
      </c>
      <c r="Q85" s="44" t="str">
        <f>IFS(OR(COUNTIF(Info!$A$22:A85,C85)&gt;0,C85=""),"",
OR("3x3 MBLD"=C85,"3x3 FMC"=C85)=TRUE,"",
D85=$E$4,$I$6,D85=$K$4,$O$6,D85=$Q$4,$U$6,D85=$W$4,$AA$6,
TRUE,$U$2)</f>
        <v/>
      </c>
      <c r="R85" s="65" t="str">
        <f>IFERROR(__xludf.DUMMYFUNCTION("IF(C85="""","""",IFERROR(FILTER(Info!$B$22:B85,Info!$A$22:A85=C85)+M85,""?""))"),"")</f>
        <v/>
      </c>
      <c r="S85" s="66" t="str">
        <f>IFS(OR(COUNTIF(Info!$A$22:A85,C85)&gt;0,C85=""),"",
AND(H85="",I85=""),J85,
TRUE,"?")</f>
        <v/>
      </c>
      <c r="T85" s="65" t="str">
        <f>IFS(OR(COUNTIF(Info!$A$22:A85,C85)&gt;0,C85=""),"",
AND(L85&lt;&gt;0,OR(R85="?",R85="")),"Fyll i R-kolumnen",
OR(C85="3x3 FMC",C85="3x3 MBLD"),R85,
AND(L85&lt;&gt;0,OR(S85="?",S85="")),"Fyll i S-kolumnen",
OR(COUNTIF(Info!$A$22:A85,C85)&gt;0,C85=""),"",
TRUE,Y85*R85/L85)</f>
        <v/>
      </c>
      <c r="U85" s="65"/>
      <c r="V85" s="67" t="str">
        <f>IFS(OR(COUNTIF(Info!$A$22:A85,C85)&gt;0,C85=""),"",
OR("3x3 MBLD"=C85,"3x3 FMC"=C85)=TRUE,"",
TRUE,MROUND((J85/N85),0.01))</f>
        <v/>
      </c>
      <c r="W85" s="68" t="str">
        <f>IFS(OR(COUNTIF(Info!$A$22:A85,C85)&gt;0,C85=""),"",
TRUE,L85/N85)</f>
        <v/>
      </c>
      <c r="X85" s="67" t="str">
        <f>IFS(OR(COUNTIF(Info!$A$22:A85,C85)&gt;0,C85=""),"",
OR("3x3 MBLD"=C85,"3x3 FMC"=C85)=TRUE,"",
OR(C85="4x4 BLD",C85="5x5 BLD",C85="4x4 / 5x5 BLD",AND(C85="3x3 BLD",H85&lt;&gt;""))=TRUE,MIN(V85,P85),
TRUE,MIN(P85,V85,MROUND(((V85*2/3)+((Y85-1.625)/2)),0.01)))</f>
        <v/>
      </c>
      <c r="Y85" s="68" t="str">
        <f>IFERROR(__xludf.DUMMYFUNCTION("IFS(OR(COUNTIF(Info!$A$22:A85,C85)&gt;0,C85=""""),"""",
FILTER(Info!$F$2:F85, Info!$A$2:A85 = C85) = ""Yes"",H85/AA85,
""3x3 FMC""=C85,Info!$B$9,""3x3 MBLD""=C85,Info!$B$18,
AND(E85=1,I85="""",H85="""",Q85=""No"",G85&gt;SUMIF(Info!$A$2:A85,C85,Info!$B$2:B85)*1."&amp;"5),
MIN(SUMIF(Info!$A$2:A85,C85,Info!$B$2:B85)*1.1,SUMIF(Info!$A$2:A85,C85,Info!$B$2:B85)*(1.15-(0.15*(SUMIF(Info!$A$2:A85,C85,Info!$B$2:B85)*1.5)/G85))),
AND(E85=1,I85="""",H85="""",Q85=""Yes"",G85&gt;SUMIF(Info!$A$2:A85,C85,Info!$C$2:C85)*1.5),
MIN(SUMIF(I"&amp;"nfo!$A$2:A85,C85,Info!$C$2:C85)*1.1,SUMIF(Info!$A$2:A85,C85,Info!$C$2:C85)*(1.15-(0.15*(SUMIF(Info!$A$2:A85,C85,Info!$C$2:C85)*1.5)/G85))),
Q85=""No"",SUMIF(Info!$A$2:A85,C85,Info!$B$2:B85),
Q85=""Yes"",SUMIF(Info!$A$2:A85,C85,Info!$C$2:C85))"),"")</f>
        <v/>
      </c>
      <c r="Z85" s="67" t="str">
        <f>IFS(OR(COUNTIF(Info!$A$22:A85,C85)&gt;0,C85=""),"",
AND(OR("3x3 FMC"=C85,"3x3 MBLD"=C85),I85&lt;&gt;""),1,
AND(OR(H85&lt;&gt;"",I85&lt;&gt;""),F85="Avg of 5"),2,
F85="Avg of 5",AA85,
AND(OR(H85&lt;&gt;"",I85&lt;&gt;""),F85="Mean of 3",C85="6x6 / 7x7"),2,
AND(OR(H85&lt;&gt;"",I85&lt;&gt;""),F85="Mean of 3"),1,
F85="Mean of 3",AA85,
AND(OR(H85&lt;&gt;"",I85&lt;&gt;""),F85="Best of 3",C85="4x4 / 5x5 BLD"),2,
AND(OR(H85&lt;&gt;"",I85&lt;&gt;""),F85="Best of 3"),1,
F85="Best of 2",AA85,
F85="Best of 1",AA85)</f>
        <v/>
      </c>
      <c r="AA85" s="67" t="str">
        <f>IFS(OR(COUNTIF(Info!$A$22:A85,C85)&gt;0,C85=""),"",
AND(OR("3x3 MBLD"=C85,"3x3 FMC"=C85),F85="Best of 1"=TRUE),1,
AND(OR("3x3 MBLD"=C85,"3x3 FMC"=C85),F85="Best of 2"=TRUE),2,
AND(OR("3x3 MBLD"=C85,"3x3 FMC"=C85),OR(F85="Best of 3",F85="Mean of 3")=TRUE),3,
AND(F85="Mean of 3",C85="6x6 / 7x7"),6,
AND(F85="Best of 3",C85="4x4 / 5x5 BLD"),6,
F85="Avg of 5",5,F85="Mean of 3",3,F85="Best of 3",3,F85="Best of 2",2,F85="Best of 1",1)</f>
        <v/>
      </c>
      <c r="AB85" s="69"/>
    </row>
    <row r="86" ht="15.75" customHeight="1">
      <c r="A86" s="62">
        <f>IFERROR(__xludf.DUMMYFUNCTION("IFS(indirect(""A""&amp;row()-1)=""Start"",TIME(indirect(""A""&amp;row()-2),indirect(""B""&amp;row()-2),0),
$O$2=""No"",TIME(0,($A$6*60+$B$6)+CEILING(SUM($L$7:indirect(""L""&amp;row()-1)),5),0),
D86=$E$2,TIME(0,($A$6*60+$B$6)+CEILING(SUM(IFERROR(FILTER($L$7:indirect(""L"""&amp;"&amp;row()-1),REGEXMATCH($D$7:indirect(""D""&amp;row()-1),$E$2)),0)),5),0),
TRUE,""=time(hh;mm;ss)"")"),0.3541666666666665)</f>
        <v>0.3541666667</v>
      </c>
      <c r="B86" s="63">
        <f>IFERROR(__xludf.DUMMYFUNCTION("IFS($O$2=""No"",TIME(0,($A$6*60+$B$6)+CEILING(SUM($L$7:indirect(""L""&amp;row())),5),0),
D86=$E$2,TIME(0,($A$6*60+$B$6)+CEILING(SUM(FILTER($L$7:indirect(""L""&amp;row()),REGEXMATCH($D$7:indirect(""D""&amp;row()),$E$2))),5),0),
A86=""=time(hh;mm;ss)"",CONCATENATE(""Sk"&amp;"riv tid i A""&amp;row()),
AND(A86&lt;&gt;"""",A86&lt;&gt;""=time(hh;mm;ss)""),A86+TIME(0,CEILING(indirect(""L""&amp;row()),5),0))"),0.3541666666666665)</f>
        <v>0.3541666667</v>
      </c>
      <c r="C86" s="37"/>
      <c r="D86" s="64" t="str">
        <f t="shared" si="10"/>
        <v>Stora salen</v>
      </c>
      <c r="E86" s="64" t="str">
        <f>IFERROR(__xludf.DUMMYFUNCTION("IFS(COUNTIF(Info!$A$22:A86,C86)&gt;0,"""",
AND(OR(""3x3 FMC""=C86,""3x3 MBLD""=C86),COUNTIF($C$7:indirect(""C""&amp;row()),indirect(""C""&amp;row()))&gt;=13),""E - Error"",
AND(OR(""3x3 FMC""=C86,""3x3 MBLD""=C86),COUNTIF($C$7:indirect(""C""&amp;row()),indirect(""C""&amp;row()"&amp;"))=12),""Final - A3"",
AND(OR(""3x3 FMC""=C86,""3x3 MBLD""=C86),COUNTIF($C$7:indirect(""C""&amp;row()),indirect(""C""&amp;row()))=11),""Final - A2"",
AND(OR(""3x3 FMC""=C86,""3x3 MBLD""=C86),COUNTIF($C$7:indirect(""C""&amp;row()),indirect(""C""&amp;row()))=10),""Final - "&amp;"A1"",
AND(OR(""3x3 FMC""=C86,""3x3 MBLD""=C86),COUNTIF($C$7:indirect(""C""&amp;row()),indirect(""C""&amp;row()))=9,
COUNTIF($C$7:$C$102,indirect(""C""&amp;row()))&gt;9),""R3 - A3"",
AND(OR(""3x3 FMC""=C86,""3x3 MBLD""=C86),COUNTIF($C$7:indirect(""C""&amp;row()),indirect(""C"&amp;"""&amp;row()))=9,
COUNTIF($C$7:$C$102,indirect(""C""&amp;row()))&lt;=9),""Final - A3"",
AND(OR(""3x3 FMC""=C86,""3x3 MBLD""=C86),COUNTIF($C$7:indirect(""C""&amp;row()),indirect(""C""&amp;row()))=8,
COUNTIF($C$7:$C$102,indirect(""C""&amp;row()))&gt;9),""R3 - A2"",
AND(OR(""3x3 FMC"&amp;"""=C86,""3x3 MBLD""=C86),COUNTIF($C$7:indirect(""C""&amp;row()),indirect(""C""&amp;row()))=8,
COUNTIF($C$7:$C$102,indirect(""C""&amp;row()))&lt;=9),""Final - A2"",
AND(OR(""3x3 FMC""=C86,""3x3 MBLD""=C86),COUNTIF($C$7:indirect(""C""&amp;row()),indirect(""C""&amp;row()))=7,
COUN"&amp;"TIF($C$7:$C$102,indirect(""C""&amp;row()))&gt;9),""R3 - A1"",
AND(OR(""3x3 FMC""=C86,""3x3 MBLD""=C86),COUNTIF($C$7:indirect(""C""&amp;row()),indirect(""C""&amp;row()))=7,
COUNTIF($C$7:$C$102,indirect(""C""&amp;row()))&lt;=9),""Final - A1"",
AND(OR(""3x3 FMC""=C86,""3x3 MBLD"""&amp;"=C86),COUNTIF($C$7:indirect(""C""&amp;row()),indirect(""C""&amp;row()))=6,
COUNTIF($C$7:$C$102,indirect(""C""&amp;row()))&gt;6),""R2 - A3"",
AND(OR(""3x3 FMC""=C86,""3x3 MBLD""=C86),COUNTIF($C$7:indirect(""C""&amp;row()),indirect(""C""&amp;row()))=6,
COUNTIF($C$7:$C$102,indirec"&amp;"t(""C""&amp;row()))&lt;=6),""Final - A3"",
AND(OR(""3x3 FMC""=C86,""3x3 MBLD""=C86),COUNTIF($C$7:indirect(""C""&amp;row()),indirect(""C""&amp;row()))=5,
COUNTIF($C$7:$C$102,indirect(""C""&amp;row()))&gt;6),""R2 - A2"",
AND(OR(""3x3 FMC""=C86,""3x3 MBLD""=C86),COUNTIF($C$7:indi"&amp;"rect(""C""&amp;row()),indirect(""C""&amp;row()))=5,
COUNTIF($C$7:$C$102,indirect(""C""&amp;row()))&lt;=6),""Final - A2"",
AND(OR(""3x3 FMC""=C86,""3x3 MBLD""=C86),COUNTIF($C$7:indirect(""C""&amp;row()),indirect(""C""&amp;row()))=4,
COUNTIF($C$7:$C$102,indirect(""C""&amp;row()))&gt;6),"&amp;"""R2 - A1"",
AND(OR(""3x3 FMC""=C86,""3x3 MBLD""=C86),COUNTIF($C$7:indirect(""C""&amp;row()),indirect(""C""&amp;row()))=4,
COUNTIF($C$7:$C$102,indirect(""C""&amp;row()))&lt;=6),""Final - A1"",
AND(OR(""3x3 FMC""=C86,""3x3 MBLD""=C86),COUNTIF($C$7:indirect(""C""&amp;row()),i"&amp;"ndirect(""C""&amp;row()))=3),""R1 - A3"",
AND(OR(""3x3 FMC""=C86,""3x3 MBLD""=C86),COUNTIF($C$7:indirect(""C""&amp;row()),indirect(""C""&amp;row()))=2),""R1 - A2"",
AND(OR(""3x3 FMC""=C86,""3x3 MBLD""=C86),COUNTIF($C$7:indirect(""C""&amp;row()),indirect(""C""&amp;row()))=1),"&amp;"""R1 -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86, Info!$A$2:A86 = C86),ROUNDUP((FILTER(Info!$H$2:H86,Info!$A$2:A86=C86)/FILTER(Info!$H$2:H86,Info!$A$2:A86=$K$2))*$I$2)&gt;99),3,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86, Info!$A$2:A86 = C86),ROUNDUP((FILTER(Info!$H$2:H86,Info!$A$2:A86=C86)/FILTER(Info!$H$2:H86,Info!$A$2:A86=$K$2))*$I$2)&gt;15),2,
AND(COUNTIF($C$7:indirect(""C""&amp;row()),indirect(""C""&amp;row()))=2,COUNTIF($C$7:$C$102,indirect(""C""&amp;row()))=COUNTIF($"&amp;"C$7:indirect(""C""&amp;row()),indirect(""C""&amp;row()))),""Final"",
COUNTIF($C$7:indirect(""C""&amp;row()),indirect(""C""&amp;row()))=1,1,
COUNTIF($C$7:indirect(""C""&amp;row()),indirect(""C""&amp;row()))=0,"""")"),"")</f>
        <v/>
      </c>
      <c r="F86" s="64" t="str">
        <f>IFERROR(__xludf.DUMMYFUNCTION("IFS(C86="""","""",
AND(C86=""3x3 FMC"",MOD(COUNTIF($C$7:indirect(""C""&amp;row()),indirect(""C""&amp;row())),3)=0),""Mean of 3"",
AND(C86=""3x3 MBLD"",MOD(COUNTIF($C$7:indirect(""C""&amp;row()),indirect(""C""&amp;row())),3)=0),""Best of 3"",
AND(C86=""3x3 FMC"",MOD(COUNT"&amp;"IF($C$7:indirect(""C""&amp;row()),indirect(""C""&amp;row())),3)=2,
COUNTIF($C$7:$C$102,indirect(""C""&amp;row()))&lt;=COUNTIF($C$7:indirect(""C""&amp;row()),indirect(""C""&amp;row()))),""Best of 2"",
AND(C86=""3x3 FMC"",MOD(COUNTIF($C$7:indirect(""C""&amp;row()),indirect(""C""&amp;row("&amp;"))),3)=2,
COUNTIF($C$7:$C$102,indirect(""C""&amp;row()))&gt;COUNTIF($C$7:indirect(""C""&amp;row()),indirect(""C""&amp;row()))),""Mean of 3"",
AND(C86=""3x3 MBLD"",MOD(COUNTIF($C$7:indirect(""C""&amp;row()),indirect(""C""&amp;row())),3)=2,
COUNTIF($C$7:$C$102,indirect(""C""&amp;row("&amp;")))&lt;=COUNTIF($C$7:indirect(""C""&amp;row()),indirect(""C""&amp;row()))),""Best of 2"",
AND(C86=""3x3 MBLD"",MOD(COUNTIF($C$7:indirect(""C""&amp;row()),indirect(""C""&amp;row())),3)=2,
COUNTIF($C$7:$C$102,indirect(""C""&amp;row()))&gt;COUNTIF($C$7:indirect(""C""&amp;row()),indirect("&amp;"""C""&amp;row()))),""Best of 3"",
AND(C86=""3x3 FMC"",MOD(COUNTIF($C$7:indirect(""C""&amp;row()),indirect(""C""&amp;row())),3)=1,
COUNTIF($C$7:$C$102,indirect(""C""&amp;row()))&lt;=COUNTIF($C$7:indirect(""C""&amp;row()),indirect(""C""&amp;row()))),""Best of 1"",
AND(C86=""3x3 FMC"""&amp;",MOD(COUNTIF($C$7:indirect(""C""&amp;row()),indirect(""C""&amp;row())),3)=1,
COUNTIF($C$7:$C$102,indirect(""C""&amp;row()))=COUNTIF($C$7:indirect(""C""&amp;row()),indirect(""C""&amp;row()))+1),""Best of 2"",
AND(C86=""3x3 FMC"",MOD(COUNTIF($C$7:indirect(""C""&amp;row()),indirect"&amp;"(""C""&amp;row())),3)=1,
COUNTIF($C$7:$C$102,indirect(""C""&amp;row()))&gt;COUNTIF($C$7:indirect(""C""&amp;row()),indirect(""C""&amp;row()))),""Mean of 3"",
AND(C86=""3x3 MBLD"",MOD(COUNTIF($C$7:indirect(""C""&amp;row()),indirect(""C""&amp;row())),3)=1,
COUNTIF($C$7:$C$102,indirect"&amp;"(""C""&amp;row()))&lt;=COUNTIF($C$7:indirect(""C""&amp;row()),indirect(""C""&amp;row()))),""Best of 1"",
AND(C86=""3x3 MBLD"",MOD(COUNTIF($C$7:indirect(""C""&amp;row()),indirect(""C""&amp;row())),3)=1,
COUNTIF($C$7:$C$102,indirect(""C""&amp;row()))=COUNTIF($C$7:indirect(""C""&amp;row()"&amp;"),indirect(""C""&amp;row()))+1),""Best of 2"",
AND(C86=""3x3 MBLD"",MOD(COUNTIF($C$7:indirect(""C""&amp;row()),indirect(""C""&amp;row())),3)=1,
COUNTIF($C$7:$C$102,indirect(""C""&amp;row()))&gt;COUNTIF($C$7:indirect(""C""&amp;row()),indirect(""C""&amp;row()))),""Best of 3"",
TRUE,("&amp;"IFERROR(FILTER(Info!$D$2:D86, Info!$A$2:A86 = C86), """")))"),"")</f>
        <v/>
      </c>
      <c r="G86" s="64" t="str">
        <f>IFERROR(__xludf.DUMMYFUNCTION("IFS(OR(COUNTIF(Info!$A$22:A86,C86)&gt;0,C86=""""),"""",
OR(""3x3 MBLD""=C86,""3x3 FMC""=C86),60,
AND(E86=1,FILTER(Info!$F$2:F86, Info!$A$2:A86 = C86) = ""No""),FILTER(Info!$P$2:P86, Info!$A$2:A86 = C86),
AND(E86=2,FILTER(Info!$F$2:F86, Info!$A$2:A86 = C86) ="&amp;" ""No""),FILTER(Info!$Q$2:Q86, Info!$A$2:A86 = C86),
AND(E86=3,FILTER(Info!$F$2:F86, Info!$A$2:A86 = C86) = ""No""),FILTER(Info!$R$2:R86, Info!$A$2:A86 = C86),
AND(E86=""Final"",FILTER(Info!$F$2:F86, Info!$A$2:A86 = C86) = ""No""),FILTER(Info!$S$2:S86, In"&amp;"fo!$A$2:A86 = C86),
FILTER(Info!$F$2:F86, Info!$A$2:A86 = C86) = ""Yes"","""")"),"")</f>
        <v/>
      </c>
      <c r="H86" s="64" t="str">
        <f>IFERROR(__xludf.DUMMYFUNCTION("IFS(OR(COUNTIF(Info!$A$22:A86,C86)&gt;0,C86=""""),"""",
OR(""3x3 MBLD""=C86,""3x3 FMC""=C86)=TRUE,"""",
FILTER(Info!$F$2:F86, Info!$A$2:A86 = C86) = ""Yes"",FILTER(Info!$O$2:O86, Info!$A$2:A86 = C86),
FILTER(Info!$F$2:F86, Info!$A$2:A86 = C86) = ""No"",IF(G8"&amp;"6="""",FILTER(Info!$O$2:O86, Info!$A$2:A86 = C86),""""))"),"")</f>
        <v/>
      </c>
      <c r="I86" s="64" t="str">
        <f>IFERROR(__xludf.DUMMYFUNCTION("IFS(OR(COUNTIF(Info!$A$22:A86,C86)&gt;0,C86="""",H86&lt;&gt;""""),"""",
AND(E86&lt;&gt;1,E86&lt;&gt;""R1 - A1"",E86&lt;&gt;""R1 - A2"",E86&lt;&gt;""R1 - A3""),"""",
FILTER(Info!$E$2:E86, Info!$A$2:A86 = C86) = ""Yes"",IF(H86="""",FILTER(Info!$L$2:L86, Info!$A$2:A86 = C86),""""),
FILTER(I"&amp;"nfo!$E$2:E86, Info!$A$2:A86 = C86) = ""No"","""")"),"")</f>
        <v/>
      </c>
      <c r="J86" s="64" t="str">
        <f>IFERROR(__xludf.DUMMYFUNCTION("IFS(OR(COUNTIF(Info!$A$22:A86,C86)&gt;0,C86="""",""3x3 MBLD""=C86,""3x3 FMC""=C86),"""",
AND(E86=1,FILTER(Info!$H$2:H86,Info!$A$2:A86 = C86)&lt;=FILTER(Info!$H$2:H86,Info!$A$2:A86=$K$2)),
ROUNDUP((FILTER(Info!$H$2:H86,Info!$A$2:A86 = C86)/FILTER(Info!$H$2:H86,I"&amp;"nfo!$A$2:A86=$K$2))*$I$2),
AND(E86=1,FILTER(Info!$H$2:H86,Info!$A$2:A86 = C86)&gt;FILTER(Info!$H$2:H86,Info!$A$2:A86=$K$2)),""K2 - Error"",
AND(E86=2,FILTER($J$7:indirect(""J""&amp;row()-1),$C$7:indirect(""C""&amp;row()-1)=C86)&lt;=7),""J - Error"",
E86=2,FLOOR(FILTER("&amp;"$J$7:indirect(""J""&amp;row()-1),$C$7:indirect(""C""&amp;row()-1)=C86)*Info!$T$32),
AND(E86=3,FILTER($J$7:indirect(""J""&amp;row()-1),$C$7:indirect(""C""&amp;row()-1)=C86)&lt;=15),""J - Error"",
E86=3,FLOOR(Info!$T$32*FLOOR(FILTER($J$7:indirect(""J""&amp;row()-1),$C$7:indirect("&amp;"""C""&amp;row()-1)=C86)*Info!$T$32)),
AND(E86=""Final"",COUNTIF($C$7:$C$102,C86)=2,FILTER($J$7:indirect(""J""&amp;row()-1),$C$7:indirect(""C""&amp;row()-1)=C86)&lt;=7),""J - Error"",
AND(E86=""Final"",COUNTIF($C$7:$C$102,C86)=2),
MIN(P86,FLOOR(FILTER($J$7:indirect(""J"""&amp;"&amp;row()-1),$C$7:indirect(""C""&amp;row()-1)=C86)*Info!$T$32)),
AND(E86=""Final"",COUNTIF($C$7:$C$102,C86)=3,FILTER($J$7:indirect(""J""&amp;row()-1),$C$7:indirect(""C""&amp;row()-1)=C86)&lt;=15),""J - Error"",
AND(E86=""Final"",COUNTIF($C$7:$C$102,C86)=3),
MIN(P86,FLOOR(I"&amp;"nfo!$T$32*FLOOR(FILTER($J$7:indirect(""J""&amp;row()-1),$C$7:indirect(""C""&amp;row()-1)=C86)*Info!$T$32))),
AND(E86=""Final"",COUNTIF($C$7:$C$102,C86)&gt;=4,FILTER($J$7:indirect(""J""&amp;row()-1),$C$7:indirect(""C""&amp;row()-1)=C86)&lt;=99),""J - Error"",
AND(E86=""Final"","&amp;"COUNTIF($C$7:$C$102,C86)&gt;=4),
MIN(P86,FLOOR(Info!$T$32*FLOOR(Info!$T$32*FLOOR(FILTER($J$7:indirect(""J""&amp;row()-1),$C$7:indirect(""C""&amp;row()-1)=C86)*Info!$T$32)))))"),"")</f>
        <v/>
      </c>
      <c r="K86" s="41" t="str">
        <f>IFERROR(__xludf.DUMMYFUNCTION("IFS(AND(indirect(""D""&amp;row()+2)&lt;&gt;$E$2,indirect(""D""&amp;row()+1)=""""),CONCATENATE(""Tom rad! Kopiera hela rad ""&amp;row()&amp;"" dit""),
AND(indirect(""D""&amp;row()-1)&lt;&gt;""Rum"",indirect(""D""&amp;row()-1)=""""),CONCATENATE(""Tom rad! Kopiera hela rad ""&amp;row()&amp;"" dit""),
"&amp;"C86="""","""",
COUNTIF(Info!$A$22:A86,$K$2)&gt;0,""Det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OR(AND(D86&lt;&gt;$E$2,D86&lt;&gt;$E$4,D86&lt;&gt;$K$4,D86&lt;&gt;$Q$4),D86="&amp;"""""),CONCATENATE(""Rum: ""&amp;D86&amp;"" finns ej, byt i D""&amp;row()),
AND(indirect(""D""&amp;row()-1)=""Rum"",C86=""""),CONCATENATE(""För att börja: skriv i cell C""&amp;row()),
AND(C86=""Paus"",M86&lt;=0),CONCATENATE(""Skriv pausens längd i M""&amp;row()),
OR(COUNTIF(Info!$A$"&amp;"22:A86,C86)&gt;0,C86=""""),"""",
AND(D86&lt;&gt;$E$2,$O$2=""Yes"",A86=""=time(hh;mm;ss)""),CONCATENATE(""Skriv starttid för ""&amp;C86&amp;"" i A""&amp;row()),
E86=""E - Error"",CONCATENATE(""För många ""&amp;C86&amp;"" rundor!""),
AND(C86&lt;&gt;""3x3 FMC"",C86&lt;&gt;""3x3 MBLD"",E86&lt;&gt;1,E86&lt;&gt;"&amp;"""Final"",IFERROR(FILTER($E$7:indirect(""E""&amp;row()-1),
$E$7:indirect(""E""&amp;row()-1)=E86-1,$C$7:indirect(""C""&amp;row()-1)=C86))=FALSE),CONCATENATE(""Kan ej vara R""&amp;E86&amp;"", saknar R""&amp;(E86-1)),
AND(indirect(""E""&amp;row()-1)&lt;&gt;""Omgång"",IFERROR(FILTER($E$7:indi"&amp;"rect(""E""&amp;row()-1),
$E$7:indirect(""E""&amp;row()-1)=E86,$C$7:indirect(""C""&amp;row()-1)=C86)=E86)=TRUE),CONCATENATE(""Runda ""&amp;E86&amp;"" i ""&amp;C86&amp;"" finns redan""),
AND(C86&lt;&gt;""3x3 BLD"",C86&lt;&gt;""4x4 BLD"",C86&lt;&gt;""5x5 BLD"",C86&lt;&gt;""4x4 / 5x5 BLD"",OR(E86=2,E86=3,E86="&amp;"""Final""),H86&lt;&gt;""""),CONCATENATE(E86&amp;""-rundor brukar ej ha c.t.l.""),
AND(OR(E86=2,E86=3,E86=""Final""),I86&lt;&gt;""""),CONCATENATE(E86&amp;""-rundor brukar ej ha cutoff""),
AND(OR(C86=""3x3 FMC"",C86=""3x3 MBLD""),OR(E86=1,E86=2,E86=3,E86=""Final"")),CONCATENAT"&amp;"E(C86&amp;""s omgång är Rx - Ax""),
AND(C86&lt;&gt;""3x3 MBLD"",C86&lt;&gt;""3x3 FMC"",FILTER(Info!$D$2:D86, Info!$A$2:A86 = C86)&lt;&gt;F86),CONCATENATE(C86&amp;"" måste ha formatet ""&amp;FILTER(Info!$D$2:D86, Info!$A$2:A86 = C86)),
AND(C86=""3x3 MBLD"",OR(F86=""Avg of 5"",F86=""Mea"&amp;"n of 3"")),CONCATENATE(""Ogiltigt format för ""&amp;C86),
AND(C86=""3x3 FMC"",OR(F86=""Avg of 5"",F86=""Best of 3"")),CONCATENATE(""Ogiltigt format för ""&amp;C86),
AND(OR(F86=""Best of 1"",F86=""Best of 2"",F86=""Best of 3""),I86&lt;&gt;""""),CONCATENATE(F86&amp;""-rundor"&amp;" får ej ha cutoff""),
AND(OR(C86=""3x3 FMC"",C86=""3x3 MBLD""),G86&lt;&gt;60),CONCATENATE(C86&amp;"" måste ha time limit: 60""),
AND(OR(C86=""3x3 FMC"",C86=""3x3 MBLD""),H86&lt;&gt;""""),CONCATENATE(C86&amp;"" kan inte ha c.t.l.""),
AND(G86&lt;&gt;"""",H86&lt;&gt;""""),""Välj time limit"&amp;" ELLER c.t.l"",
AND(C86=""6x6 / 7x7"",G86="""",H86=""""),""Sätt time limit (x / y) eller c.t.l (z)"",
AND(G86="""",H86=""""),""Sätt en time limit eller c.t.l"",
AND(OR(C86=""6x6 / 7x7"",C86=""4x4 / 5x5 BLD""),G86&lt;&gt;"""",REGEXMATCH(TO_TEXT(G86),"" / "")=FAL"&amp;"SE),CONCATENATE(""Time limit måste vara x / y""),
AND(H86&lt;&gt;"""",I86&lt;&gt;""""),CONCATENATE(C86&amp;"" brukar ej ha cutoff OCH c.t.l""),
AND(E86=1,H86="""",I86="""",OR(FILTER(Info!$E$2:E86, Info!$A$2:A86 = C86) = ""Yes"",FILTER(Info!$F$2:F86, Info!$A$2:A86 = C86) "&amp;"= ""Yes""),OR(F86=""Avg of 5"",F86=""Mean of 3"")),CONCATENATE(C86&amp;"" bör ha cutoff eller c.t.l""),
AND(C86=""6x6 / 7x7"",I86&lt;&gt;"""",REGEXMATCH(TO_TEXT(I86),"" / "")=FALSE),CONCATENATE(""Cutoff måste vara x / y""),
AND(H86&lt;&gt;"""",ISNUMBER(H86)=FALSE),""C.t."&amp;"l. måste vara positivt tal (x)"",
AND(C86&lt;&gt;""6x6 / 7x7"",I86&lt;&gt;"""",ISNUMBER(I86)=FALSE),""Cutoff måste vara positivt tal (x)"",
AND(H86&lt;&gt;"""",FILTER(Info!$E$2:E86, Info!$A$2:A86 = C86) = ""No"",FILTER(Info!$F$2:F86, Info!$A$2:A86 = C86) = ""No""),CONCATEN"&amp;"ATE(C86&amp;"" brukar inte ha c.t.l.""),
AND(I86&lt;&gt;"""",FILTER(Info!$E$2:E86, Info!$A$2:A86 = C86) = ""No"",FILTER(Info!$F$2:F86, Info!$A$2:A86 = C86) = ""No""),CONCATENATE(C86&amp;"" brukar inte ha cutoff""),
AND(H86="""",FILTER(Info!$F$2:F86, Info!$A$2:A86 = C86"&amp;") = ""Yes""),CONCATENATE(C86&amp;"" brukar ha c.t.l.""),
AND(C86&lt;&gt;""6x6 / 7x7"",C86&lt;&gt;""4x4 / 5x5 BLD"",G86&lt;&gt;"""",ISNUMBER(G86)=FALSE),""Time limit måste vara positivt tal (x)"",
J86=""J - Error"",CONCATENATE(""För få deltagare i R1 för ""&amp;COUNTIF($C$7:$C$102,"&amp;"indirect(""C""&amp;row()))&amp;"" rundor""),
J86=""K2 - Error"",CONCATENATE(C86&amp;"" är mer populär - byt i K2!""),
AND(C86&lt;&gt;""6x6 / 7x7"",C86&lt;&gt;""4x4 / 5x5 BLD"",G86&lt;&gt;"""",I86&lt;&gt;"""",G86&lt;=I86),""Time limit måste vara &gt; cutoff"",
AND(C86&lt;&gt;""6x6 / 7x7"",C86&lt;&gt;""4x4 / 5"&amp;"x5 BLD"",H86&lt;&gt;"""",I86&lt;&gt;"""",H86&lt;=I86),""C.t.l. måste vara &gt; cutoff"",
AND(C86&lt;&gt;""3x3 FMC"",C86&lt;&gt;""3x3 MBLD"",J86=""""),CONCATENATE(""Fyll i antal deltagare i J""&amp;row()),
AND(C86="""",OR(E86&lt;&gt;"""",F86&lt;&gt;"""",G86&lt;&gt;"""",H86&lt;&gt;"""",I86&lt;&gt;"""",J86&lt;&gt;"""")),""Skri"&amp;"v ALLTID gren / aktivitet först"",
AND(I86="""",H86="""",J86&lt;&gt;""""),J86,
OR(""3x3 FMC""=C86,""3x3 MBLD""=C86),J86,
AND(I86&lt;&gt;"""",""6x6 / 7x7""=C86),
IFS(ArrayFormula(SUM(IFERROR(SPLIT(I86,"" / ""))))&lt;(Info!$J$6+Info!$J$7)*2/3,CONCATENATE(""Höj helst cutof"&amp;"fs i ""&amp;C86),
ArrayFormula(SUM(IFERROR(SPLIT(I86,"" / ""))))&lt;=(Info!$J$6+Info!$J$7),ROUNDUP(J86*Info!$J$22),
ArrayFormula(SUM(IFERROR(SPLIT(I86,"" / ""))))&lt;=Info!$J$6+Info!$J$7,ROUNDUP(J86*Info!$K$22),
ArrayFormula(SUM(IFERROR(SPLIT(I86,"" / ""))))&lt;=Info!"&amp;"$K$6+Info!$K$7,ROUNDUP(J86*Info!L$22),
ArrayFormula(SUM(IFERROR(SPLIT(I86,"" / ""))))&lt;=Info!$L$6+Info!$L$7,ROUNDUP(J86*Info!$M$22),
ArrayFormula(SUM(IFERROR(SPLIT(I86,"" / ""))))&lt;=Info!$M$6+Info!$M$7,ROUNDUP(J86*Info!$N$22),
ArrayFormula(SUM(IFERROR(SPLIT"&amp;"(I86,"" / ""))))&lt;=(Info!$N$6+Info!$N$7)*3/2,ROUNDUP(J86*Info!$J$26),
ArrayFormula(SUM(IFERROR(SPLIT(I86,"" / ""))))&gt;(Info!$N$6+Info!$N$7)*3/2,CONCATENATE(""Sänk helst cutoffs i ""&amp;C86)),
AND(I86&lt;&gt;"""",FILTER(Info!$E$2:E86, Info!$A$2:A86 = C86) = ""Yes""),"&amp;"
IFS(I86&lt;FILTER(Info!$J$2:J86, Info!$A$2:A86 = C86)*2/3,CONCATENATE(""Höj helst cutoff i ""&amp;C86),
I86&lt;=FILTER(Info!$J$2:J86, Info!$A$2:A86 = C86),ROUNDUP(J86*Info!$J$22),
I86&lt;=FILTER(Info!$K$2:K86, Info!$A$2:A86 = C86),ROUNDUP(J86*Info!$K$22),
I86&lt;=FILTER"&amp;"(Info!$L$2:L86, Info!$A$2:A86 = C86),ROUNDUP(J86*Info!L$22),
I86&lt;=FILTER(Info!$M$2:M86, Info!$A$2:A86 = C86),ROUNDUP(J86*Info!$M$22),
I86&lt;=FILTER(Info!$N$2:N86, Info!$A$2:A86 = C86),ROUNDUP(J86*Info!$N$22),
I86&lt;=FILTER(Info!$N$2:N86, Info!$A$2:A86 = C86)*"&amp;"3/2,ROUNDUP(J86*Info!$J$26),
I86&gt;FILTER(Info!$N$2:N86, Info!$A$2:A86 = C86)*3/2,CONCATENATE(""Sänk helst cutoff i ""&amp;C86)),
AND(H86&lt;&gt;"""",""6x6 / 7x7""=C86),
IFS(H86/3&lt;=(Info!$J$6+Info!$J$7)*2/3,""Höj helst cumulative time limit"",
H86/3&lt;=Info!$J$6+Info!$"&amp;"J$7,ROUNDUP(J86*Info!$J$24),
H86/3&lt;=Info!$K$6+Info!$K$7,ROUNDUP(J86*Info!$K$24),
H86/3&lt;=Info!$L$6+Info!$L$7,ROUNDUP(J86*Info!L$24),
H86/3&lt;=Info!$M$6+Info!$M$7,ROUNDUP(J86*Info!$M$24),
H86/3&lt;=Info!$N$6+Info!$N$7,ROUNDUP(J86*Info!$N$24),
H86/3&lt;=(Info!$N$6+I"&amp;"nfo!$N$7)*3/2,ROUNDUP(J86*Info!$L$26),
H86/3&gt;(Info!$J$6+Info!$J$7)*3/2,""Sänk helst cumulative time limit""),
AND(H86&lt;&gt;"""",FILTER(Info!$F$2:F86, Info!$A$2:A86 = C86) = ""Yes""),
IFS(H86&lt;=FILTER(Info!$J$2:J86, Info!$A$2:A86 = C86)*2/3,CONCATENATE(""Höj he"&amp;"lst c.t.l. i ""&amp;C86),
H86&lt;=FILTER(Info!$J$2:J86, Info!$A$2:A86 = C86),ROUNDUP(J86*Info!$J$24),
H86&lt;=FILTER(Info!$K$2:K86, Info!$A$2:A86 = C86),ROUNDUP(J86*Info!$K$24),
H86&lt;=FILTER(Info!$L$2:L86, Info!$A$2:A86 = C86),ROUNDUP(J86*Info!L$24),
H86&lt;=FILTER(Inf"&amp;"o!$M$2:M86, Info!$A$2:A86 = C86),ROUNDUP(J86*Info!$M$24),
H86&lt;=FILTER(Info!$N$2:N86, Info!$A$2:A86 = C86),ROUNDUP(J86*Info!$N$24),
H86&lt;=FILTER(Info!$N$2:N86, Info!$A$2:A86 = C86)*3/2,ROUNDUP(J86*Info!$L$26),
H86&gt;FILTER(Info!$N$2:N86, Info!$A$2:A86 = C86)*"&amp;"3/2,CONCATENATE(""Sänk helst c.t.l. i ""&amp;C86)),
AND(H86&lt;&gt;"""",FILTER(Info!$F$2:F86, Info!$A$2:A86 = C86) = ""No""),
IFS(H86/AA86&lt;=FILTER(Info!$J$2:J86, Info!$A$2:A86 = C86)*2/3,CONCATENATE(""Höj helst c.t.l. i ""&amp;C86),
H86/AA86&lt;=FILTER(Info!$J$2:J86, Info"&amp;"!$A$2:A86 = C86),ROUNDUP(J86*Info!$J$24),
H86/AA86&lt;=FILTER(Info!$K$2:K86, Info!$A$2:A86 = C86),ROUNDUP(J86*Info!$K$24),
H86/AA86&lt;=FILTER(Info!$L$2:L86, Info!$A$2:A86 = C86),ROUNDUP(J86*Info!L$24),
H86/AA86&lt;=FILTER(Info!$M$2:M86, Info!$A$2:A86 = C86),ROUND"&amp;"UP(J86*Info!$M$24),
H86/AA86&lt;=FILTER(Info!$N$2:N86, Info!$A$2:A86 = C86),ROUNDUP(J86*Info!$N$24),
H86/AA86&lt;=FILTER(Info!$N$2:N86, Info!$A$2:A86 = C86)*3/2,ROUNDUP(J86*Info!$L$26),
H86/AA86&gt;FILTER(Info!$N$2:N86, Info!$A$2:A86 = C86)*3/2,CONCATENATE(""Sänk "&amp;"helst c.t.l. i ""&amp;C86)),
AND(I86="""",H86&lt;&gt;"""",J86&lt;&gt;""""),ROUNDUP(J86*Info!$T$29),
AND(I86&lt;&gt;"""",H86="""",J86&lt;&gt;""""),ROUNDUP(J86*Info!$T$26))"),"")</f>
        <v/>
      </c>
      <c r="L86" s="42">
        <f>IFERROR(__xludf.DUMMYFUNCTION("IFS(C86="""",0,
C86=""3x3 FMC"",Info!$B$9*N86+M86, C86=""3x3 MBLD"",Info!$B$18*N86+M86,
COUNTIF(Info!$A$22:A86,C86)&gt;0,FILTER(Info!$B$22:B86,Info!$A$22:A86=C86)+M86,
AND(C86&lt;&gt;"""",E86=""""),CONCATENATE(""Fyll i E""&amp;row()),
AND(C86&lt;&gt;"""",E86&lt;&gt;"""",E86&lt;&gt;1,E8"&amp;"6&lt;&gt;2,E86&lt;&gt;3,E86&lt;&gt;""Final""),CONCATENATE(""Fel format på E""&amp;row()),
K86=CONCATENATE(""Runda ""&amp;E86&amp;"" i ""&amp;C86&amp;"" finns redan""),CONCATENATE(""Fel i E""&amp;row()),
AND(C86&lt;&gt;"""",F86=""""),CONCATENATE(""Fyll i F""&amp;row()),
K86=CONCATENATE(C86&amp;"" måste ha forma"&amp;"tet ""&amp;FILTER(Info!$D$2:D86, Info!$A$2:A86 = C86)),CONCATENATE(""Fel format på F""&amp;row()),
AND(C86&lt;&gt;"""",D86=1,H86="""",FILTER(Info!$F$2:F86, Info!$A$2:A86 = C86) = ""Yes""),CONCATENATE(""Fyll i H""&amp;row()),
AND(C86&lt;&gt;"""",D86=1,I86="""",FILTER(Info!$E$2:E8"&amp;"6, Info!$A$2:A86 = C86) = ""Yes""),CONCATENATE(""Fyll i I""&amp;row()),
AND(C86&lt;&gt;"""",J86=""""),CONCATENATE(""Fyll i J""&amp;row()),
AND(C86&lt;&gt;"""",K86="""",OR(H86&lt;&gt;"""",I86&lt;&gt;"""")),CONCATENATE(""Fyll i K""&amp;row()),
AND(C86&lt;&gt;"""",K86=""""),CONCATENATE(""Skriv samma"&amp;" i K""&amp;row()&amp;"" som i J""&amp;row()),
AND(OR(C86=""4x4 BLD"",C86=""5x5 BLD"",C86=""4x4 / 5x5 BLD"")=TRUE,V86&lt;=P86),
MROUND(H86*(Info!$T$20-((Info!$T$20-1)/2)*(1-V86/P86))*(1+((J86/K86)-1)*(1-Info!$J$24))*N86+(Info!$T$11/2)+(N86*Info!$T$11)+(N86*Info!$T$14*(O8"&amp;"6-1)),0.01)+M86,
AND(OR(C86=""4x4 BLD"",C86=""5x5 BLD"",C86=""4x4 / 5x5 BLD"")=TRUE,V86&gt;P86),
MROUND((((J86*Z86+K86*(AA86-Z86))*(H86*Info!$T$20/AA86))/X86)*(1+((J86/K86)-1)*(1-Info!$J$24))*(1+(X86-Info!$T$8)/100)+(Info!$T$11/2)+(N86*Info!$T$11)+(N86*Info!"&amp;"$T$14*(O86-1)),0.01)+M86,
AND(C86=""3x3 BLD"",V86&lt;=P86),
MROUND(H86*(Info!$T$23-((Info!$T$23-1)/2)*(1-V86/P86))*(1+((J86/K86)-1)*(1-Info!$J$24))*N86+(Info!$T$11/2)+(N86*Info!$T$11)+(N86*Info!$T$14*(O86-1)),0.01)+M86,
AND(C86=""3x3 BLD"",V86&gt;P86),
MROUND(("&amp;"((J86*Z86+K86*(AA86-Z86))*(H86*Info!$T$23/AA86))/X86)*(1+((J86/K86)-1)*(1-Info!$J$24))*(1+(X86-Info!$T$8)/100)+(Info!$T$11/2)+(N86*Info!$T$11)+(N86*Info!$T$14*(O86-1)),0.01)+M86,
E86=1,MROUND((((J86*Z86+K86*(AA86-Z86))*Y86)/X86)*(1+(X86-Info!$T$8)/100)+(N"&amp;"86*Info!$T$11)+(N86*Info!$T$14*(O86-1)),0.01)+M86,
AND(E86=""Final"",N86=1,FILTER(Info!$G$2:$G$20,Info!$A$2:$A$20=C86)=""Mycket svår""),
MROUND((((J86*Z86+K86*(AA86-Z86))*(Y86*Info!$T$38))/X86)*(1+(X86-Info!$T$8)/100)+(N86*Info!$T$11)+(N86*Info!$T$14*(O86"&amp;"-1)),0.01)+M86,
AND(E86=""Final"",N86=1,FILTER(Info!$G$2:$G$20,Info!$A$2:$A$20=C86)=""Svår""),
MROUND((((J86*Z86+K86*(AA86-Z86))*(Y86*Info!$T$35))/X86)*(1+(X86-Info!$T$8)/100)+(N86*Info!$T$11)+(N86*Info!$T$14*(O86-1)),0.01)+M86,
E86=""Final"",MROUND((((J8"&amp;"6*Z86+K86*(AA86-Z86))*(Y86*Info!$T$5))/X86)*(1+(X86-Info!$T$8)/100)+(N86*Info!$T$11)+(N86*Info!$T$14*(O86-1)),0.01)+M86,
OR(E86=2,E86=3),MROUND((((J86*Z86+K86*(AA86-Z86))*(Y86*Info!$T$2))/X86)*(1+(X86-Info!$T$8)/100)+(N86*Info!$T$11)+(N86*Info!$T$14*(O86-"&amp;"1)),0.01)+M86)"),0.0)</f>
        <v>0</v>
      </c>
      <c r="M86" s="43">
        <f t="shared" si="9"/>
        <v>0</v>
      </c>
      <c r="N86" s="43" t="str">
        <f>IFS(OR(COUNTIF(Info!$A$22:A86,C86)&gt;0,C86=""),"",
OR(C86="4x4 BLD",C86="5x5 BLD",C86="3x3 MBLD",C86="3x3 FMC",C86="4x4 / 5x5 BLD"),1,
AND(E86="Final",Q86="Yes",MAX(1,ROUNDUP(J86/P86))&gt;1),MAX(2,ROUNDUP(J86/P86)),
AND(E86="Final",Q86="No",MAX(1,ROUNDUP(J86/((P86*2)+2.625-Y86*1.5)))&gt;1),MAX(2,ROUNDUP(J86/((P86*2)+2.625-Y86*1.5))),
E86="Final",1,
Q86="Yes",MAX(2,ROUNDUP(J86/P86)),
TRUE,MAX(2,ROUNDUP(J86/((P86*2)+2.625-Y86*1.5))))</f>
        <v/>
      </c>
      <c r="O86" s="43" t="str">
        <f>IFS(OR(COUNTIF(Info!$A$22:A86,C86)&gt;0,C86=""),"",
OR("3x3 MBLD"=C86,"3x3 FMC"=C86)=TRUE,"",
D86=$E$4,$G$6,D86=$K$4,$M$6,D86=$Q$4,$S$6,D86=$W$4,$Y$6,
TRUE,$S$2)</f>
        <v/>
      </c>
      <c r="P86" s="43" t="str">
        <f>IFS(OR(COUNTIF(Info!$A$22:A86,C86)&gt;0,C86=""),"",
OR("3x3 MBLD"=C86,"3x3 FMC"=C86)=TRUE,"",
D86=$E$4,$E$6,D86=$K$4,$K$6,D86=$Q$4,$Q$6,D86=$W$4,$W$6,
TRUE,$Q$2)</f>
        <v/>
      </c>
      <c r="Q86" s="44" t="str">
        <f>IFS(OR(COUNTIF(Info!$A$22:A86,C86)&gt;0,C86=""),"",
OR("3x3 MBLD"=C86,"3x3 FMC"=C86)=TRUE,"",
D86=$E$4,$I$6,D86=$K$4,$O$6,D86=$Q$4,$U$6,D86=$W$4,$AA$6,
TRUE,$U$2)</f>
        <v/>
      </c>
      <c r="R86" s="65" t="str">
        <f>IFERROR(__xludf.DUMMYFUNCTION("IF(C86="""","""",IFERROR(FILTER(Info!$B$22:B86,Info!$A$22:A86=C86)+M86,""?""))"),"")</f>
        <v/>
      </c>
      <c r="S86" s="66" t="str">
        <f>IFS(OR(COUNTIF(Info!$A$22:A86,C86)&gt;0,C86=""),"",
AND(H86="",I86=""),J86,
TRUE,"?")</f>
        <v/>
      </c>
      <c r="T86" s="65" t="str">
        <f>IFS(OR(COUNTIF(Info!$A$22:A86,C86)&gt;0,C86=""),"",
AND(L86&lt;&gt;0,OR(R86="?",R86="")),"Fyll i R-kolumnen",
OR(C86="3x3 FMC",C86="3x3 MBLD"),R86,
AND(L86&lt;&gt;0,OR(S86="?",S86="")),"Fyll i S-kolumnen",
OR(COUNTIF(Info!$A$22:A86,C86)&gt;0,C86=""),"",
TRUE,Y86*R86/L86)</f>
        <v/>
      </c>
      <c r="U86" s="65"/>
      <c r="V86" s="67" t="str">
        <f>IFS(OR(COUNTIF(Info!$A$22:A86,C86)&gt;0,C86=""),"",
OR("3x3 MBLD"=C86,"3x3 FMC"=C86)=TRUE,"",
TRUE,MROUND((J86/N86),0.01))</f>
        <v/>
      </c>
      <c r="W86" s="68" t="str">
        <f>IFS(OR(COUNTIF(Info!$A$22:A86,C86)&gt;0,C86=""),"",
TRUE,L86/N86)</f>
        <v/>
      </c>
      <c r="X86" s="67" t="str">
        <f>IFS(OR(COUNTIF(Info!$A$22:A86,C86)&gt;0,C86=""),"",
OR("3x3 MBLD"=C86,"3x3 FMC"=C86)=TRUE,"",
OR(C86="4x4 BLD",C86="5x5 BLD",C86="4x4 / 5x5 BLD",AND(C86="3x3 BLD",H86&lt;&gt;""))=TRUE,MIN(V86,P86),
TRUE,MIN(P86,V86,MROUND(((V86*2/3)+((Y86-1.625)/2)),0.01)))</f>
        <v/>
      </c>
      <c r="Y86" s="68" t="str">
        <f>IFERROR(__xludf.DUMMYFUNCTION("IFS(OR(COUNTIF(Info!$A$22:A86,C86)&gt;0,C86=""""),"""",
FILTER(Info!$F$2:F86, Info!$A$2:A86 = C86) = ""Yes"",H86/AA86,
""3x3 FMC""=C86,Info!$B$9,""3x3 MBLD""=C86,Info!$B$18,
AND(E86=1,I86="""",H86="""",Q86=""No"",G86&gt;SUMIF(Info!$A$2:A86,C86,Info!$B$2:B86)*1."&amp;"5),
MIN(SUMIF(Info!$A$2:A86,C86,Info!$B$2:B86)*1.1,SUMIF(Info!$A$2:A86,C86,Info!$B$2:B86)*(1.15-(0.15*(SUMIF(Info!$A$2:A86,C86,Info!$B$2:B86)*1.5)/G86))),
AND(E86=1,I86="""",H86="""",Q86=""Yes"",G86&gt;SUMIF(Info!$A$2:A86,C86,Info!$C$2:C86)*1.5),
MIN(SUMIF(I"&amp;"nfo!$A$2:A86,C86,Info!$C$2:C86)*1.1,SUMIF(Info!$A$2:A86,C86,Info!$C$2:C86)*(1.15-(0.15*(SUMIF(Info!$A$2:A86,C86,Info!$C$2:C86)*1.5)/G86))),
Q86=""No"",SUMIF(Info!$A$2:A86,C86,Info!$B$2:B86),
Q86=""Yes"",SUMIF(Info!$A$2:A86,C86,Info!$C$2:C86))"),"")</f>
        <v/>
      </c>
      <c r="Z86" s="67" t="str">
        <f>IFS(OR(COUNTIF(Info!$A$22:A86,C86)&gt;0,C86=""),"",
AND(OR("3x3 FMC"=C86,"3x3 MBLD"=C86),I86&lt;&gt;""),1,
AND(OR(H86&lt;&gt;"",I86&lt;&gt;""),F86="Avg of 5"),2,
F86="Avg of 5",AA86,
AND(OR(H86&lt;&gt;"",I86&lt;&gt;""),F86="Mean of 3",C86="6x6 / 7x7"),2,
AND(OR(H86&lt;&gt;"",I86&lt;&gt;""),F86="Mean of 3"),1,
F86="Mean of 3",AA86,
AND(OR(H86&lt;&gt;"",I86&lt;&gt;""),F86="Best of 3",C86="4x4 / 5x5 BLD"),2,
AND(OR(H86&lt;&gt;"",I86&lt;&gt;""),F86="Best of 3"),1,
F86="Best of 2",AA86,
F86="Best of 1",AA86)</f>
        <v/>
      </c>
      <c r="AA86" s="67" t="str">
        <f>IFS(OR(COUNTIF(Info!$A$22:A86,C86)&gt;0,C86=""),"",
AND(OR("3x3 MBLD"=C86,"3x3 FMC"=C86),F86="Best of 1"=TRUE),1,
AND(OR("3x3 MBLD"=C86,"3x3 FMC"=C86),F86="Best of 2"=TRUE),2,
AND(OR("3x3 MBLD"=C86,"3x3 FMC"=C86),OR(F86="Best of 3",F86="Mean of 3")=TRUE),3,
AND(F86="Mean of 3",C86="6x6 / 7x7"),6,
AND(F86="Best of 3",C86="4x4 / 5x5 BLD"),6,
F86="Avg of 5",5,F86="Mean of 3",3,F86="Best of 3",3,F86="Best of 2",2,F86="Best of 1",1)</f>
        <v/>
      </c>
      <c r="AB86" s="69"/>
    </row>
    <row r="87" ht="15.75" customHeight="1">
      <c r="A87" s="62">
        <f>IFERROR(__xludf.DUMMYFUNCTION("IFS(indirect(""A""&amp;row()-1)=""Start"",TIME(indirect(""A""&amp;row()-2),indirect(""B""&amp;row()-2),0),
$O$2=""No"",TIME(0,($A$6*60+$B$6)+CEILING(SUM($L$7:indirect(""L""&amp;row()-1)),5),0),
D87=$E$2,TIME(0,($A$6*60+$B$6)+CEILING(SUM(IFERROR(FILTER($L$7:indirect(""L"""&amp;"&amp;row()-1),REGEXMATCH($D$7:indirect(""D""&amp;row()-1),$E$2)),0)),5),0),
TRUE,""=time(hh;mm;ss)"")"),0.3541666666666665)</f>
        <v>0.3541666667</v>
      </c>
      <c r="B87" s="63">
        <f>IFERROR(__xludf.DUMMYFUNCTION("IFS($O$2=""No"",TIME(0,($A$6*60+$B$6)+CEILING(SUM($L$7:indirect(""L""&amp;row())),5),0),
D87=$E$2,TIME(0,($A$6*60+$B$6)+CEILING(SUM(FILTER($L$7:indirect(""L""&amp;row()),REGEXMATCH($D$7:indirect(""D""&amp;row()),$E$2))),5),0),
A87=""=time(hh;mm;ss)"",CONCATENATE(""Sk"&amp;"riv tid i A""&amp;row()),
AND(A87&lt;&gt;"""",A87&lt;&gt;""=time(hh;mm;ss)""),A87+TIME(0,CEILING(indirect(""L""&amp;row()),5),0))"),0.3541666666666665)</f>
        <v>0.3541666667</v>
      </c>
      <c r="C87" s="37"/>
      <c r="D87" s="64" t="str">
        <f t="shared" si="10"/>
        <v>Stora salen</v>
      </c>
      <c r="E87" s="64" t="str">
        <f>IFERROR(__xludf.DUMMYFUNCTION("IFS(COUNTIF(Info!$A$22:A87,C87)&gt;0,"""",
AND(OR(""3x3 FMC""=C87,""3x3 MBLD""=C87),COUNTIF($C$7:indirect(""C""&amp;row()),indirect(""C""&amp;row()))&gt;=13),""E - Error"",
AND(OR(""3x3 FMC""=C87,""3x3 MBLD""=C87),COUNTIF($C$7:indirect(""C""&amp;row()),indirect(""C""&amp;row()"&amp;"))=12),""Final - A3"",
AND(OR(""3x3 FMC""=C87,""3x3 MBLD""=C87),COUNTIF($C$7:indirect(""C""&amp;row()),indirect(""C""&amp;row()))=11),""Final - A2"",
AND(OR(""3x3 FMC""=C87,""3x3 MBLD""=C87),COUNTIF($C$7:indirect(""C""&amp;row()),indirect(""C""&amp;row()))=10),""Final - "&amp;"A1"",
AND(OR(""3x3 FMC""=C87,""3x3 MBLD""=C87),COUNTIF($C$7:indirect(""C""&amp;row()),indirect(""C""&amp;row()))=9,
COUNTIF($C$7:$C$102,indirect(""C""&amp;row()))&gt;9),""R3 - A3"",
AND(OR(""3x3 FMC""=C87,""3x3 MBLD""=C87),COUNTIF($C$7:indirect(""C""&amp;row()),indirect(""C"&amp;"""&amp;row()))=9,
COUNTIF($C$7:$C$102,indirect(""C""&amp;row()))&lt;=9),""Final - A3"",
AND(OR(""3x3 FMC""=C87,""3x3 MBLD""=C87),COUNTIF($C$7:indirect(""C""&amp;row()),indirect(""C""&amp;row()))=8,
COUNTIF($C$7:$C$102,indirect(""C""&amp;row()))&gt;9),""R3 - A2"",
AND(OR(""3x3 FMC"&amp;"""=C87,""3x3 MBLD""=C87),COUNTIF($C$7:indirect(""C""&amp;row()),indirect(""C""&amp;row()))=8,
COUNTIF($C$7:$C$102,indirect(""C""&amp;row()))&lt;=9),""Final - A2"",
AND(OR(""3x3 FMC""=C87,""3x3 MBLD""=C87),COUNTIF($C$7:indirect(""C""&amp;row()),indirect(""C""&amp;row()))=7,
COUN"&amp;"TIF($C$7:$C$102,indirect(""C""&amp;row()))&gt;9),""R3 - A1"",
AND(OR(""3x3 FMC""=C87,""3x3 MBLD""=C87),COUNTIF($C$7:indirect(""C""&amp;row()),indirect(""C""&amp;row()))=7,
COUNTIF($C$7:$C$102,indirect(""C""&amp;row()))&lt;=9),""Final - A1"",
AND(OR(""3x3 FMC""=C87,""3x3 MBLD"""&amp;"=C87),COUNTIF($C$7:indirect(""C""&amp;row()),indirect(""C""&amp;row()))=6,
COUNTIF($C$7:$C$102,indirect(""C""&amp;row()))&gt;6),""R2 - A3"",
AND(OR(""3x3 FMC""=C87,""3x3 MBLD""=C87),COUNTIF($C$7:indirect(""C""&amp;row()),indirect(""C""&amp;row()))=6,
COUNTIF($C$7:$C$102,indirec"&amp;"t(""C""&amp;row()))&lt;=6),""Final - A3"",
AND(OR(""3x3 FMC""=C87,""3x3 MBLD""=C87),COUNTIF($C$7:indirect(""C""&amp;row()),indirect(""C""&amp;row()))=5,
COUNTIF($C$7:$C$102,indirect(""C""&amp;row()))&gt;6),""R2 - A2"",
AND(OR(""3x3 FMC""=C87,""3x3 MBLD""=C87),COUNTIF($C$7:indi"&amp;"rect(""C""&amp;row()),indirect(""C""&amp;row()))=5,
COUNTIF($C$7:$C$102,indirect(""C""&amp;row()))&lt;=6),""Final - A2"",
AND(OR(""3x3 FMC""=C87,""3x3 MBLD""=C87),COUNTIF($C$7:indirect(""C""&amp;row()),indirect(""C""&amp;row()))=4,
COUNTIF($C$7:$C$102,indirect(""C""&amp;row()))&gt;6),"&amp;"""R2 - A1"",
AND(OR(""3x3 FMC""=C87,""3x3 MBLD""=C87),COUNTIF($C$7:indirect(""C""&amp;row()),indirect(""C""&amp;row()))=4,
COUNTIF($C$7:$C$102,indirect(""C""&amp;row()))&lt;=6),""Final - A1"",
AND(OR(""3x3 FMC""=C87,""3x3 MBLD""=C87),COUNTIF($C$7:indirect(""C""&amp;row()),i"&amp;"ndirect(""C""&amp;row()))=3),""R1 - A3"",
AND(OR(""3x3 FMC""=C87,""3x3 MBLD""=C87),COUNTIF($C$7:indirect(""C""&amp;row()),indirect(""C""&amp;row()))=2),""R1 - A2"",
AND(OR(""3x3 FMC""=C87,""3x3 MBLD""=C87),COUNTIF($C$7:indirect(""C""&amp;row()),indirect(""C""&amp;row()))=1),"&amp;"""R1 -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87, Info!$A$2:A87 = C87),ROUNDUP((FILTER(Info!$H$2:H87,Info!$A$2:A87=C87)/FILTER(Info!$H$2:H87,Info!$A$2:A87=$K$2))*$I$2)&gt;99),3,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87, Info!$A$2:A87 = C87),ROUNDUP((FILTER(Info!$H$2:H87,Info!$A$2:A87=C87)/FILTER(Info!$H$2:H87,Info!$A$2:A87=$K$2))*$I$2)&gt;15),2,
AND(COUNTIF($C$7:indirect(""C""&amp;row()),indirect(""C""&amp;row()))=2,COUNTIF($C$7:$C$102,indirect(""C""&amp;row()))=COUNTIF($"&amp;"C$7:indirect(""C""&amp;row()),indirect(""C""&amp;row()))),""Final"",
COUNTIF($C$7:indirect(""C""&amp;row()),indirect(""C""&amp;row()))=1,1,
COUNTIF($C$7:indirect(""C""&amp;row()),indirect(""C""&amp;row()))=0,"""")"),"")</f>
        <v/>
      </c>
      <c r="F87" s="64" t="str">
        <f>IFERROR(__xludf.DUMMYFUNCTION("IFS(C87="""","""",
AND(C87=""3x3 FMC"",MOD(COUNTIF($C$7:indirect(""C""&amp;row()),indirect(""C""&amp;row())),3)=0),""Mean of 3"",
AND(C87=""3x3 MBLD"",MOD(COUNTIF($C$7:indirect(""C""&amp;row()),indirect(""C""&amp;row())),3)=0),""Best of 3"",
AND(C87=""3x3 FMC"",MOD(COUNT"&amp;"IF($C$7:indirect(""C""&amp;row()),indirect(""C""&amp;row())),3)=2,
COUNTIF($C$7:$C$102,indirect(""C""&amp;row()))&lt;=COUNTIF($C$7:indirect(""C""&amp;row()),indirect(""C""&amp;row()))),""Best of 2"",
AND(C87=""3x3 FMC"",MOD(COUNTIF($C$7:indirect(""C""&amp;row()),indirect(""C""&amp;row("&amp;"))),3)=2,
COUNTIF($C$7:$C$102,indirect(""C""&amp;row()))&gt;COUNTIF($C$7:indirect(""C""&amp;row()),indirect(""C""&amp;row()))),""Mean of 3"",
AND(C87=""3x3 MBLD"",MOD(COUNTIF($C$7:indirect(""C""&amp;row()),indirect(""C""&amp;row())),3)=2,
COUNTIF($C$7:$C$102,indirect(""C""&amp;row("&amp;")))&lt;=COUNTIF($C$7:indirect(""C""&amp;row()),indirect(""C""&amp;row()))),""Best of 2"",
AND(C87=""3x3 MBLD"",MOD(COUNTIF($C$7:indirect(""C""&amp;row()),indirect(""C""&amp;row())),3)=2,
COUNTIF($C$7:$C$102,indirect(""C""&amp;row()))&gt;COUNTIF($C$7:indirect(""C""&amp;row()),indirect("&amp;"""C""&amp;row()))),""Best of 3"",
AND(C87=""3x3 FMC"",MOD(COUNTIF($C$7:indirect(""C""&amp;row()),indirect(""C""&amp;row())),3)=1,
COUNTIF($C$7:$C$102,indirect(""C""&amp;row()))&lt;=COUNTIF($C$7:indirect(""C""&amp;row()),indirect(""C""&amp;row()))),""Best of 1"",
AND(C87=""3x3 FMC"""&amp;",MOD(COUNTIF($C$7:indirect(""C""&amp;row()),indirect(""C""&amp;row())),3)=1,
COUNTIF($C$7:$C$102,indirect(""C""&amp;row()))=COUNTIF($C$7:indirect(""C""&amp;row()),indirect(""C""&amp;row()))+1),""Best of 2"",
AND(C87=""3x3 FMC"",MOD(COUNTIF($C$7:indirect(""C""&amp;row()),indirect"&amp;"(""C""&amp;row())),3)=1,
COUNTIF($C$7:$C$102,indirect(""C""&amp;row()))&gt;COUNTIF($C$7:indirect(""C""&amp;row()),indirect(""C""&amp;row()))),""Mean of 3"",
AND(C87=""3x3 MBLD"",MOD(COUNTIF($C$7:indirect(""C""&amp;row()),indirect(""C""&amp;row())),3)=1,
COUNTIF($C$7:$C$102,indirect"&amp;"(""C""&amp;row()))&lt;=COUNTIF($C$7:indirect(""C""&amp;row()),indirect(""C""&amp;row()))),""Best of 1"",
AND(C87=""3x3 MBLD"",MOD(COUNTIF($C$7:indirect(""C""&amp;row()),indirect(""C""&amp;row())),3)=1,
COUNTIF($C$7:$C$102,indirect(""C""&amp;row()))=COUNTIF($C$7:indirect(""C""&amp;row()"&amp;"),indirect(""C""&amp;row()))+1),""Best of 2"",
AND(C87=""3x3 MBLD"",MOD(COUNTIF($C$7:indirect(""C""&amp;row()),indirect(""C""&amp;row())),3)=1,
COUNTIF($C$7:$C$102,indirect(""C""&amp;row()))&gt;COUNTIF($C$7:indirect(""C""&amp;row()),indirect(""C""&amp;row()))),""Best of 3"",
TRUE,("&amp;"IFERROR(FILTER(Info!$D$2:D87, Info!$A$2:A87 = C87), """")))"),"")</f>
        <v/>
      </c>
      <c r="G87" s="64" t="str">
        <f>IFERROR(__xludf.DUMMYFUNCTION("IFS(OR(COUNTIF(Info!$A$22:A87,C87)&gt;0,C87=""""),"""",
OR(""3x3 MBLD""=C87,""3x3 FMC""=C87),60,
AND(E87=1,FILTER(Info!$F$2:F87, Info!$A$2:A87 = C87) = ""No""),FILTER(Info!$P$2:P87, Info!$A$2:A87 = C87),
AND(E87=2,FILTER(Info!$F$2:F87, Info!$A$2:A87 = C87) ="&amp;" ""No""),FILTER(Info!$Q$2:Q87, Info!$A$2:A87 = C87),
AND(E87=3,FILTER(Info!$F$2:F87, Info!$A$2:A87 = C87) = ""No""),FILTER(Info!$R$2:R87, Info!$A$2:A87 = C87),
AND(E87=""Final"",FILTER(Info!$F$2:F87, Info!$A$2:A87 = C87) = ""No""),FILTER(Info!$S$2:S87, In"&amp;"fo!$A$2:A87 = C87),
FILTER(Info!$F$2:F87, Info!$A$2:A87 = C87) = ""Yes"","""")"),"")</f>
        <v/>
      </c>
      <c r="H87" s="64" t="str">
        <f>IFERROR(__xludf.DUMMYFUNCTION("IFS(OR(COUNTIF(Info!$A$22:A87,C87)&gt;0,C87=""""),"""",
OR(""3x3 MBLD""=C87,""3x3 FMC""=C87)=TRUE,"""",
FILTER(Info!$F$2:F87, Info!$A$2:A87 = C87) = ""Yes"",FILTER(Info!$O$2:O87, Info!$A$2:A87 = C87),
FILTER(Info!$F$2:F87, Info!$A$2:A87 = C87) = ""No"",IF(G8"&amp;"7="""",FILTER(Info!$O$2:O87, Info!$A$2:A87 = C87),""""))"),"")</f>
        <v/>
      </c>
      <c r="I87" s="64" t="str">
        <f>IFERROR(__xludf.DUMMYFUNCTION("IFS(OR(COUNTIF(Info!$A$22:A87,C87)&gt;0,C87="""",H87&lt;&gt;""""),"""",
AND(E87&lt;&gt;1,E87&lt;&gt;""R1 - A1"",E87&lt;&gt;""R1 - A2"",E87&lt;&gt;""R1 - A3""),"""",
FILTER(Info!$E$2:E87, Info!$A$2:A87 = C87) = ""Yes"",IF(H87="""",FILTER(Info!$L$2:L87, Info!$A$2:A87 = C87),""""),
FILTER(I"&amp;"nfo!$E$2:E87, Info!$A$2:A87 = C87) = ""No"","""")"),"")</f>
        <v/>
      </c>
      <c r="J87" s="64" t="str">
        <f>IFERROR(__xludf.DUMMYFUNCTION("IFS(OR(COUNTIF(Info!$A$22:A87,C87)&gt;0,C87="""",""3x3 MBLD""=C87,""3x3 FMC""=C87),"""",
AND(E87=1,FILTER(Info!$H$2:H87,Info!$A$2:A87 = C87)&lt;=FILTER(Info!$H$2:H87,Info!$A$2:A87=$K$2)),
ROUNDUP((FILTER(Info!$H$2:H87,Info!$A$2:A87 = C87)/FILTER(Info!$H$2:H87,I"&amp;"nfo!$A$2:A87=$K$2))*$I$2),
AND(E87=1,FILTER(Info!$H$2:H87,Info!$A$2:A87 = C87)&gt;FILTER(Info!$H$2:H87,Info!$A$2:A87=$K$2)),""K2 - Error"",
AND(E87=2,FILTER($J$7:indirect(""J""&amp;row()-1),$C$7:indirect(""C""&amp;row()-1)=C87)&lt;=7),""J - Error"",
E87=2,FLOOR(FILTER("&amp;"$J$7:indirect(""J""&amp;row()-1),$C$7:indirect(""C""&amp;row()-1)=C87)*Info!$T$32),
AND(E87=3,FILTER($J$7:indirect(""J""&amp;row()-1),$C$7:indirect(""C""&amp;row()-1)=C87)&lt;=15),""J - Error"",
E87=3,FLOOR(Info!$T$32*FLOOR(FILTER($J$7:indirect(""J""&amp;row()-1),$C$7:indirect("&amp;"""C""&amp;row()-1)=C87)*Info!$T$32)),
AND(E87=""Final"",COUNTIF($C$7:$C$102,C87)=2,FILTER($J$7:indirect(""J""&amp;row()-1),$C$7:indirect(""C""&amp;row()-1)=C87)&lt;=7),""J - Error"",
AND(E87=""Final"",COUNTIF($C$7:$C$102,C87)=2),
MIN(P87,FLOOR(FILTER($J$7:indirect(""J"""&amp;"&amp;row()-1),$C$7:indirect(""C""&amp;row()-1)=C87)*Info!$T$32)),
AND(E87=""Final"",COUNTIF($C$7:$C$102,C87)=3,FILTER($J$7:indirect(""J""&amp;row()-1),$C$7:indirect(""C""&amp;row()-1)=C87)&lt;=15),""J - Error"",
AND(E87=""Final"",COUNTIF($C$7:$C$102,C87)=3),
MIN(P87,FLOOR(I"&amp;"nfo!$T$32*FLOOR(FILTER($J$7:indirect(""J""&amp;row()-1),$C$7:indirect(""C""&amp;row()-1)=C87)*Info!$T$32))),
AND(E87=""Final"",COUNTIF($C$7:$C$102,C87)&gt;=4,FILTER($J$7:indirect(""J""&amp;row()-1),$C$7:indirect(""C""&amp;row()-1)=C87)&lt;=99),""J - Error"",
AND(E87=""Final"","&amp;"COUNTIF($C$7:$C$102,C87)&gt;=4),
MIN(P87,FLOOR(Info!$T$32*FLOOR(Info!$T$32*FLOOR(FILTER($J$7:indirect(""J""&amp;row()-1),$C$7:indirect(""C""&amp;row()-1)=C87)*Info!$T$32)))))"),"")</f>
        <v/>
      </c>
      <c r="K87" s="41" t="str">
        <f>IFERROR(__xludf.DUMMYFUNCTION("IFS(AND(indirect(""D""&amp;row()+2)&lt;&gt;$E$2,indirect(""D""&amp;row()+1)=""""),CONCATENATE(""Tom rad! Kopiera hela rad ""&amp;row()&amp;"" dit""),
AND(indirect(""D""&amp;row()-1)&lt;&gt;""Rum"",indirect(""D""&amp;row()-1)=""""),CONCATENATE(""Tom rad! Kopiera hela rad ""&amp;row()&amp;"" dit""),
"&amp;"C87="""","""",
COUNTIF(Info!$A$22:A87,$K$2)&gt;0,""Det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OR(AND(D87&lt;&gt;$E$2,D87&lt;&gt;$E$4,D87&lt;&gt;$K$4,D87&lt;&gt;$Q$4),D87="&amp;"""""),CONCATENATE(""Rum: ""&amp;D87&amp;"" finns ej, byt i D""&amp;row()),
AND(indirect(""D""&amp;row()-1)=""Rum"",C87=""""),CONCATENATE(""För att börja: skriv i cell C""&amp;row()),
AND(C87=""Paus"",M87&lt;=0),CONCATENATE(""Skriv pausens längd i M""&amp;row()),
OR(COUNTIF(Info!$A$"&amp;"22:A87,C87)&gt;0,C87=""""),"""",
AND(D87&lt;&gt;$E$2,$O$2=""Yes"",A87=""=time(hh;mm;ss)""),CONCATENATE(""Skriv starttid för ""&amp;C87&amp;"" i A""&amp;row()),
E87=""E - Error"",CONCATENATE(""För många ""&amp;C87&amp;"" rundor!""),
AND(C87&lt;&gt;""3x3 FMC"",C87&lt;&gt;""3x3 MBLD"",E87&lt;&gt;1,E87&lt;&gt;"&amp;"""Final"",IFERROR(FILTER($E$7:indirect(""E""&amp;row()-1),
$E$7:indirect(""E""&amp;row()-1)=E87-1,$C$7:indirect(""C""&amp;row()-1)=C87))=FALSE),CONCATENATE(""Kan ej vara R""&amp;E87&amp;"", saknar R""&amp;(E87-1)),
AND(indirect(""E""&amp;row()-1)&lt;&gt;""Omgång"",IFERROR(FILTER($E$7:indi"&amp;"rect(""E""&amp;row()-1),
$E$7:indirect(""E""&amp;row()-1)=E87,$C$7:indirect(""C""&amp;row()-1)=C87)=E87)=TRUE),CONCATENATE(""Runda ""&amp;E87&amp;"" i ""&amp;C87&amp;"" finns redan""),
AND(C87&lt;&gt;""3x3 BLD"",C87&lt;&gt;""4x4 BLD"",C87&lt;&gt;""5x5 BLD"",C87&lt;&gt;""4x4 / 5x5 BLD"",OR(E87=2,E87=3,E87="&amp;"""Final""),H87&lt;&gt;""""),CONCATENATE(E87&amp;""-rundor brukar ej ha c.t.l.""),
AND(OR(E87=2,E87=3,E87=""Final""),I87&lt;&gt;""""),CONCATENATE(E87&amp;""-rundor brukar ej ha cutoff""),
AND(OR(C87=""3x3 FMC"",C87=""3x3 MBLD""),OR(E87=1,E87=2,E87=3,E87=""Final"")),CONCATENAT"&amp;"E(C87&amp;""s omgång är Rx - Ax""),
AND(C87&lt;&gt;""3x3 MBLD"",C87&lt;&gt;""3x3 FMC"",FILTER(Info!$D$2:D87, Info!$A$2:A87 = C87)&lt;&gt;F87),CONCATENATE(C87&amp;"" måste ha formatet ""&amp;FILTER(Info!$D$2:D87, Info!$A$2:A87 = C87)),
AND(C87=""3x3 MBLD"",OR(F87=""Avg of 5"",F87=""Mea"&amp;"n of 3"")),CONCATENATE(""Ogiltigt format för ""&amp;C87),
AND(C87=""3x3 FMC"",OR(F87=""Avg of 5"",F87=""Best of 3"")),CONCATENATE(""Ogiltigt format för ""&amp;C87),
AND(OR(F87=""Best of 1"",F87=""Best of 2"",F87=""Best of 3""),I87&lt;&gt;""""),CONCATENATE(F87&amp;""-rundor"&amp;" får ej ha cutoff""),
AND(OR(C87=""3x3 FMC"",C87=""3x3 MBLD""),G87&lt;&gt;60),CONCATENATE(C87&amp;"" måste ha time limit: 60""),
AND(OR(C87=""3x3 FMC"",C87=""3x3 MBLD""),H87&lt;&gt;""""),CONCATENATE(C87&amp;"" kan inte ha c.t.l.""),
AND(G87&lt;&gt;"""",H87&lt;&gt;""""),""Välj time limit"&amp;" ELLER c.t.l"",
AND(C87=""6x6 / 7x7"",G87="""",H87=""""),""Sätt time limit (x / y) eller c.t.l (z)"",
AND(G87="""",H87=""""),""Sätt en time limit eller c.t.l"",
AND(OR(C87=""6x6 / 7x7"",C87=""4x4 / 5x5 BLD""),G87&lt;&gt;"""",REGEXMATCH(TO_TEXT(G87),"" / "")=FAL"&amp;"SE),CONCATENATE(""Time limit måste vara x / y""),
AND(H87&lt;&gt;"""",I87&lt;&gt;""""),CONCATENATE(C87&amp;"" brukar ej ha cutoff OCH c.t.l""),
AND(E87=1,H87="""",I87="""",OR(FILTER(Info!$E$2:E87, Info!$A$2:A87 = C87) = ""Yes"",FILTER(Info!$F$2:F87, Info!$A$2:A87 = C87) "&amp;"= ""Yes""),OR(F87=""Avg of 5"",F87=""Mean of 3"")),CONCATENATE(C87&amp;"" bör ha cutoff eller c.t.l""),
AND(C87=""6x6 / 7x7"",I87&lt;&gt;"""",REGEXMATCH(TO_TEXT(I87),"" / "")=FALSE),CONCATENATE(""Cutoff måste vara x / y""),
AND(H87&lt;&gt;"""",ISNUMBER(H87)=FALSE),""C.t."&amp;"l. måste vara positivt tal (x)"",
AND(C87&lt;&gt;""6x6 / 7x7"",I87&lt;&gt;"""",ISNUMBER(I87)=FALSE),""Cutoff måste vara positivt tal (x)"",
AND(H87&lt;&gt;"""",FILTER(Info!$E$2:E87, Info!$A$2:A87 = C87) = ""No"",FILTER(Info!$F$2:F87, Info!$A$2:A87 = C87) = ""No""),CONCATEN"&amp;"ATE(C87&amp;"" brukar inte ha c.t.l.""),
AND(I87&lt;&gt;"""",FILTER(Info!$E$2:E87, Info!$A$2:A87 = C87) = ""No"",FILTER(Info!$F$2:F87, Info!$A$2:A87 = C87) = ""No""),CONCATENATE(C87&amp;"" brukar inte ha cutoff""),
AND(H87="""",FILTER(Info!$F$2:F87, Info!$A$2:A87 = C87"&amp;") = ""Yes""),CONCATENATE(C87&amp;"" brukar ha c.t.l.""),
AND(C87&lt;&gt;""6x6 / 7x7"",C87&lt;&gt;""4x4 / 5x5 BLD"",G87&lt;&gt;"""",ISNUMBER(G87)=FALSE),""Time limit måste vara positivt tal (x)"",
J87=""J - Error"",CONCATENATE(""För få deltagare i R1 för ""&amp;COUNTIF($C$7:$C$102,"&amp;"indirect(""C""&amp;row()))&amp;"" rundor""),
J87=""K2 - Error"",CONCATENATE(C87&amp;"" är mer populär - byt i K2!""),
AND(C87&lt;&gt;""6x6 / 7x7"",C87&lt;&gt;""4x4 / 5x5 BLD"",G87&lt;&gt;"""",I87&lt;&gt;"""",G87&lt;=I87),""Time limit måste vara &gt; cutoff"",
AND(C87&lt;&gt;""6x6 / 7x7"",C87&lt;&gt;""4x4 / 5"&amp;"x5 BLD"",H87&lt;&gt;"""",I87&lt;&gt;"""",H87&lt;=I87),""C.t.l. måste vara &gt; cutoff"",
AND(C87&lt;&gt;""3x3 FMC"",C87&lt;&gt;""3x3 MBLD"",J87=""""),CONCATENATE(""Fyll i antal deltagare i J""&amp;row()),
AND(C87="""",OR(E87&lt;&gt;"""",F87&lt;&gt;"""",G87&lt;&gt;"""",H87&lt;&gt;"""",I87&lt;&gt;"""",J87&lt;&gt;"""")),""Skri"&amp;"v ALLTID gren / aktivitet först"",
AND(I87="""",H87="""",J87&lt;&gt;""""),J87,
OR(""3x3 FMC""=C87,""3x3 MBLD""=C87),J87,
AND(I87&lt;&gt;"""",""6x6 / 7x7""=C87),
IFS(ArrayFormula(SUM(IFERROR(SPLIT(I87,"" / ""))))&lt;(Info!$J$6+Info!$J$7)*2/3,CONCATENATE(""Höj helst cutof"&amp;"fs i ""&amp;C87),
ArrayFormula(SUM(IFERROR(SPLIT(I87,"" / ""))))&lt;=(Info!$J$6+Info!$J$7),ROUNDUP(J87*Info!$J$22),
ArrayFormula(SUM(IFERROR(SPLIT(I87,"" / ""))))&lt;=Info!$J$6+Info!$J$7,ROUNDUP(J87*Info!$K$22),
ArrayFormula(SUM(IFERROR(SPLIT(I87,"" / ""))))&lt;=Info!"&amp;"$K$6+Info!$K$7,ROUNDUP(J87*Info!L$22),
ArrayFormula(SUM(IFERROR(SPLIT(I87,"" / ""))))&lt;=Info!$L$6+Info!$L$7,ROUNDUP(J87*Info!$M$22),
ArrayFormula(SUM(IFERROR(SPLIT(I87,"" / ""))))&lt;=Info!$M$6+Info!$M$7,ROUNDUP(J87*Info!$N$22),
ArrayFormula(SUM(IFERROR(SPLIT"&amp;"(I87,"" / ""))))&lt;=(Info!$N$6+Info!$N$7)*3/2,ROUNDUP(J87*Info!$J$26),
ArrayFormula(SUM(IFERROR(SPLIT(I87,"" / ""))))&gt;(Info!$N$6+Info!$N$7)*3/2,CONCATENATE(""Sänk helst cutoffs i ""&amp;C87)),
AND(I87&lt;&gt;"""",FILTER(Info!$E$2:E87, Info!$A$2:A87 = C87) = ""Yes""),"&amp;"
IFS(I87&lt;FILTER(Info!$J$2:J87, Info!$A$2:A87 = C87)*2/3,CONCATENATE(""Höj helst cutoff i ""&amp;C87),
I87&lt;=FILTER(Info!$J$2:J87, Info!$A$2:A87 = C87),ROUNDUP(J87*Info!$J$22),
I87&lt;=FILTER(Info!$K$2:K87, Info!$A$2:A87 = C87),ROUNDUP(J87*Info!$K$22),
I87&lt;=FILTER"&amp;"(Info!$L$2:L87, Info!$A$2:A87 = C87),ROUNDUP(J87*Info!L$22),
I87&lt;=FILTER(Info!$M$2:M87, Info!$A$2:A87 = C87),ROUNDUP(J87*Info!$M$22),
I87&lt;=FILTER(Info!$N$2:N87, Info!$A$2:A87 = C87),ROUNDUP(J87*Info!$N$22),
I87&lt;=FILTER(Info!$N$2:N87, Info!$A$2:A87 = C87)*"&amp;"3/2,ROUNDUP(J87*Info!$J$26),
I87&gt;FILTER(Info!$N$2:N87, Info!$A$2:A87 = C87)*3/2,CONCATENATE(""Sänk helst cutoff i ""&amp;C87)),
AND(H87&lt;&gt;"""",""6x6 / 7x7""=C87),
IFS(H87/3&lt;=(Info!$J$6+Info!$J$7)*2/3,""Höj helst cumulative time limit"",
H87/3&lt;=Info!$J$6+Info!$"&amp;"J$7,ROUNDUP(J87*Info!$J$24),
H87/3&lt;=Info!$K$6+Info!$K$7,ROUNDUP(J87*Info!$K$24),
H87/3&lt;=Info!$L$6+Info!$L$7,ROUNDUP(J87*Info!L$24),
H87/3&lt;=Info!$M$6+Info!$M$7,ROUNDUP(J87*Info!$M$24),
H87/3&lt;=Info!$N$6+Info!$N$7,ROUNDUP(J87*Info!$N$24),
H87/3&lt;=(Info!$N$6+I"&amp;"nfo!$N$7)*3/2,ROUNDUP(J87*Info!$L$26),
H87/3&gt;(Info!$J$6+Info!$J$7)*3/2,""Sänk helst cumulative time limit""),
AND(H87&lt;&gt;"""",FILTER(Info!$F$2:F87, Info!$A$2:A87 = C87) = ""Yes""),
IFS(H87&lt;=FILTER(Info!$J$2:J87, Info!$A$2:A87 = C87)*2/3,CONCATENATE(""Höj he"&amp;"lst c.t.l. i ""&amp;C87),
H87&lt;=FILTER(Info!$J$2:J87, Info!$A$2:A87 = C87),ROUNDUP(J87*Info!$J$24),
H87&lt;=FILTER(Info!$K$2:K87, Info!$A$2:A87 = C87),ROUNDUP(J87*Info!$K$24),
H87&lt;=FILTER(Info!$L$2:L87, Info!$A$2:A87 = C87),ROUNDUP(J87*Info!L$24),
H87&lt;=FILTER(Inf"&amp;"o!$M$2:M87, Info!$A$2:A87 = C87),ROUNDUP(J87*Info!$M$24),
H87&lt;=FILTER(Info!$N$2:N87, Info!$A$2:A87 = C87),ROUNDUP(J87*Info!$N$24),
H87&lt;=FILTER(Info!$N$2:N87, Info!$A$2:A87 = C87)*3/2,ROUNDUP(J87*Info!$L$26),
H87&gt;FILTER(Info!$N$2:N87, Info!$A$2:A87 = C87)*"&amp;"3/2,CONCATENATE(""Sänk helst c.t.l. i ""&amp;C87)),
AND(H87&lt;&gt;"""",FILTER(Info!$F$2:F87, Info!$A$2:A87 = C87) = ""No""),
IFS(H87/AA87&lt;=FILTER(Info!$J$2:J87, Info!$A$2:A87 = C87)*2/3,CONCATENATE(""Höj helst c.t.l. i ""&amp;C87),
H87/AA87&lt;=FILTER(Info!$J$2:J87, Info"&amp;"!$A$2:A87 = C87),ROUNDUP(J87*Info!$J$24),
H87/AA87&lt;=FILTER(Info!$K$2:K87, Info!$A$2:A87 = C87),ROUNDUP(J87*Info!$K$24),
H87/AA87&lt;=FILTER(Info!$L$2:L87, Info!$A$2:A87 = C87),ROUNDUP(J87*Info!L$24),
H87/AA87&lt;=FILTER(Info!$M$2:M87, Info!$A$2:A87 = C87),ROUND"&amp;"UP(J87*Info!$M$24),
H87/AA87&lt;=FILTER(Info!$N$2:N87, Info!$A$2:A87 = C87),ROUNDUP(J87*Info!$N$24),
H87/AA87&lt;=FILTER(Info!$N$2:N87, Info!$A$2:A87 = C87)*3/2,ROUNDUP(J87*Info!$L$26),
H87/AA87&gt;FILTER(Info!$N$2:N87, Info!$A$2:A87 = C87)*3/2,CONCATENATE(""Sänk "&amp;"helst c.t.l. i ""&amp;C87)),
AND(I87="""",H87&lt;&gt;"""",J87&lt;&gt;""""),ROUNDUP(J87*Info!$T$29),
AND(I87&lt;&gt;"""",H87="""",J87&lt;&gt;""""),ROUNDUP(J87*Info!$T$26))"),"")</f>
        <v/>
      </c>
      <c r="L87" s="42">
        <f>IFERROR(__xludf.DUMMYFUNCTION("IFS(C87="""",0,
C87=""3x3 FMC"",Info!$B$9*N87+M87, C87=""3x3 MBLD"",Info!$B$18*N87+M87,
COUNTIF(Info!$A$22:A87,C87)&gt;0,FILTER(Info!$B$22:B87,Info!$A$22:A87=C87)+M87,
AND(C87&lt;&gt;"""",E87=""""),CONCATENATE(""Fyll i E""&amp;row()),
AND(C87&lt;&gt;"""",E87&lt;&gt;"""",E87&lt;&gt;1,E8"&amp;"7&lt;&gt;2,E87&lt;&gt;3,E87&lt;&gt;""Final""),CONCATENATE(""Fel format på E""&amp;row()),
K87=CONCATENATE(""Runda ""&amp;E87&amp;"" i ""&amp;C87&amp;"" finns redan""),CONCATENATE(""Fel i E""&amp;row()),
AND(C87&lt;&gt;"""",F87=""""),CONCATENATE(""Fyll i F""&amp;row()),
K87=CONCATENATE(C87&amp;"" måste ha forma"&amp;"tet ""&amp;FILTER(Info!$D$2:D87, Info!$A$2:A87 = C87)),CONCATENATE(""Fel format på F""&amp;row()),
AND(C87&lt;&gt;"""",D87=1,H87="""",FILTER(Info!$F$2:F87, Info!$A$2:A87 = C87) = ""Yes""),CONCATENATE(""Fyll i H""&amp;row()),
AND(C87&lt;&gt;"""",D87=1,I87="""",FILTER(Info!$E$2:E8"&amp;"7, Info!$A$2:A87 = C87) = ""Yes""),CONCATENATE(""Fyll i I""&amp;row()),
AND(C87&lt;&gt;"""",J87=""""),CONCATENATE(""Fyll i J""&amp;row()),
AND(C87&lt;&gt;"""",K87="""",OR(H87&lt;&gt;"""",I87&lt;&gt;"""")),CONCATENATE(""Fyll i K""&amp;row()),
AND(C87&lt;&gt;"""",K87=""""),CONCATENATE(""Skriv samma"&amp;" i K""&amp;row()&amp;"" som i J""&amp;row()),
AND(OR(C87=""4x4 BLD"",C87=""5x5 BLD"",C87=""4x4 / 5x5 BLD"")=TRUE,V87&lt;=P87),
MROUND(H87*(Info!$T$20-((Info!$T$20-1)/2)*(1-V87/P87))*(1+((J87/K87)-1)*(1-Info!$J$24))*N87+(Info!$T$11/2)+(N87*Info!$T$11)+(N87*Info!$T$14*(O8"&amp;"7-1)),0.01)+M87,
AND(OR(C87=""4x4 BLD"",C87=""5x5 BLD"",C87=""4x4 / 5x5 BLD"")=TRUE,V87&gt;P87),
MROUND((((J87*Z87+K87*(AA87-Z87))*(H87*Info!$T$20/AA87))/X87)*(1+((J87/K87)-1)*(1-Info!$J$24))*(1+(X87-Info!$T$8)/100)+(Info!$T$11/2)+(N87*Info!$T$11)+(N87*Info!"&amp;"$T$14*(O87-1)),0.01)+M87,
AND(C87=""3x3 BLD"",V87&lt;=P87),
MROUND(H87*(Info!$T$23-((Info!$T$23-1)/2)*(1-V87/P87))*(1+((J87/K87)-1)*(1-Info!$J$24))*N87+(Info!$T$11/2)+(N87*Info!$T$11)+(N87*Info!$T$14*(O87-1)),0.01)+M87,
AND(C87=""3x3 BLD"",V87&gt;P87),
MROUND(("&amp;"((J87*Z87+K87*(AA87-Z87))*(H87*Info!$T$23/AA87))/X87)*(1+((J87/K87)-1)*(1-Info!$J$24))*(1+(X87-Info!$T$8)/100)+(Info!$T$11/2)+(N87*Info!$T$11)+(N87*Info!$T$14*(O87-1)),0.01)+M87,
E87=1,MROUND((((J87*Z87+K87*(AA87-Z87))*Y87)/X87)*(1+(X87-Info!$T$8)/100)+(N"&amp;"87*Info!$T$11)+(N87*Info!$T$14*(O87-1)),0.01)+M87,
AND(E87=""Final"",N87=1,FILTER(Info!$G$2:$G$20,Info!$A$2:$A$20=C87)=""Mycket svår""),
MROUND((((J87*Z87+K87*(AA87-Z87))*(Y87*Info!$T$38))/X87)*(1+(X87-Info!$T$8)/100)+(N87*Info!$T$11)+(N87*Info!$T$14*(O87"&amp;"-1)),0.01)+M87,
AND(E87=""Final"",N87=1,FILTER(Info!$G$2:$G$20,Info!$A$2:$A$20=C87)=""Svår""),
MROUND((((J87*Z87+K87*(AA87-Z87))*(Y87*Info!$T$35))/X87)*(1+(X87-Info!$T$8)/100)+(N87*Info!$T$11)+(N87*Info!$T$14*(O87-1)),0.01)+M87,
E87=""Final"",MROUND((((J8"&amp;"7*Z87+K87*(AA87-Z87))*(Y87*Info!$T$5))/X87)*(1+(X87-Info!$T$8)/100)+(N87*Info!$T$11)+(N87*Info!$T$14*(O87-1)),0.01)+M87,
OR(E87=2,E87=3),MROUND((((J87*Z87+K87*(AA87-Z87))*(Y87*Info!$T$2))/X87)*(1+(X87-Info!$T$8)/100)+(N87*Info!$T$11)+(N87*Info!$T$14*(O87-"&amp;"1)),0.01)+M87)"),0.0)</f>
        <v>0</v>
      </c>
      <c r="M87" s="43">
        <f t="shared" si="9"/>
        <v>0</v>
      </c>
      <c r="N87" s="43" t="str">
        <f>IFS(OR(COUNTIF(Info!$A$22:A87,C87)&gt;0,C87=""),"",
OR(C87="4x4 BLD",C87="5x5 BLD",C87="3x3 MBLD",C87="3x3 FMC",C87="4x4 / 5x5 BLD"),1,
AND(E87="Final",Q87="Yes",MAX(1,ROUNDUP(J87/P87))&gt;1),MAX(2,ROUNDUP(J87/P87)),
AND(E87="Final",Q87="No",MAX(1,ROUNDUP(J87/((P87*2)+2.625-Y87*1.5)))&gt;1),MAX(2,ROUNDUP(J87/((P87*2)+2.625-Y87*1.5))),
E87="Final",1,
Q87="Yes",MAX(2,ROUNDUP(J87/P87)),
TRUE,MAX(2,ROUNDUP(J87/((P87*2)+2.625-Y87*1.5))))</f>
        <v/>
      </c>
      <c r="O87" s="43" t="str">
        <f>IFS(OR(COUNTIF(Info!$A$22:A87,C87)&gt;0,C87=""),"",
OR("3x3 MBLD"=C87,"3x3 FMC"=C87)=TRUE,"",
D87=$E$4,$G$6,D87=$K$4,$M$6,D87=$Q$4,$S$6,D87=$W$4,$Y$6,
TRUE,$S$2)</f>
        <v/>
      </c>
      <c r="P87" s="43" t="str">
        <f>IFS(OR(COUNTIF(Info!$A$22:A87,C87)&gt;0,C87=""),"",
OR("3x3 MBLD"=C87,"3x3 FMC"=C87)=TRUE,"",
D87=$E$4,$E$6,D87=$K$4,$K$6,D87=$Q$4,$Q$6,D87=$W$4,$W$6,
TRUE,$Q$2)</f>
        <v/>
      </c>
      <c r="Q87" s="44" t="str">
        <f>IFS(OR(COUNTIF(Info!$A$22:A87,C87)&gt;0,C87=""),"",
OR("3x3 MBLD"=C87,"3x3 FMC"=C87)=TRUE,"",
D87=$E$4,$I$6,D87=$K$4,$O$6,D87=$Q$4,$U$6,D87=$W$4,$AA$6,
TRUE,$U$2)</f>
        <v/>
      </c>
      <c r="R87" s="65" t="str">
        <f>IFERROR(__xludf.DUMMYFUNCTION("IF(C87="""","""",IFERROR(FILTER(Info!$B$22:B87,Info!$A$22:A87=C87)+M87,""?""))"),"")</f>
        <v/>
      </c>
      <c r="S87" s="66" t="str">
        <f>IFS(OR(COUNTIF(Info!$A$22:A87,C87)&gt;0,C87=""),"",
AND(H87="",I87=""),J87,
TRUE,"?")</f>
        <v/>
      </c>
      <c r="T87" s="65" t="str">
        <f>IFS(OR(COUNTIF(Info!$A$22:A87,C87)&gt;0,C87=""),"",
AND(L87&lt;&gt;0,OR(R87="?",R87="")),"Fyll i R-kolumnen",
OR(C87="3x3 FMC",C87="3x3 MBLD"),R87,
AND(L87&lt;&gt;0,OR(S87="?",S87="")),"Fyll i S-kolumnen",
OR(COUNTIF(Info!$A$22:A87,C87)&gt;0,C87=""),"",
TRUE,Y87*R87/L87)</f>
        <v/>
      </c>
      <c r="U87" s="65"/>
      <c r="V87" s="67" t="str">
        <f>IFS(OR(COUNTIF(Info!$A$22:A87,C87)&gt;0,C87=""),"",
OR("3x3 MBLD"=C87,"3x3 FMC"=C87)=TRUE,"",
TRUE,MROUND((J87/N87),0.01))</f>
        <v/>
      </c>
      <c r="W87" s="68" t="str">
        <f>IFS(OR(COUNTIF(Info!$A$22:A87,C87)&gt;0,C87=""),"",
TRUE,L87/N87)</f>
        <v/>
      </c>
      <c r="X87" s="67" t="str">
        <f>IFS(OR(COUNTIF(Info!$A$22:A87,C87)&gt;0,C87=""),"",
OR("3x3 MBLD"=C87,"3x3 FMC"=C87)=TRUE,"",
OR(C87="4x4 BLD",C87="5x5 BLD",C87="4x4 / 5x5 BLD",AND(C87="3x3 BLD",H87&lt;&gt;""))=TRUE,MIN(V87,P87),
TRUE,MIN(P87,V87,MROUND(((V87*2/3)+((Y87-1.625)/2)),0.01)))</f>
        <v/>
      </c>
      <c r="Y87" s="68" t="str">
        <f>IFERROR(__xludf.DUMMYFUNCTION("IFS(OR(COUNTIF(Info!$A$22:A87,C87)&gt;0,C87=""""),"""",
FILTER(Info!$F$2:F87, Info!$A$2:A87 = C87) = ""Yes"",H87/AA87,
""3x3 FMC""=C87,Info!$B$9,""3x3 MBLD""=C87,Info!$B$18,
AND(E87=1,I87="""",H87="""",Q87=""No"",G87&gt;SUMIF(Info!$A$2:A87,C87,Info!$B$2:B87)*1."&amp;"5),
MIN(SUMIF(Info!$A$2:A87,C87,Info!$B$2:B87)*1.1,SUMIF(Info!$A$2:A87,C87,Info!$B$2:B87)*(1.15-(0.15*(SUMIF(Info!$A$2:A87,C87,Info!$B$2:B87)*1.5)/G87))),
AND(E87=1,I87="""",H87="""",Q87=""Yes"",G87&gt;SUMIF(Info!$A$2:A87,C87,Info!$C$2:C87)*1.5),
MIN(SUMIF(I"&amp;"nfo!$A$2:A87,C87,Info!$C$2:C87)*1.1,SUMIF(Info!$A$2:A87,C87,Info!$C$2:C87)*(1.15-(0.15*(SUMIF(Info!$A$2:A87,C87,Info!$C$2:C87)*1.5)/G87))),
Q87=""No"",SUMIF(Info!$A$2:A87,C87,Info!$B$2:B87),
Q87=""Yes"",SUMIF(Info!$A$2:A87,C87,Info!$C$2:C87))"),"")</f>
        <v/>
      </c>
      <c r="Z87" s="67" t="str">
        <f>IFS(OR(COUNTIF(Info!$A$22:A87,C87)&gt;0,C87=""),"",
AND(OR("3x3 FMC"=C87,"3x3 MBLD"=C87),I87&lt;&gt;""),1,
AND(OR(H87&lt;&gt;"",I87&lt;&gt;""),F87="Avg of 5"),2,
F87="Avg of 5",AA87,
AND(OR(H87&lt;&gt;"",I87&lt;&gt;""),F87="Mean of 3",C87="6x6 / 7x7"),2,
AND(OR(H87&lt;&gt;"",I87&lt;&gt;""),F87="Mean of 3"),1,
F87="Mean of 3",AA87,
AND(OR(H87&lt;&gt;"",I87&lt;&gt;""),F87="Best of 3",C87="4x4 / 5x5 BLD"),2,
AND(OR(H87&lt;&gt;"",I87&lt;&gt;""),F87="Best of 3"),1,
F87="Best of 2",AA87,
F87="Best of 1",AA87)</f>
        <v/>
      </c>
      <c r="AA87" s="67" t="str">
        <f>IFS(OR(COUNTIF(Info!$A$22:A87,C87)&gt;0,C87=""),"",
AND(OR("3x3 MBLD"=C87,"3x3 FMC"=C87),F87="Best of 1"=TRUE),1,
AND(OR("3x3 MBLD"=C87,"3x3 FMC"=C87),F87="Best of 2"=TRUE),2,
AND(OR("3x3 MBLD"=C87,"3x3 FMC"=C87),OR(F87="Best of 3",F87="Mean of 3")=TRUE),3,
AND(F87="Mean of 3",C87="6x6 / 7x7"),6,
AND(F87="Best of 3",C87="4x4 / 5x5 BLD"),6,
F87="Avg of 5",5,F87="Mean of 3",3,F87="Best of 3",3,F87="Best of 2",2,F87="Best of 1",1)</f>
        <v/>
      </c>
      <c r="AB87" s="69"/>
    </row>
    <row r="88" ht="15.75" customHeight="1">
      <c r="A88" s="62">
        <f>IFERROR(__xludf.DUMMYFUNCTION("IFS(indirect(""A""&amp;row()-1)=""Start"",TIME(indirect(""A""&amp;row()-2),indirect(""B""&amp;row()-2),0),
$O$2=""No"",TIME(0,($A$6*60+$B$6)+CEILING(SUM($L$7:indirect(""L""&amp;row()-1)),5),0),
D88=$E$2,TIME(0,($A$6*60+$B$6)+CEILING(SUM(IFERROR(FILTER($L$7:indirect(""L"""&amp;"&amp;row()-1),REGEXMATCH($D$7:indirect(""D""&amp;row()-1),$E$2)),0)),5),0),
TRUE,""=time(hh;mm;ss)"")"),0.3541666666666665)</f>
        <v>0.3541666667</v>
      </c>
      <c r="B88" s="63">
        <f>IFERROR(__xludf.DUMMYFUNCTION("IFS($O$2=""No"",TIME(0,($A$6*60+$B$6)+CEILING(SUM($L$7:indirect(""L""&amp;row())),5),0),
D88=$E$2,TIME(0,($A$6*60+$B$6)+CEILING(SUM(FILTER($L$7:indirect(""L""&amp;row()),REGEXMATCH($D$7:indirect(""D""&amp;row()),$E$2))),5),0),
A88=""=time(hh;mm;ss)"",CONCATENATE(""Sk"&amp;"riv tid i A""&amp;row()),
AND(A88&lt;&gt;"""",A88&lt;&gt;""=time(hh;mm;ss)""),A88+TIME(0,CEILING(indirect(""L""&amp;row()),5),0))"),0.3541666666666665)</f>
        <v>0.3541666667</v>
      </c>
      <c r="C88" s="37"/>
      <c r="D88" s="64" t="str">
        <f t="shared" si="10"/>
        <v>Stora salen</v>
      </c>
      <c r="E88" s="64" t="str">
        <f>IFERROR(__xludf.DUMMYFUNCTION("IFS(COUNTIF(Info!$A$22:A88,C88)&gt;0,"""",
AND(OR(""3x3 FMC""=C88,""3x3 MBLD""=C88),COUNTIF($C$7:indirect(""C""&amp;row()),indirect(""C""&amp;row()))&gt;=13),""E - Error"",
AND(OR(""3x3 FMC""=C88,""3x3 MBLD""=C88),COUNTIF($C$7:indirect(""C""&amp;row()),indirect(""C""&amp;row()"&amp;"))=12),""Final - A3"",
AND(OR(""3x3 FMC""=C88,""3x3 MBLD""=C88),COUNTIF($C$7:indirect(""C""&amp;row()),indirect(""C""&amp;row()))=11),""Final - A2"",
AND(OR(""3x3 FMC""=C88,""3x3 MBLD""=C88),COUNTIF($C$7:indirect(""C""&amp;row()),indirect(""C""&amp;row()))=10),""Final - "&amp;"A1"",
AND(OR(""3x3 FMC""=C88,""3x3 MBLD""=C88),COUNTIF($C$7:indirect(""C""&amp;row()),indirect(""C""&amp;row()))=9,
COUNTIF($C$7:$C$102,indirect(""C""&amp;row()))&gt;9),""R3 - A3"",
AND(OR(""3x3 FMC""=C88,""3x3 MBLD""=C88),COUNTIF($C$7:indirect(""C""&amp;row()),indirect(""C"&amp;"""&amp;row()))=9,
COUNTIF($C$7:$C$102,indirect(""C""&amp;row()))&lt;=9),""Final - A3"",
AND(OR(""3x3 FMC""=C88,""3x3 MBLD""=C88),COUNTIF($C$7:indirect(""C""&amp;row()),indirect(""C""&amp;row()))=8,
COUNTIF($C$7:$C$102,indirect(""C""&amp;row()))&gt;9),""R3 - A2"",
AND(OR(""3x3 FMC"&amp;"""=C88,""3x3 MBLD""=C88),COUNTIF($C$7:indirect(""C""&amp;row()),indirect(""C""&amp;row()))=8,
COUNTIF($C$7:$C$102,indirect(""C""&amp;row()))&lt;=9),""Final - A2"",
AND(OR(""3x3 FMC""=C88,""3x3 MBLD""=C88),COUNTIF($C$7:indirect(""C""&amp;row()),indirect(""C""&amp;row()))=7,
COUN"&amp;"TIF($C$7:$C$102,indirect(""C""&amp;row()))&gt;9),""R3 - A1"",
AND(OR(""3x3 FMC""=C88,""3x3 MBLD""=C88),COUNTIF($C$7:indirect(""C""&amp;row()),indirect(""C""&amp;row()))=7,
COUNTIF($C$7:$C$102,indirect(""C""&amp;row()))&lt;=9),""Final - A1"",
AND(OR(""3x3 FMC""=C88,""3x3 MBLD"""&amp;"=C88),COUNTIF($C$7:indirect(""C""&amp;row()),indirect(""C""&amp;row()))=6,
COUNTIF($C$7:$C$102,indirect(""C""&amp;row()))&gt;6),""R2 - A3"",
AND(OR(""3x3 FMC""=C88,""3x3 MBLD""=C88),COUNTIF($C$7:indirect(""C""&amp;row()),indirect(""C""&amp;row()))=6,
COUNTIF($C$7:$C$102,indirec"&amp;"t(""C""&amp;row()))&lt;=6),""Final - A3"",
AND(OR(""3x3 FMC""=C88,""3x3 MBLD""=C88),COUNTIF($C$7:indirect(""C""&amp;row()),indirect(""C""&amp;row()))=5,
COUNTIF($C$7:$C$102,indirect(""C""&amp;row()))&gt;6),""R2 - A2"",
AND(OR(""3x3 FMC""=C88,""3x3 MBLD""=C88),COUNTIF($C$7:indi"&amp;"rect(""C""&amp;row()),indirect(""C""&amp;row()))=5,
COUNTIF($C$7:$C$102,indirect(""C""&amp;row()))&lt;=6),""Final - A2"",
AND(OR(""3x3 FMC""=C88,""3x3 MBLD""=C88),COUNTIF($C$7:indirect(""C""&amp;row()),indirect(""C""&amp;row()))=4,
COUNTIF($C$7:$C$102,indirect(""C""&amp;row()))&gt;6),"&amp;"""R2 - A1"",
AND(OR(""3x3 FMC""=C88,""3x3 MBLD""=C88),COUNTIF($C$7:indirect(""C""&amp;row()),indirect(""C""&amp;row()))=4,
COUNTIF($C$7:$C$102,indirect(""C""&amp;row()))&lt;=6),""Final - A1"",
AND(OR(""3x3 FMC""=C88,""3x3 MBLD""=C88),COUNTIF($C$7:indirect(""C""&amp;row()),i"&amp;"ndirect(""C""&amp;row()))=3),""R1 - A3"",
AND(OR(""3x3 FMC""=C88,""3x3 MBLD""=C88),COUNTIF($C$7:indirect(""C""&amp;row()),indirect(""C""&amp;row()))=2),""R1 - A2"",
AND(OR(""3x3 FMC""=C88,""3x3 MBLD""=C88),COUNTIF($C$7:indirect(""C""&amp;row()),indirect(""C""&amp;row()))=1),"&amp;"""R1 -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88, Info!$A$2:A88 = C88),ROUNDUP((FILTER(Info!$H$2:H88,Info!$A$2:A88=C88)/FILTER(Info!$H$2:H88,Info!$A$2:A88=$K$2))*$I$2)&gt;99),3,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88, Info!$A$2:A88 = C88),ROUNDUP((FILTER(Info!$H$2:H88,Info!$A$2:A88=C88)/FILTER(Info!$H$2:H88,Info!$A$2:A88=$K$2))*$I$2)&gt;15),2,
AND(COUNTIF($C$7:indirect(""C""&amp;row()),indirect(""C""&amp;row()))=2,COUNTIF($C$7:$C$102,indirect(""C""&amp;row()))=COUNTIF($"&amp;"C$7:indirect(""C""&amp;row()),indirect(""C""&amp;row()))),""Final"",
COUNTIF($C$7:indirect(""C""&amp;row()),indirect(""C""&amp;row()))=1,1,
COUNTIF($C$7:indirect(""C""&amp;row()),indirect(""C""&amp;row()))=0,"""")"),"")</f>
        <v/>
      </c>
      <c r="F88" s="64" t="str">
        <f>IFERROR(__xludf.DUMMYFUNCTION("IFS(C88="""","""",
AND(C88=""3x3 FMC"",MOD(COUNTIF($C$7:indirect(""C""&amp;row()),indirect(""C""&amp;row())),3)=0),""Mean of 3"",
AND(C88=""3x3 MBLD"",MOD(COUNTIF($C$7:indirect(""C""&amp;row()),indirect(""C""&amp;row())),3)=0),""Best of 3"",
AND(C88=""3x3 FMC"",MOD(COUNT"&amp;"IF($C$7:indirect(""C""&amp;row()),indirect(""C""&amp;row())),3)=2,
COUNTIF($C$7:$C$102,indirect(""C""&amp;row()))&lt;=COUNTIF($C$7:indirect(""C""&amp;row()),indirect(""C""&amp;row()))),""Best of 2"",
AND(C88=""3x3 FMC"",MOD(COUNTIF($C$7:indirect(""C""&amp;row()),indirect(""C""&amp;row("&amp;"))),3)=2,
COUNTIF($C$7:$C$102,indirect(""C""&amp;row()))&gt;COUNTIF($C$7:indirect(""C""&amp;row()),indirect(""C""&amp;row()))),""Mean of 3"",
AND(C88=""3x3 MBLD"",MOD(COUNTIF($C$7:indirect(""C""&amp;row()),indirect(""C""&amp;row())),3)=2,
COUNTIF($C$7:$C$102,indirect(""C""&amp;row("&amp;")))&lt;=COUNTIF($C$7:indirect(""C""&amp;row()),indirect(""C""&amp;row()))),""Best of 2"",
AND(C88=""3x3 MBLD"",MOD(COUNTIF($C$7:indirect(""C""&amp;row()),indirect(""C""&amp;row())),3)=2,
COUNTIF($C$7:$C$102,indirect(""C""&amp;row()))&gt;COUNTIF($C$7:indirect(""C""&amp;row()),indirect("&amp;"""C""&amp;row()))),""Best of 3"",
AND(C88=""3x3 FMC"",MOD(COUNTIF($C$7:indirect(""C""&amp;row()),indirect(""C""&amp;row())),3)=1,
COUNTIF($C$7:$C$102,indirect(""C""&amp;row()))&lt;=COUNTIF($C$7:indirect(""C""&amp;row()),indirect(""C""&amp;row()))),""Best of 1"",
AND(C88=""3x3 FMC"""&amp;",MOD(COUNTIF($C$7:indirect(""C""&amp;row()),indirect(""C""&amp;row())),3)=1,
COUNTIF($C$7:$C$102,indirect(""C""&amp;row()))=COUNTIF($C$7:indirect(""C""&amp;row()),indirect(""C""&amp;row()))+1),""Best of 2"",
AND(C88=""3x3 FMC"",MOD(COUNTIF($C$7:indirect(""C""&amp;row()),indirect"&amp;"(""C""&amp;row())),3)=1,
COUNTIF($C$7:$C$102,indirect(""C""&amp;row()))&gt;COUNTIF($C$7:indirect(""C""&amp;row()),indirect(""C""&amp;row()))),""Mean of 3"",
AND(C88=""3x3 MBLD"",MOD(COUNTIF($C$7:indirect(""C""&amp;row()),indirect(""C""&amp;row())),3)=1,
COUNTIF($C$7:$C$102,indirect"&amp;"(""C""&amp;row()))&lt;=COUNTIF($C$7:indirect(""C""&amp;row()),indirect(""C""&amp;row()))),""Best of 1"",
AND(C88=""3x3 MBLD"",MOD(COUNTIF($C$7:indirect(""C""&amp;row()),indirect(""C""&amp;row())),3)=1,
COUNTIF($C$7:$C$102,indirect(""C""&amp;row()))=COUNTIF($C$7:indirect(""C""&amp;row()"&amp;"),indirect(""C""&amp;row()))+1),""Best of 2"",
AND(C88=""3x3 MBLD"",MOD(COUNTIF($C$7:indirect(""C""&amp;row()),indirect(""C""&amp;row())),3)=1,
COUNTIF($C$7:$C$102,indirect(""C""&amp;row()))&gt;COUNTIF($C$7:indirect(""C""&amp;row()),indirect(""C""&amp;row()))),""Best of 3"",
TRUE,("&amp;"IFERROR(FILTER(Info!$D$2:D88, Info!$A$2:A88 = C88), """")))"),"")</f>
        <v/>
      </c>
      <c r="G88" s="64" t="str">
        <f>IFERROR(__xludf.DUMMYFUNCTION("IFS(OR(COUNTIF(Info!$A$22:A88,C88)&gt;0,C88=""""),"""",
OR(""3x3 MBLD""=C88,""3x3 FMC""=C88),60,
AND(E88=1,FILTER(Info!$F$2:F88, Info!$A$2:A88 = C88) = ""No""),FILTER(Info!$P$2:P88, Info!$A$2:A88 = C88),
AND(E88=2,FILTER(Info!$F$2:F88, Info!$A$2:A88 = C88) ="&amp;" ""No""),FILTER(Info!$Q$2:Q88, Info!$A$2:A88 = C88),
AND(E88=3,FILTER(Info!$F$2:F88, Info!$A$2:A88 = C88) = ""No""),FILTER(Info!$R$2:R88, Info!$A$2:A88 = C88),
AND(E88=""Final"",FILTER(Info!$F$2:F88, Info!$A$2:A88 = C88) = ""No""),FILTER(Info!$S$2:S88, In"&amp;"fo!$A$2:A88 = C88),
FILTER(Info!$F$2:F88, Info!$A$2:A88 = C88) = ""Yes"","""")"),"")</f>
        <v/>
      </c>
      <c r="H88" s="64" t="str">
        <f>IFERROR(__xludf.DUMMYFUNCTION("IFS(OR(COUNTIF(Info!$A$22:A88,C88)&gt;0,C88=""""),"""",
OR(""3x3 MBLD""=C88,""3x3 FMC""=C88)=TRUE,"""",
FILTER(Info!$F$2:F88, Info!$A$2:A88 = C88) = ""Yes"",FILTER(Info!$O$2:O88, Info!$A$2:A88 = C88),
FILTER(Info!$F$2:F88, Info!$A$2:A88 = C88) = ""No"",IF(G8"&amp;"8="""",FILTER(Info!$O$2:O88, Info!$A$2:A88 = C88),""""))"),"")</f>
        <v/>
      </c>
      <c r="I88" s="64" t="str">
        <f>IFERROR(__xludf.DUMMYFUNCTION("IFS(OR(COUNTIF(Info!$A$22:A88,C88)&gt;0,C88="""",H88&lt;&gt;""""),"""",
AND(E88&lt;&gt;1,E88&lt;&gt;""R1 - A1"",E88&lt;&gt;""R1 - A2"",E88&lt;&gt;""R1 - A3""),"""",
FILTER(Info!$E$2:E88, Info!$A$2:A88 = C88) = ""Yes"",IF(H88="""",FILTER(Info!$L$2:L88, Info!$A$2:A88 = C88),""""),
FILTER(I"&amp;"nfo!$E$2:E88, Info!$A$2:A88 = C88) = ""No"","""")"),"")</f>
        <v/>
      </c>
      <c r="J88" s="64" t="str">
        <f>IFERROR(__xludf.DUMMYFUNCTION("IFS(OR(COUNTIF(Info!$A$22:A88,C88)&gt;0,C88="""",""3x3 MBLD""=C88,""3x3 FMC""=C88),"""",
AND(E88=1,FILTER(Info!$H$2:H88,Info!$A$2:A88 = C88)&lt;=FILTER(Info!$H$2:H88,Info!$A$2:A88=$K$2)),
ROUNDUP((FILTER(Info!$H$2:H88,Info!$A$2:A88 = C88)/FILTER(Info!$H$2:H88,I"&amp;"nfo!$A$2:A88=$K$2))*$I$2),
AND(E88=1,FILTER(Info!$H$2:H88,Info!$A$2:A88 = C88)&gt;FILTER(Info!$H$2:H88,Info!$A$2:A88=$K$2)),""K2 - Error"",
AND(E88=2,FILTER($J$7:indirect(""J""&amp;row()-1),$C$7:indirect(""C""&amp;row()-1)=C88)&lt;=7),""J - Error"",
E88=2,FLOOR(FILTER("&amp;"$J$7:indirect(""J""&amp;row()-1),$C$7:indirect(""C""&amp;row()-1)=C88)*Info!$T$32),
AND(E88=3,FILTER($J$7:indirect(""J""&amp;row()-1),$C$7:indirect(""C""&amp;row()-1)=C88)&lt;=15),""J - Error"",
E88=3,FLOOR(Info!$T$32*FLOOR(FILTER($J$7:indirect(""J""&amp;row()-1),$C$7:indirect("&amp;"""C""&amp;row()-1)=C88)*Info!$T$32)),
AND(E88=""Final"",COUNTIF($C$7:$C$102,C88)=2,FILTER($J$7:indirect(""J""&amp;row()-1),$C$7:indirect(""C""&amp;row()-1)=C88)&lt;=7),""J - Error"",
AND(E88=""Final"",COUNTIF($C$7:$C$102,C88)=2),
MIN(P88,FLOOR(FILTER($J$7:indirect(""J"""&amp;"&amp;row()-1),$C$7:indirect(""C""&amp;row()-1)=C88)*Info!$T$32)),
AND(E88=""Final"",COUNTIF($C$7:$C$102,C88)=3,FILTER($J$7:indirect(""J""&amp;row()-1),$C$7:indirect(""C""&amp;row()-1)=C88)&lt;=15),""J - Error"",
AND(E88=""Final"",COUNTIF($C$7:$C$102,C88)=3),
MIN(P88,FLOOR(I"&amp;"nfo!$T$32*FLOOR(FILTER($J$7:indirect(""J""&amp;row()-1),$C$7:indirect(""C""&amp;row()-1)=C88)*Info!$T$32))),
AND(E88=""Final"",COUNTIF($C$7:$C$102,C88)&gt;=4,FILTER($J$7:indirect(""J""&amp;row()-1),$C$7:indirect(""C""&amp;row()-1)=C88)&lt;=99),""J - Error"",
AND(E88=""Final"","&amp;"COUNTIF($C$7:$C$102,C88)&gt;=4),
MIN(P88,FLOOR(Info!$T$32*FLOOR(Info!$T$32*FLOOR(FILTER($J$7:indirect(""J""&amp;row()-1),$C$7:indirect(""C""&amp;row()-1)=C88)*Info!$T$32)))))"),"")</f>
        <v/>
      </c>
      <c r="K88" s="41" t="str">
        <f>IFERROR(__xludf.DUMMYFUNCTION("IFS(AND(indirect(""D""&amp;row()+2)&lt;&gt;$E$2,indirect(""D""&amp;row()+1)=""""),CONCATENATE(""Tom rad! Kopiera hela rad ""&amp;row()&amp;"" dit""),
AND(indirect(""D""&amp;row()-1)&lt;&gt;""Rum"",indirect(""D""&amp;row()-1)=""""),CONCATENATE(""Tom rad! Kopiera hela rad ""&amp;row()&amp;"" dit""),
"&amp;"C88="""","""",
COUNTIF(Info!$A$22:A88,$K$2)&gt;0,""Det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OR(AND(D88&lt;&gt;$E$2,D88&lt;&gt;$E$4,D88&lt;&gt;$K$4,D88&lt;&gt;$Q$4),D88="&amp;"""""),CONCATENATE(""Rum: ""&amp;D88&amp;"" finns ej, byt i D""&amp;row()),
AND(indirect(""D""&amp;row()-1)=""Rum"",C88=""""),CONCATENATE(""För att börja: skriv i cell C""&amp;row()),
AND(C88=""Paus"",M88&lt;=0),CONCATENATE(""Skriv pausens längd i M""&amp;row()),
OR(COUNTIF(Info!$A$"&amp;"22:A88,C88)&gt;0,C88=""""),"""",
AND(D88&lt;&gt;$E$2,$O$2=""Yes"",A88=""=time(hh;mm;ss)""),CONCATENATE(""Skriv starttid för ""&amp;C88&amp;"" i A""&amp;row()),
E88=""E - Error"",CONCATENATE(""För många ""&amp;C88&amp;"" rundor!""),
AND(C88&lt;&gt;""3x3 FMC"",C88&lt;&gt;""3x3 MBLD"",E88&lt;&gt;1,E88&lt;&gt;"&amp;"""Final"",IFERROR(FILTER($E$7:indirect(""E""&amp;row()-1),
$E$7:indirect(""E""&amp;row()-1)=E88-1,$C$7:indirect(""C""&amp;row()-1)=C88))=FALSE),CONCATENATE(""Kan ej vara R""&amp;E88&amp;"", saknar R""&amp;(E88-1)),
AND(indirect(""E""&amp;row()-1)&lt;&gt;""Omgång"",IFERROR(FILTER($E$7:indi"&amp;"rect(""E""&amp;row()-1),
$E$7:indirect(""E""&amp;row()-1)=E88,$C$7:indirect(""C""&amp;row()-1)=C88)=E88)=TRUE),CONCATENATE(""Runda ""&amp;E88&amp;"" i ""&amp;C88&amp;"" finns redan""),
AND(C88&lt;&gt;""3x3 BLD"",C88&lt;&gt;""4x4 BLD"",C88&lt;&gt;""5x5 BLD"",C88&lt;&gt;""4x4 / 5x5 BLD"",OR(E88=2,E88=3,E88="&amp;"""Final""),H88&lt;&gt;""""),CONCATENATE(E88&amp;""-rundor brukar ej ha c.t.l.""),
AND(OR(E88=2,E88=3,E88=""Final""),I88&lt;&gt;""""),CONCATENATE(E88&amp;""-rundor brukar ej ha cutoff""),
AND(OR(C88=""3x3 FMC"",C88=""3x3 MBLD""),OR(E88=1,E88=2,E88=3,E88=""Final"")),CONCATENAT"&amp;"E(C88&amp;""s omgång är Rx - Ax""),
AND(C88&lt;&gt;""3x3 MBLD"",C88&lt;&gt;""3x3 FMC"",FILTER(Info!$D$2:D88, Info!$A$2:A88 = C88)&lt;&gt;F88),CONCATENATE(C88&amp;"" måste ha formatet ""&amp;FILTER(Info!$D$2:D88, Info!$A$2:A88 = C88)),
AND(C88=""3x3 MBLD"",OR(F88=""Avg of 5"",F88=""Mea"&amp;"n of 3"")),CONCATENATE(""Ogiltigt format för ""&amp;C88),
AND(C88=""3x3 FMC"",OR(F88=""Avg of 5"",F88=""Best of 3"")),CONCATENATE(""Ogiltigt format för ""&amp;C88),
AND(OR(F88=""Best of 1"",F88=""Best of 2"",F88=""Best of 3""),I88&lt;&gt;""""),CONCATENATE(F88&amp;""-rundor"&amp;" får ej ha cutoff""),
AND(OR(C88=""3x3 FMC"",C88=""3x3 MBLD""),G88&lt;&gt;60),CONCATENATE(C88&amp;"" måste ha time limit: 60""),
AND(OR(C88=""3x3 FMC"",C88=""3x3 MBLD""),H88&lt;&gt;""""),CONCATENATE(C88&amp;"" kan inte ha c.t.l.""),
AND(G88&lt;&gt;"""",H88&lt;&gt;""""),""Välj time limit"&amp;" ELLER c.t.l"",
AND(C88=""6x6 / 7x7"",G88="""",H88=""""),""Sätt time limit (x / y) eller c.t.l (z)"",
AND(G88="""",H88=""""),""Sätt en time limit eller c.t.l"",
AND(OR(C88=""6x6 / 7x7"",C88=""4x4 / 5x5 BLD""),G88&lt;&gt;"""",REGEXMATCH(TO_TEXT(G88),"" / "")=FAL"&amp;"SE),CONCATENATE(""Time limit måste vara x / y""),
AND(H88&lt;&gt;"""",I88&lt;&gt;""""),CONCATENATE(C88&amp;"" brukar ej ha cutoff OCH c.t.l""),
AND(E88=1,H88="""",I88="""",OR(FILTER(Info!$E$2:E88, Info!$A$2:A88 = C88) = ""Yes"",FILTER(Info!$F$2:F88, Info!$A$2:A88 = C88) "&amp;"= ""Yes""),OR(F88=""Avg of 5"",F88=""Mean of 3"")),CONCATENATE(C88&amp;"" bör ha cutoff eller c.t.l""),
AND(C88=""6x6 / 7x7"",I88&lt;&gt;"""",REGEXMATCH(TO_TEXT(I88),"" / "")=FALSE),CONCATENATE(""Cutoff måste vara x / y""),
AND(H88&lt;&gt;"""",ISNUMBER(H88)=FALSE),""C.t."&amp;"l. måste vara positivt tal (x)"",
AND(C88&lt;&gt;""6x6 / 7x7"",I88&lt;&gt;"""",ISNUMBER(I88)=FALSE),""Cutoff måste vara positivt tal (x)"",
AND(H88&lt;&gt;"""",FILTER(Info!$E$2:E88, Info!$A$2:A88 = C88) = ""No"",FILTER(Info!$F$2:F88, Info!$A$2:A88 = C88) = ""No""),CONCATEN"&amp;"ATE(C88&amp;"" brukar inte ha c.t.l.""),
AND(I88&lt;&gt;"""",FILTER(Info!$E$2:E88, Info!$A$2:A88 = C88) = ""No"",FILTER(Info!$F$2:F88, Info!$A$2:A88 = C88) = ""No""),CONCATENATE(C88&amp;"" brukar inte ha cutoff""),
AND(H88="""",FILTER(Info!$F$2:F88, Info!$A$2:A88 = C88"&amp;") = ""Yes""),CONCATENATE(C88&amp;"" brukar ha c.t.l.""),
AND(C88&lt;&gt;""6x6 / 7x7"",C88&lt;&gt;""4x4 / 5x5 BLD"",G88&lt;&gt;"""",ISNUMBER(G88)=FALSE),""Time limit måste vara positivt tal (x)"",
J88=""J - Error"",CONCATENATE(""För få deltagare i R1 för ""&amp;COUNTIF($C$7:$C$102,"&amp;"indirect(""C""&amp;row()))&amp;"" rundor""),
J88=""K2 - Error"",CONCATENATE(C88&amp;"" är mer populär - byt i K2!""),
AND(C88&lt;&gt;""6x6 / 7x7"",C88&lt;&gt;""4x4 / 5x5 BLD"",G88&lt;&gt;"""",I88&lt;&gt;"""",G88&lt;=I88),""Time limit måste vara &gt; cutoff"",
AND(C88&lt;&gt;""6x6 / 7x7"",C88&lt;&gt;""4x4 / 5"&amp;"x5 BLD"",H88&lt;&gt;"""",I88&lt;&gt;"""",H88&lt;=I88),""C.t.l. måste vara &gt; cutoff"",
AND(C88&lt;&gt;""3x3 FMC"",C88&lt;&gt;""3x3 MBLD"",J88=""""),CONCATENATE(""Fyll i antal deltagare i J""&amp;row()),
AND(C88="""",OR(E88&lt;&gt;"""",F88&lt;&gt;"""",G88&lt;&gt;"""",H88&lt;&gt;"""",I88&lt;&gt;"""",J88&lt;&gt;"""")),""Skri"&amp;"v ALLTID gren / aktivitet först"",
AND(I88="""",H88="""",J88&lt;&gt;""""),J88,
OR(""3x3 FMC""=C88,""3x3 MBLD""=C88),J88,
AND(I88&lt;&gt;"""",""6x6 / 7x7""=C88),
IFS(ArrayFormula(SUM(IFERROR(SPLIT(I88,"" / ""))))&lt;(Info!$J$6+Info!$J$7)*2/3,CONCATENATE(""Höj helst cutof"&amp;"fs i ""&amp;C88),
ArrayFormula(SUM(IFERROR(SPLIT(I88,"" / ""))))&lt;=(Info!$J$6+Info!$J$7),ROUNDUP(J88*Info!$J$22),
ArrayFormula(SUM(IFERROR(SPLIT(I88,"" / ""))))&lt;=Info!$J$6+Info!$J$7,ROUNDUP(J88*Info!$K$22),
ArrayFormula(SUM(IFERROR(SPLIT(I88,"" / ""))))&lt;=Info!"&amp;"$K$6+Info!$K$7,ROUNDUP(J88*Info!L$22),
ArrayFormula(SUM(IFERROR(SPLIT(I88,"" / ""))))&lt;=Info!$L$6+Info!$L$7,ROUNDUP(J88*Info!$M$22),
ArrayFormula(SUM(IFERROR(SPLIT(I88,"" / ""))))&lt;=Info!$M$6+Info!$M$7,ROUNDUP(J88*Info!$N$22),
ArrayFormula(SUM(IFERROR(SPLIT"&amp;"(I88,"" / ""))))&lt;=(Info!$N$6+Info!$N$7)*3/2,ROUNDUP(J88*Info!$J$26),
ArrayFormula(SUM(IFERROR(SPLIT(I88,"" / ""))))&gt;(Info!$N$6+Info!$N$7)*3/2,CONCATENATE(""Sänk helst cutoffs i ""&amp;C88)),
AND(I88&lt;&gt;"""",FILTER(Info!$E$2:E88, Info!$A$2:A88 = C88) = ""Yes""),"&amp;"
IFS(I88&lt;FILTER(Info!$J$2:J88, Info!$A$2:A88 = C88)*2/3,CONCATENATE(""Höj helst cutoff i ""&amp;C88),
I88&lt;=FILTER(Info!$J$2:J88, Info!$A$2:A88 = C88),ROUNDUP(J88*Info!$J$22),
I88&lt;=FILTER(Info!$K$2:K88, Info!$A$2:A88 = C88),ROUNDUP(J88*Info!$K$22),
I88&lt;=FILTER"&amp;"(Info!$L$2:L88, Info!$A$2:A88 = C88),ROUNDUP(J88*Info!L$22),
I88&lt;=FILTER(Info!$M$2:M88, Info!$A$2:A88 = C88),ROUNDUP(J88*Info!$M$22),
I88&lt;=FILTER(Info!$N$2:N88, Info!$A$2:A88 = C88),ROUNDUP(J88*Info!$N$22),
I88&lt;=FILTER(Info!$N$2:N88, Info!$A$2:A88 = C88)*"&amp;"3/2,ROUNDUP(J88*Info!$J$26),
I88&gt;FILTER(Info!$N$2:N88, Info!$A$2:A88 = C88)*3/2,CONCATENATE(""Sänk helst cutoff i ""&amp;C88)),
AND(H88&lt;&gt;"""",""6x6 / 7x7""=C88),
IFS(H88/3&lt;=(Info!$J$6+Info!$J$7)*2/3,""Höj helst cumulative time limit"",
H88/3&lt;=Info!$J$6+Info!$"&amp;"J$7,ROUNDUP(J88*Info!$J$24),
H88/3&lt;=Info!$K$6+Info!$K$7,ROUNDUP(J88*Info!$K$24),
H88/3&lt;=Info!$L$6+Info!$L$7,ROUNDUP(J88*Info!L$24),
H88/3&lt;=Info!$M$6+Info!$M$7,ROUNDUP(J88*Info!$M$24),
H88/3&lt;=Info!$N$6+Info!$N$7,ROUNDUP(J88*Info!$N$24),
H88/3&lt;=(Info!$N$6+I"&amp;"nfo!$N$7)*3/2,ROUNDUP(J88*Info!$L$26),
H88/3&gt;(Info!$J$6+Info!$J$7)*3/2,""Sänk helst cumulative time limit""),
AND(H88&lt;&gt;"""",FILTER(Info!$F$2:F88, Info!$A$2:A88 = C88) = ""Yes""),
IFS(H88&lt;=FILTER(Info!$J$2:J88, Info!$A$2:A88 = C88)*2/3,CONCATENATE(""Höj he"&amp;"lst c.t.l. i ""&amp;C88),
H88&lt;=FILTER(Info!$J$2:J88, Info!$A$2:A88 = C88),ROUNDUP(J88*Info!$J$24),
H88&lt;=FILTER(Info!$K$2:K88, Info!$A$2:A88 = C88),ROUNDUP(J88*Info!$K$24),
H88&lt;=FILTER(Info!$L$2:L88, Info!$A$2:A88 = C88),ROUNDUP(J88*Info!L$24),
H88&lt;=FILTER(Inf"&amp;"o!$M$2:M88, Info!$A$2:A88 = C88),ROUNDUP(J88*Info!$M$24),
H88&lt;=FILTER(Info!$N$2:N88, Info!$A$2:A88 = C88),ROUNDUP(J88*Info!$N$24),
H88&lt;=FILTER(Info!$N$2:N88, Info!$A$2:A88 = C88)*3/2,ROUNDUP(J88*Info!$L$26),
H88&gt;FILTER(Info!$N$2:N88, Info!$A$2:A88 = C88)*"&amp;"3/2,CONCATENATE(""Sänk helst c.t.l. i ""&amp;C88)),
AND(H88&lt;&gt;"""",FILTER(Info!$F$2:F88, Info!$A$2:A88 = C88) = ""No""),
IFS(H88/AA88&lt;=FILTER(Info!$J$2:J88, Info!$A$2:A88 = C88)*2/3,CONCATENATE(""Höj helst c.t.l. i ""&amp;C88),
H88/AA88&lt;=FILTER(Info!$J$2:J88, Info"&amp;"!$A$2:A88 = C88),ROUNDUP(J88*Info!$J$24),
H88/AA88&lt;=FILTER(Info!$K$2:K88, Info!$A$2:A88 = C88),ROUNDUP(J88*Info!$K$24),
H88/AA88&lt;=FILTER(Info!$L$2:L88, Info!$A$2:A88 = C88),ROUNDUP(J88*Info!L$24),
H88/AA88&lt;=FILTER(Info!$M$2:M88, Info!$A$2:A88 = C88),ROUND"&amp;"UP(J88*Info!$M$24),
H88/AA88&lt;=FILTER(Info!$N$2:N88, Info!$A$2:A88 = C88),ROUNDUP(J88*Info!$N$24),
H88/AA88&lt;=FILTER(Info!$N$2:N88, Info!$A$2:A88 = C88)*3/2,ROUNDUP(J88*Info!$L$26),
H88/AA88&gt;FILTER(Info!$N$2:N88, Info!$A$2:A88 = C88)*3/2,CONCATENATE(""Sänk "&amp;"helst c.t.l. i ""&amp;C88)),
AND(I88="""",H88&lt;&gt;"""",J88&lt;&gt;""""),ROUNDUP(J88*Info!$T$29),
AND(I88&lt;&gt;"""",H88="""",J88&lt;&gt;""""),ROUNDUP(J88*Info!$T$26))"),"")</f>
        <v/>
      </c>
      <c r="L88" s="42">
        <f>IFERROR(__xludf.DUMMYFUNCTION("IFS(C88="""",0,
C88=""3x3 FMC"",Info!$B$9*N88+M88, C88=""3x3 MBLD"",Info!$B$18*N88+M88,
COUNTIF(Info!$A$22:A88,C88)&gt;0,FILTER(Info!$B$22:B88,Info!$A$22:A88=C88)+M88,
AND(C88&lt;&gt;"""",E88=""""),CONCATENATE(""Fyll i E""&amp;row()),
AND(C88&lt;&gt;"""",E88&lt;&gt;"""",E88&lt;&gt;1,E8"&amp;"8&lt;&gt;2,E88&lt;&gt;3,E88&lt;&gt;""Final""),CONCATENATE(""Fel format på E""&amp;row()),
K88=CONCATENATE(""Runda ""&amp;E88&amp;"" i ""&amp;C88&amp;"" finns redan""),CONCATENATE(""Fel i E""&amp;row()),
AND(C88&lt;&gt;"""",F88=""""),CONCATENATE(""Fyll i F""&amp;row()),
K88=CONCATENATE(C88&amp;"" måste ha forma"&amp;"tet ""&amp;FILTER(Info!$D$2:D88, Info!$A$2:A88 = C88)),CONCATENATE(""Fel format på F""&amp;row()),
AND(C88&lt;&gt;"""",D88=1,H88="""",FILTER(Info!$F$2:F88, Info!$A$2:A88 = C88) = ""Yes""),CONCATENATE(""Fyll i H""&amp;row()),
AND(C88&lt;&gt;"""",D88=1,I88="""",FILTER(Info!$E$2:E8"&amp;"8, Info!$A$2:A88 = C88) = ""Yes""),CONCATENATE(""Fyll i I""&amp;row()),
AND(C88&lt;&gt;"""",J88=""""),CONCATENATE(""Fyll i J""&amp;row()),
AND(C88&lt;&gt;"""",K88="""",OR(H88&lt;&gt;"""",I88&lt;&gt;"""")),CONCATENATE(""Fyll i K""&amp;row()),
AND(C88&lt;&gt;"""",K88=""""),CONCATENATE(""Skriv samma"&amp;" i K""&amp;row()&amp;"" som i J""&amp;row()),
AND(OR(C88=""4x4 BLD"",C88=""5x5 BLD"",C88=""4x4 / 5x5 BLD"")=TRUE,V88&lt;=P88),
MROUND(H88*(Info!$T$20-((Info!$T$20-1)/2)*(1-V88/P88))*(1+((J88/K88)-1)*(1-Info!$J$24))*N88+(Info!$T$11/2)+(N88*Info!$T$11)+(N88*Info!$T$14*(O8"&amp;"8-1)),0.01)+M88,
AND(OR(C88=""4x4 BLD"",C88=""5x5 BLD"",C88=""4x4 / 5x5 BLD"")=TRUE,V88&gt;P88),
MROUND((((J88*Z88+K88*(AA88-Z88))*(H88*Info!$T$20/AA88))/X88)*(1+((J88/K88)-1)*(1-Info!$J$24))*(1+(X88-Info!$T$8)/100)+(Info!$T$11/2)+(N88*Info!$T$11)+(N88*Info!"&amp;"$T$14*(O88-1)),0.01)+M88,
AND(C88=""3x3 BLD"",V88&lt;=P88),
MROUND(H88*(Info!$T$23-((Info!$T$23-1)/2)*(1-V88/P88))*(1+((J88/K88)-1)*(1-Info!$J$24))*N88+(Info!$T$11/2)+(N88*Info!$T$11)+(N88*Info!$T$14*(O88-1)),0.01)+M88,
AND(C88=""3x3 BLD"",V88&gt;P88),
MROUND(("&amp;"((J88*Z88+K88*(AA88-Z88))*(H88*Info!$T$23/AA88))/X88)*(1+((J88/K88)-1)*(1-Info!$J$24))*(1+(X88-Info!$T$8)/100)+(Info!$T$11/2)+(N88*Info!$T$11)+(N88*Info!$T$14*(O88-1)),0.01)+M88,
E88=1,MROUND((((J88*Z88+K88*(AA88-Z88))*Y88)/X88)*(1+(X88-Info!$T$8)/100)+(N"&amp;"88*Info!$T$11)+(N88*Info!$T$14*(O88-1)),0.01)+M88,
AND(E88=""Final"",N88=1,FILTER(Info!$G$2:$G$20,Info!$A$2:$A$20=C88)=""Mycket svår""),
MROUND((((J88*Z88+K88*(AA88-Z88))*(Y88*Info!$T$38))/X88)*(1+(X88-Info!$T$8)/100)+(N88*Info!$T$11)+(N88*Info!$T$14*(O88"&amp;"-1)),0.01)+M88,
AND(E88=""Final"",N88=1,FILTER(Info!$G$2:$G$20,Info!$A$2:$A$20=C88)=""Svår""),
MROUND((((J88*Z88+K88*(AA88-Z88))*(Y88*Info!$T$35))/X88)*(1+(X88-Info!$T$8)/100)+(N88*Info!$T$11)+(N88*Info!$T$14*(O88-1)),0.01)+M88,
E88=""Final"",MROUND((((J8"&amp;"8*Z88+K88*(AA88-Z88))*(Y88*Info!$T$5))/X88)*(1+(X88-Info!$T$8)/100)+(N88*Info!$T$11)+(N88*Info!$T$14*(O88-1)),0.01)+M88,
OR(E88=2,E88=3),MROUND((((J88*Z88+K88*(AA88-Z88))*(Y88*Info!$T$2))/X88)*(1+(X88-Info!$T$8)/100)+(N88*Info!$T$11)+(N88*Info!$T$14*(O88-"&amp;"1)),0.01)+M88)"),0.0)</f>
        <v>0</v>
      </c>
      <c r="M88" s="43">
        <f t="shared" si="9"/>
        <v>0</v>
      </c>
      <c r="N88" s="43" t="str">
        <f>IFS(OR(COUNTIF(Info!$A$22:A88,C88)&gt;0,C88=""),"",
OR(C88="4x4 BLD",C88="5x5 BLD",C88="3x3 MBLD",C88="3x3 FMC",C88="4x4 / 5x5 BLD"),1,
AND(E88="Final",Q88="Yes",MAX(1,ROUNDUP(J88/P88))&gt;1),MAX(2,ROUNDUP(J88/P88)),
AND(E88="Final",Q88="No",MAX(1,ROUNDUP(J88/((P88*2)+2.625-Y88*1.5)))&gt;1),MAX(2,ROUNDUP(J88/((P88*2)+2.625-Y88*1.5))),
E88="Final",1,
Q88="Yes",MAX(2,ROUNDUP(J88/P88)),
TRUE,MAX(2,ROUNDUP(J88/((P88*2)+2.625-Y88*1.5))))</f>
        <v/>
      </c>
      <c r="O88" s="43" t="str">
        <f>IFS(OR(COUNTIF(Info!$A$22:A88,C88)&gt;0,C88=""),"",
OR("3x3 MBLD"=C88,"3x3 FMC"=C88)=TRUE,"",
D88=$E$4,$G$6,D88=$K$4,$M$6,D88=$Q$4,$S$6,D88=$W$4,$Y$6,
TRUE,$S$2)</f>
        <v/>
      </c>
      <c r="P88" s="43" t="str">
        <f>IFS(OR(COUNTIF(Info!$A$22:A88,C88)&gt;0,C88=""),"",
OR("3x3 MBLD"=C88,"3x3 FMC"=C88)=TRUE,"",
D88=$E$4,$E$6,D88=$K$4,$K$6,D88=$Q$4,$Q$6,D88=$W$4,$W$6,
TRUE,$Q$2)</f>
        <v/>
      </c>
      <c r="Q88" s="44" t="str">
        <f>IFS(OR(COUNTIF(Info!$A$22:A88,C88)&gt;0,C88=""),"",
OR("3x3 MBLD"=C88,"3x3 FMC"=C88)=TRUE,"",
D88=$E$4,$I$6,D88=$K$4,$O$6,D88=$Q$4,$U$6,D88=$W$4,$AA$6,
TRUE,$U$2)</f>
        <v/>
      </c>
      <c r="R88" s="65" t="str">
        <f>IFERROR(__xludf.DUMMYFUNCTION("IF(C88="""","""",IFERROR(FILTER(Info!$B$22:B88,Info!$A$22:A88=C88)+M88,""?""))"),"")</f>
        <v/>
      </c>
      <c r="S88" s="66" t="str">
        <f>IFS(OR(COUNTIF(Info!$A$22:A88,C88)&gt;0,C88=""),"",
AND(H88="",I88=""),J88,
TRUE,"?")</f>
        <v/>
      </c>
      <c r="T88" s="65" t="str">
        <f>IFS(OR(COUNTIF(Info!$A$22:A88,C88)&gt;0,C88=""),"",
AND(L88&lt;&gt;0,OR(R88="?",R88="")),"Fyll i R-kolumnen",
OR(C88="3x3 FMC",C88="3x3 MBLD"),R88,
AND(L88&lt;&gt;0,OR(S88="?",S88="")),"Fyll i S-kolumnen",
OR(COUNTIF(Info!$A$22:A88,C88)&gt;0,C88=""),"",
TRUE,Y88*R88/L88)</f>
        <v/>
      </c>
      <c r="U88" s="65"/>
      <c r="V88" s="67" t="str">
        <f>IFS(OR(COUNTIF(Info!$A$22:A88,C88)&gt;0,C88=""),"",
OR("3x3 MBLD"=C88,"3x3 FMC"=C88)=TRUE,"",
TRUE,MROUND((J88/N88),0.01))</f>
        <v/>
      </c>
      <c r="W88" s="68" t="str">
        <f>IFS(OR(COUNTIF(Info!$A$22:A88,C88)&gt;0,C88=""),"",
TRUE,L88/N88)</f>
        <v/>
      </c>
      <c r="X88" s="67" t="str">
        <f>IFS(OR(COUNTIF(Info!$A$22:A88,C88)&gt;0,C88=""),"",
OR("3x3 MBLD"=C88,"3x3 FMC"=C88)=TRUE,"",
OR(C88="4x4 BLD",C88="5x5 BLD",C88="4x4 / 5x5 BLD",AND(C88="3x3 BLD",H88&lt;&gt;""))=TRUE,MIN(V88,P88),
TRUE,MIN(P88,V88,MROUND(((V88*2/3)+((Y88-1.625)/2)),0.01)))</f>
        <v/>
      </c>
      <c r="Y88" s="68" t="str">
        <f>IFERROR(__xludf.DUMMYFUNCTION("IFS(OR(COUNTIF(Info!$A$22:A88,C88)&gt;0,C88=""""),"""",
FILTER(Info!$F$2:F88, Info!$A$2:A88 = C88) = ""Yes"",H88/AA88,
""3x3 FMC""=C88,Info!$B$9,""3x3 MBLD""=C88,Info!$B$18,
AND(E88=1,I88="""",H88="""",Q88=""No"",G88&gt;SUMIF(Info!$A$2:A88,C88,Info!$B$2:B88)*1."&amp;"5),
MIN(SUMIF(Info!$A$2:A88,C88,Info!$B$2:B88)*1.1,SUMIF(Info!$A$2:A88,C88,Info!$B$2:B88)*(1.15-(0.15*(SUMIF(Info!$A$2:A88,C88,Info!$B$2:B88)*1.5)/G88))),
AND(E88=1,I88="""",H88="""",Q88=""Yes"",G88&gt;SUMIF(Info!$A$2:A88,C88,Info!$C$2:C88)*1.5),
MIN(SUMIF(I"&amp;"nfo!$A$2:A88,C88,Info!$C$2:C88)*1.1,SUMIF(Info!$A$2:A88,C88,Info!$C$2:C88)*(1.15-(0.15*(SUMIF(Info!$A$2:A88,C88,Info!$C$2:C88)*1.5)/G88))),
Q88=""No"",SUMIF(Info!$A$2:A88,C88,Info!$B$2:B88),
Q88=""Yes"",SUMIF(Info!$A$2:A88,C88,Info!$C$2:C88))"),"")</f>
        <v/>
      </c>
      <c r="Z88" s="67" t="str">
        <f>IFS(OR(COUNTIF(Info!$A$22:A88,C88)&gt;0,C88=""),"",
AND(OR("3x3 FMC"=C88,"3x3 MBLD"=C88),I88&lt;&gt;""),1,
AND(OR(H88&lt;&gt;"",I88&lt;&gt;""),F88="Avg of 5"),2,
F88="Avg of 5",AA88,
AND(OR(H88&lt;&gt;"",I88&lt;&gt;""),F88="Mean of 3",C88="6x6 / 7x7"),2,
AND(OR(H88&lt;&gt;"",I88&lt;&gt;""),F88="Mean of 3"),1,
F88="Mean of 3",AA88,
AND(OR(H88&lt;&gt;"",I88&lt;&gt;""),F88="Best of 3",C88="4x4 / 5x5 BLD"),2,
AND(OR(H88&lt;&gt;"",I88&lt;&gt;""),F88="Best of 3"),1,
F88="Best of 2",AA88,
F88="Best of 1",AA88)</f>
        <v/>
      </c>
      <c r="AA88" s="67" t="str">
        <f>IFS(OR(COUNTIF(Info!$A$22:A88,C88)&gt;0,C88=""),"",
AND(OR("3x3 MBLD"=C88,"3x3 FMC"=C88),F88="Best of 1"=TRUE),1,
AND(OR("3x3 MBLD"=C88,"3x3 FMC"=C88),F88="Best of 2"=TRUE),2,
AND(OR("3x3 MBLD"=C88,"3x3 FMC"=C88),OR(F88="Best of 3",F88="Mean of 3")=TRUE),3,
AND(F88="Mean of 3",C88="6x6 / 7x7"),6,
AND(F88="Best of 3",C88="4x4 / 5x5 BLD"),6,
F88="Avg of 5",5,F88="Mean of 3",3,F88="Best of 3",3,F88="Best of 2",2,F88="Best of 1",1)</f>
        <v/>
      </c>
      <c r="AB88" s="69"/>
    </row>
    <row r="89" ht="15.75" customHeight="1">
      <c r="A89" s="62">
        <f>IFERROR(__xludf.DUMMYFUNCTION("IFS(indirect(""A""&amp;row()-1)=""Start"",TIME(indirect(""A""&amp;row()-2),indirect(""B""&amp;row()-2),0),
$O$2=""No"",TIME(0,($A$6*60+$B$6)+CEILING(SUM($L$7:indirect(""L""&amp;row()-1)),5),0),
D89=$E$2,TIME(0,($A$6*60+$B$6)+CEILING(SUM(IFERROR(FILTER($L$7:indirect(""L"""&amp;"&amp;row()-1),REGEXMATCH($D$7:indirect(""D""&amp;row()-1),$E$2)),0)),5),0),
TRUE,""=time(hh;mm;ss)"")"),0.3541666666666665)</f>
        <v>0.3541666667</v>
      </c>
      <c r="B89" s="63">
        <f>IFERROR(__xludf.DUMMYFUNCTION("IFS($O$2=""No"",TIME(0,($A$6*60+$B$6)+CEILING(SUM($L$7:indirect(""L""&amp;row())),5),0),
D89=$E$2,TIME(0,($A$6*60+$B$6)+CEILING(SUM(FILTER($L$7:indirect(""L""&amp;row()),REGEXMATCH($D$7:indirect(""D""&amp;row()),$E$2))),5),0),
A89=""=time(hh;mm;ss)"",CONCATENATE(""Sk"&amp;"riv tid i A""&amp;row()),
AND(A89&lt;&gt;"""",A89&lt;&gt;""=time(hh;mm;ss)""),A89+TIME(0,CEILING(indirect(""L""&amp;row()),5),0))"),0.3541666666666665)</f>
        <v>0.3541666667</v>
      </c>
      <c r="C89" s="37"/>
      <c r="D89" s="64" t="str">
        <f t="shared" si="10"/>
        <v>Stora salen</v>
      </c>
      <c r="E89" s="64" t="str">
        <f>IFERROR(__xludf.DUMMYFUNCTION("IFS(COUNTIF(Info!$A$22:A89,C89)&gt;0,"""",
AND(OR(""3x3 FMC""=C89,""3x3 MBLD""=C89),COUNTIF($C$7:indirect(""C""&amp;row()),indirect(""C""&amp;row()))&gt;=13),""E - Error"",
AND(OR(""3x3 FMC""=C89,""3x3 MBLD""=C89),COUNTIF($C$7:indirect(""C""&amp;row()),indirect(""C""&amp;row()"&amp;"))=12),""Final - A3"",
AND(OR(""3x3 FMC""=C89,""3x3 MBLD""=C89),COUNTIF($C$7:indirect(""C""&amp;row()),indirect(""C""&amp;row()))=11),""Final - A2"",
AND(OR(""3x3 FMC""=C89,""3x3 MBLD""=C89),COUNTIF($C$7:indirect(""C""&amp;row()),indirect(""C""&amp;row()))=10),""Final - "&amp;"A1"",
AND(OR(""3x3 FMC""=C89,""3x3 MBLD""=C89),COUNTIF($C$7:indirect(""C""&amp;row()),indirect(""C""&amp;row()))=9,
COUNTIF($C$7:$C$102,indirect(""C""&amp;row()))&gt;9),""R3 - A3"",
AND(OR(""3x3 FMC""=C89,""3x3 MBLD""=C89),COUNTIF($C$7:indirect(""C""&amp;row()),indirect(""C"&amp;"""&amp;row()))=9,
COUNTIF($C$7:$C$102,indirect(""C""&amp;row()))&lt;=9),""Final - A3"",
AND(OR(""3x3 FMC""=C89,""3x3 MBLD""=C89),COUNTIF($C$7:indirect(""C""&amp;row()),indirect(""C""&amp;row()))=8,
COUNTIF($C$7:$C$102,indirect(""C""&amp;row()))&gt;9),""R3 - A2"",
AND(OR(""3x3 FMC"&amp;"""=C89,""3x3 MBLD""=C89),COUNTIF($C$7:indirect(""C""&amp;row()),indirect(""C""&amp;row()))=8,
COUNTIF($C$7:$C$102,indirect(""C""&amp;row()))&lt;=9),""Final - A2"",
AND(OR(""3x3 FMC""=C89,""3x3 MBLD""=C89),COUNTIF($C$7:indirect(""C""&amp;row()),indirect(""C""&amp;row()))=7,
COUN"&amp;"TIF($C$7:$C$102,indirect(""C""&amp;row()))&gt;9),""R3 - A1"",
AND(OR(""3x3 FMC""=C89,""3x3 MBLD""=C89),COUNTIF($C$7:indirect(""C""&amp;row()),indirect(""C""&amp;row()))=7,
COUNTIF($C$7:$C$102,indirect(""C""&amp;row()))&lt;=9),""Final - A1"",
AND(OR(""3x3 FMC""=C89,""3x3 MBLD"""&amp;"=C89),COUNTIF($C$7:indirect(""C""&amp;row()),indirect(""C""&amp;row()))=6,
COUNTIF($C$7:$C$102,indirect(""C""&amp;row()))&gt;6),""R2 - A3"",
AND(OR(""3x3 FMC""=C89,""3x3 MBLD""=C89),COUNTIF($C$7:indirect(""C""&amp;row()),indirect(""C""&amp;row()))=6,
COUNTIF($C$7:$C$102,indirec"&amp;"t(""C""&amp;row()))&lt;=6),""Final - A3"",
AND(OR(""3x3 FMC""=C89,""3x3 MBLD""=C89),COUNTIF($C$7:indirect(""C""&amp;row()),indirect(""C""&amp;row()))=5,
COUNTIF($C$7:$C$102,indirect(""C""&amp;row()))&gt;6),""R2 - A2"",
AND(OR(""3x3 FMC""=C89,""3x3 MBLD""=C89),COUNTIF($C$7:indi"&amp;"rect(""C""&amp;row()),indirect(""C""&amp;row()))=5,
COUNTIF($C$7:$C$102,indirect(""C""&amp;row()))&lt;=6),""Final - A2"",
AND(OR(""3x3 FMC""=C89,""3x3 MBLD""=C89),COUNTIF($C$7:indirect(""C""&amp;row()),indirect(""C""&amp;row()))=4,
COUNTIF($C$7:$C$102,indirect(""C""&amp;row()))&gt;6),"&amp;"""R2 - A1"",
AND(OR(""3x3 FMC""=C89,""3x3 MBLD""=C89),COUNTIF($C$7:indirect(""C""&amp;row()),indirect(""C""&amp;row()))=4,
COUNTIF($C$7:$C$102,indirect(""C""&amp;row()))&lt;=6),""Final - A1"",
AND(OR(""3x3 FMC""=C89,""3x3 MBLD""=C89),COUNTIF($C$7:indirect(""C""&amp;row()),i"&amp;"ndirect(""C""&amp;row()))=3),""R1 - A3"",
AND(OR(""3x3 FMC""=C89,""3x3 MBLD""=C89),COUNTIF($C$7:indirect(""C""&amp;row()),indirect(""C""&amp;row()))=2),""R1 - A2"",
AND(OR(""3x3 FMC""=C89,""3x3 MBLD""=C89),COUNTIF($C$7:indirect(""C""&amp;row()),indirect(""C""&amp;row()))=1),"&amp;"""R1 -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89, Info!$A$2:A89 = C89),ROUNDUP((FILTER(Info!$H$2:H89,Info!$A$2:A89=C89)/FILTER(Info!$H$2:H89,Info!$A$2:A89=$K$2))*$I$2)&gt;99),3,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89, Info!$A$2:A89 = C89),ROUNDUP((FILTER(Info!$H$2:H89,Info!$A$2:A89=C89)/FILTER(Info!$H$2:H89,Info!$A$2:A89=$K$2))*$I$2)&gt;15),2,
AND(COUNTIF($C$7:indirect(""C""&amp;row()),indirect(""C""&amp;row()))=2,COUNTIF($C$7:$C$102,indirect(""C""&amp;row()))=COUNTIF($"&amp;"C$7:indirect(""C""&amp;row()),indirect(""C""&amp;row()))),""Final"",
COUNTIF($C$7:indirect(""C""&amp;row()),indirect(""C""&amp;row()))=1,1,
COUNTIF($C$7:indirect(""C""&amp;row()),indirect(""C""&amp;row()))=0,"""")"),"")</f>
        <v/>
      </c>
      <c r="F89" s="64" t="str">
        <f>IFERROR(__xludf.DUMMYFUNCTION("IFS(C89="""","""",
AND(C89=""3x3 FMC"",MOD(COUNTIF($C$7:indirect(""C""&amp;row()),indirect(""C""&amp;row())),3)=0),""Mean of 3"",
AND(C89=""3x3 MBLD"",MOD(COUNTIF($C$7:indirect(""C""&amp;row()),indirect(""C""&amp;row())),3)=0),""Best of 3"",
AND(C89=""3x3 FMC"",MOD(COUNT"&amp;"IF($C$7:indirect(""C""&amp;row()),indirect(""C""&amp;row())),3)=2,
COUNTIF($C$7:$C$102,indirect(""C""&amp;row()))&lt;=COUNTIF($C$7:indirect(""C""&amp;row()),indirect(""C""&amp;row()))),""Best of 2"",
AND(C89=""3x3 FMC"",MOD(COUNTIF($C$7:indirect(""C""&amp;row()),indirect(""C""&amp;row("&amp;"))),3)=2,
COUNTIF($C$7:$C$102,indirect(""C""&amp;row()))&gt;COUNTIF($C$7:indirect(""C""&amp;row()),indirect(""C""&amp;row()))),""Mean of 3"",
AND(C89=""3x3 MBLD"",MOD(COUNTIF($C$7:indirect(""C""&amp;row()),indirect(""C""&amp;row())),3)=2,
COUNTIF($C$7:$C$102,indirect(""C""&amp;row("&amp;")))&lt;=COUNTIF($C$7:indirect(""C""&amp;row()),indirect(""C""&amp;row()))),""Best of 2"",
AND(C89=""3x3 MBLD"",MOD(COUNTIF($C$7:indirect(""C""&amp;row()),indirect(""C""&amp;row())),3)=2,
COUNTIF($C$7:$C$102,indirect(""C""&amp;row()))&gt;COUNTIF($C$7:indirect(""C""&amp;row()),indirect("&amp;"""C""&amp;row()))),""Best of 3"",
AND(C89=""3x3 FMC"",MOD(COUNTIF($C$7:indirect(""C""&amp;row()),indirect(""C""&amp;row())),3)=1,
COUNTIF($C$7:$C$102,indirect(""C""&amp;row()))&lt;=COUNTIF($C$7:indirect(""C""&amp;row()),indirect(""C""&amp;row()))),""Best of 1"",
AND(C89=""3x3 FMC"""&amp;",MOD(COUNTIF($C$7:indirect(""C""&amp;row()),indirect(""C""&amp;row())),3)=1,
COUNTIF($C$7:$C$102,indirect(""C""&amp;row()))=COUNTIF($C$7:indirect(""C""&amp;row()),indirect(""C""&amp;row()))+1),""Best of 2"",
AND(C89=""3x3 FMC"",MOD(COUNTIF($C$7:indirect(""C""&amp;row()),indirect"&amp;"(""C""&amp;row())),3)=1,
COUNTIF($C$7:$C$102,indirect(""C""&amp;row()))&gt;COUNTIF($C$7:indirect(""C""&amp;row()),indirect(""C""&amp;row()))),""Mean of 3"",
AND(C89=""3x3 MBLD"",MOD(COUNTIF($C$7:indirect(""C""&amp;row()),indirect(""C""&amp;row())),3)=1,
COUNTIF($C$7:$C$102,indirect"&amp;"(""C""&amp;row()))&lt;=COUNTIF($C$7:indirect(""C""&amp;row()),indirect(""C""&amp;row()))),""Best of 1"",
AND(C89=""3x3 MBLD"",MOD(COUNTIF($C$7:indirect(""C""&amp;row()),indirect(""C""&amp;row())),3)=1,
COUNTIF($C$7:$C$102,indirect(""C""&amp;row()))=COUNTIF($C$7:indirect(""C""&amp;row()"&amp;"),indirect(""C""&amp;row()))+1),""Best of 2"",
AND(C89=""3x3 MBLD"",MOD(COUNTIF($C$7:indirect(""C""&amp;row()),indirect(""C""&amp;row())),3)=1,
COUNTIF($C$7:$C$102,indirect(""C""&amp;row()))&gt;COUNTIF($C$7:indirect(""C""&amp;row()),indirect(""C""&amp;row()))),""Best of 3"",
TRUE,("&amp;"IFERROR(FILTER(Info!$D$2:D89, Info!$A$2:A89 = C89), """")))"),"")</f>
        <v/>
      </c>
      <c r="G89" s="64" t="str">
        <f>IFERROR(__xludf.DUMMYFUNCTION("IFS(OR(COUNTIF(Info!$A$22:A89,C89)&gt;0,C89=""""),"""",
OR(""3x3 MBLD""=C89,""3x3 FMC""=C89),60,
AND(E89=1,FILTER(Info!$F$2:F89, Info!$A$2:A89 = C89) = ""No""),FILTER(Info!$P$2:P89, Info!$A$2:A89 = C89),
AND(E89=2,FILTER(Info!$F$2:F89, Info!$A$2:A89 = C89) ="&amp;" ""No""),FILTER(Info!$Q$2:Q89, Info!$A$2:A89 = C89),
AND(E89=3,FILTER(Info!$F$2:F89, Info!$A$2:A89 = C89) = ""No""),FILTER(Info!$R$2:R89, Info!$A$2:A89 = C89),
AND(E89=""Final"",FILTER(Info!$F$2:F89, Info!$A$2:A89 = C89) = ""No""),FILTER(Info!$S$2:S89, In"&amp;"fo!$A$2:A89 = C89),
FILTER(Info!$F$2:F89, Info!$A$2:A89 = C89) = ""Yes"","""")"),"")</f>
        <v/>
      </c>
      <c r="H89" s="64" t="str">
        <f>IFERROR(__xludf.DUMMYFUNCTION("IFS(OR(COUNTIF(Info!$A$22:A89,C89)&gt;0,C89=""""),"""",
OR(""3x3 MBLD""=C89,""3x3 FMC""=C89)=TRUE,"""",
FILTER(Info!$F$2:F89, Info!$A$2:A89 = C89) = ""Yes"",FILTER(Info!$O$2:O89, Info!$A$2:A89 = C89),
FILTER(Info!$F$2:F89, Info!$A$2:A89 = C89) = ""No"",IF(G8"&amp;"9="""",FILTER(Info!$O$2:O89, Info!$A$2:A89 = C89),""""))"),"")</f>
        <v/>
      </c>
      <c r="I89" s="64" t="str">
        <f>IFERROR(__xludf.DUMMYFUNCTION("IFS(OR(COUNTIF(Info!$A$22:A89,C89)&gt;0,C89="""",H89&lt;&gt;""""),"""",
AND(E89&lt;&gt;1,E89&lt;&gt;""R1 - A1"",E89&lt;&gt;""R1 - A2"",E89&lt;&gt;""R1 - A3""),"""",
FILTER(Info!$E$2:E89, Info!$A$2:A89 = C89) = ""Yes"",IF(H89="""",FILTER(Info!$L$2:L89, Info!$A$2:A89 = C89),""""),
FILTER(I"&amp;"nfo!$E$2:E89, Info!$A$2:A89 = C89) = ""No"","""")"),"")</f>
        <v/>
      </c>
      <c r="J89" s="64" t="str">
        <f>IFERROR(__xludf.DUMMYFUNCTION("IFS(OR(COUNTIF(Info!$A$22:A89,C89)&gt;0,C89="""",""3x3 MBLD""=C89,""3x3 FMC""=C89),"""",
AND(E89=1,FILTER(Info!$H$2:H89,Info!$A$2:A89 = C89)&lt;=FILTER(Info!$H$2:H89,Info!$A$2:A89=$K$2)),
ROUNDUP((FILTER(Info!$H$2:H89,Info!$A$2:A89 = C89)/FILTER(Info!$H$2:H89,I"&amp;"nfo!$A$2:A89=$K$2))*$I$2),
AND(E89=1,FILTER(Info!$H$2:H89,Info!$A$2:A89 = C89)&gt;FILTER(Info!$H$2:H89,Info!$A$2:A89=$K$2)),""K2 - Error"",
AND(E89=2,FILTER($J$7:indirect(""J""&amp;row()-1),$C$7:indirect(""C""&amp;row()-1)=C89)&lt;=7),""J - Error"",
E89=2,FLOOR(FILTER("&amp;"$J$7:indirect(""J""&amp;row()-1),$C$7:indirect(""C""&amp;row()-1)=C89)*Info!$T$32),
AND(E89=3,FILTER($J$7:indirect(""J""&amp;row()-1),$C$7:indirect(""C""&amp;row()-1)=C89)&lt;=15),""J - Error"",
E89=3,FLOOR(Info!$T$32*FLOOR(FILTER($J$7:indirect(""J""&amp;row()-1),$C$7:indirect("&amp;"""C""&amp;row()-1)=C89)*Info!$T$32)),
AND(E89=""Final"",COUNTIF($C$7:$C$102,C89)=2,FILTER($J$7:indirect(""J""&amp;row()-1),$C$7:indirect(""C""&amp;row()-1)=C89)&lt;=7),""J - Error"",
AND(E89=""Final"",COUNTIF($C$7:$C$102,C89)=2),
MIN(P89,FLOOR(FILTER($J$7:indirect(""J"""&amp;"&amp;row()-1),$C$7:indirect(""C""&amp;row()-1)=C89)*Info!$T$32)),
AND(E89=""Final"",COUNTIF($C$7:$C$102,C89)=3,FILTER($J$7:indirect(""J""&amp;row()-1),$C$7:indirect(""C""&amp;row()-1)=C89)&lt;=15),""J - Error"",
AND(E89=""Final"",COUNTIF($C$7:$C$102,C89)=3),
MIN(P89,FLOOR(I"&amp;"nfo!$T$32*FLOOR(FILTER($J$7:indirect(""J""&amp;row()-1),$C$7:indirect(""C""&amp;row()-1)=C89)*Info!$T$32))),
AND(E89=""Final"",COUNTIF($C$7:$C$102,C89)&gt;=4,FILTER($J$7:indirect(""J""&amp;row()-1),$C$7:indirect(""C""&amp;row()-1)=C89)&lt;=99),""J - Error"",
AND(E89=""Final"","&amp;"COUNTIF($C$7:$C$102,C89)&gt;=4),
MIN(P89,FLOOR(Info!$T$32*FLOOR(Info!$T$32*FLOOR(FILTER($J$7:indirect(""J""&amp;row()-1),$C$7:indirect(""C""&amp;row()-1)=C89)*Info!$T$32)))))"),"")</f>
        <v/>
      </c>
      <c r="K89" s="41" t="str">
        <f>IFERROR(__xludf.DUMMYFUNCTION("IFS(AND(indirect(""D""&amp;row()+2)&lt;&gt;$E$2,indirect(""D""&amp;row()+1)=""""),CONCATENATE(""Tom rad! Kopiera hela rad ""&amp;row()&amp;"" dit""),
AND(indirect(""D""&amp;row()-1)&lt;&gt;""Rum"",indirect(""D""&amp;row()-1)=""""),CONCATENATE(""Tom rad! Kopiera hela rad ""&amp;row()&amp;"" dit""),
"&amp;"C89="""","""",
COUNTIF(Info!$A$22:A89,$K$2)&gt;0,""Det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OR(AND(D89&lt;&gt;$E$2,D89&lt;&gt;$E$4,D89&lt;&gt;$K$4,D89&lt;&gt;$Q$4),D89="&amp;"""""),CONCATENATE(""Rum: ""&amp;D89&amp;"" finns ej, byt i D""&amp;row()),
AND(indirect(""D""&amp;row()-1)=""Rum"",C89=""""),CONCATENATE(""För att börja: skriv i cell C""&amp;row()),
AND(C89=""Paus"",M89&lt;=0),CONCATENATE(""Skriv pausens längd i M""&amp;row()),
OR(COUNTIF(Info!$A$"&amp;"22:A89,C89)&gt;0,C89=""""),"""",
AND(D89&lt;&gt;$E$2,$O$2=""Yes"",A89=""=time(hh;mm;ss)""),CONCATENATE(""Skriv starttid för ""&amp;C89&amp;"" i A""&amp;row()),
E89=""E - Error"",CONCATENATE(""För många ""&amp;C89&amp;"" rundor!""),
AND(C89&lt;&gt;""3x3 FMC"",C89&lt;&gt;""3x3 MBLD"",E89&lt;&gt;1,E89&lt;&gt;"&amp;"""Final"",IFERROR(FILTER($E$7:indirect(""E""&amp;row()-1),
$E$7:indirect(""E""&amp;row()-1)=E89-1,$C$7:indirect(""C""&amp;row()-1)=C89))=FALSE),CONCATENATE(""Kan ej vara R""&amp;E89&amp;"", saknar R""&amp;(E89-1)),
AND(indirect(""E""&amp;row()-1)&lt;&gt;""Omgång"",IFERROR(FILTER($E$7:indi"&amp;"rect(""E""&amp;row()-1),
$E$7:indirect(""E""&amp;row()-1)=E89,$C$7:indirect(""C""&amp;row()-1)=C89)=E89)=TRUE),CONCATENATE(""Runda ""&amp;E89&amp;"" i ""&amp;C89&amp;"" finns redan""),
AND(C89&lt;&gt;""3x3 BLD"",C89&lt;&gt;""4x4 BLD"",C89&lt;&gt;""5x5 BLD"",C89&lt;&gt;""4x4 / 5x5 BLD"",OR(E89=2,E89=3,E89="&amp;"""Final""),H89&lt;&gt;""""),CONCATENATE(E89&amp;""-rundor brukar ej ha c.t.l.""),
AND(OR(E89=2,E89=3,E89=""Final""),I89&lt;&gt;""""),CONCATENATE(E89&amp;""-rundor brukar ej ha cutoff""),
AND(OR(C89=""3x3 FMC"",C89=""3x3 MBLD""),OR(E89=1,E89=2,E89=3,E89=""Final"")),CONCATENAT"&amp;"E(C89&amp;""s omgång är Rx - Ax""),
AND(C89&lt;&gt;""3x3 MBLD"",C89&lt;&gt;""3x3 FMC"",FILTER(Info!$D$2:D89, Info!$A$2:A89 = C89)&lt;&gt;F89),CONCATENATE(C89&amp;"" måste ha formatet ""&amp;FILTER(Info!$D$2:D89, Info!$A$2:A89 = C89)),
AND(C89=""3x3 MBLD"",OR(F89=""Avg of 5"",F89=""Mea"&amp;"n of 3"")),CONCATENATE(""Ogiltigt format för ""&amp;C89),
AND(C89=""3x3 FMC"",OR(F89=""Avg of 5"",F89=""Best of 3"")),CONCATENATE(""Ogiltigt format för ""&amp;C89),
AND(OR(F89=""Best of 1"",F89=""Best of 2"",F89=""Best of 3""),I89&lt;&gt;""""),CONCATENATE(F89&amp;""-rundor"&amp;" får ej ha cutoff""),
AND(OR(C89=""3x3 FMC"",C89=""3x3 MBLD""),G89&lt;&gt;60),CONCATENATE(C89&amp;"" måste ha time limit: 60""),
AND(OR(C89=""3x3 FMC"",C89=""3x3 MBLD""),H89&lt;&gt;""""),CONCATENATE(C89&amp;"" kan inte ha c.t.l.""),
AND(G89&lt;&gt;"""",H89&lt;&gt;""""),""Välj time limit"&amp;" ELLER c.t.l"",
AND(C89=""6x6 / 7x7"",G89="""",H89=""""),""Sätt time limit (x / y) eller c.t.l (z)"",
AND(G89="""",H89=""""),""Sätt en time limit eller c.t.l"",
AND(OR(C89=""6x6 / 7x7"",C89=""4x4 / 5x5 BLD""),G89&lt;&gt;"""",REGEXMATCH(TO_TEXT(G89),"" / "")=FAL"&amp;"SE),CONCATENATE(""Time limit måste vara x / y""),
AND(H89&lt;&gt;"""",I89&lt;&gt;""""),CONCATENATE(C89&amp;"" brukar ej ha cutoff OCH c.t.l""),
AND(E89=1,H89="""",I89="""",OR(FILTER(Info!$E$2:E89, Info!$A$2:A89 = C89) = ""Yes"",FILTER(Info!$F$2:F89, Info!$A$2:A89 = C89) "&amp;"= ""Yes""),OR(F89=""Avg of 5"",F89=""Mean of 3"")),CONCATENATE(C89&amp;"" bör ha cutoff eller c.t.l""),
AND(C89=""6x6 / 7x7"",I89&lt;&gt;"""",REGEXMATCH(TO_TEXT(I89),"" / "")=FALSE),CONCATENATE(""Cutoff måste vara x / y""),
AND(H89&lt;&gt;"""",ISNUMBER(H89)=FALSE),""C.t."&amp;"l. måste vara positivt tal (x)"",
AND(C89&lt;&gt;""6x6 / 7x7"",I89&lt;&gt;"""",ISNUMBER(I89)=FALSE),""Cutoff måste vara positivt tal (x)"",
AND(H89&lt;&gt;"""",FILTER(Info!$E$2:E89, Info!$A$2:A89 = C89) = ""No"",FILTER(Info!$F$2:F89, Info!$A$2:A89 = C89) = ""No""),CONCATEN"&amp;"ATE(C89&amp;"" brukar inte ha c.t.l.""),
AND(I89&lt;&gt;"""",FILTER(Info!$E$2:E89, Info!$A$2:A89 = C89) = ""No"",FILTER(Info!$F$2:F89, Info!$A$2:A89 = C89) = ""No""),CONCATENATE(C89&amp;"" brukar inte ha cutoff""),
AND(H89="""",FILTER(Info!$F$2:F89, Info!$A$2:A89 = C89"&amp;") = ""Yes""),CONCATENATE(C89&amp;"" brukar ha c.t.l.""),
AND(C89&lt;&gt;""6x6 / 7x7"",C89&lt;&gt;""4x4 / 5x5 BLD"",G89&lt;&gt;"""",ISNUMBER(G89)=FALSE),""Time limit måste vara positivt tal (x)"",
J89=""J - Error"",CONCATENATE(""För få deltagare i R1 för ""&amp;COUNTIF($C$7:$C$102,"&amp;"indirect(""C""&amp;row()))&amp;"" rundor""),
J89=""K2 - Error"",CONCATENATE(C89&amp;"" är mer populär - byt i K2!""),
AND(C89&lt;&gt;""6x6 / 7x7"",C89&lt;&gt;""4x4 / 5x5 BLD"",G89&lt;&gt;"""",I89&lt;&gt;"""",G89&lt;=I89),""Time limit måste vara &gt; cutoff"",
AND(C89&lt;&gt;""6x6 / 7x7"",C89&lt;&gt;""4x4 / 5"&amp;"x5 BLD"",H89&lt;&gt;"""",I89&lt;&gt;"""",H89&lt;=I89),""C.t.l. måste vara &gt; cutoff"",
AND(C89&lt;&gt;""3x3 FMC"",C89&lt;&gt;""3x3 MBLD"",J89=""""),CONCATENATE(""Fyll i antal deltagare i J""&amp;row()),
AND(C89="""",OR(E89&lt;&gt;"""",F89&lt;&gt;"""",G89&lt;&gt;"""",H89&lt;&gt;"""",I89&lt;&gt;"""",J89&lt;&gt;"""")),""Skri"&amp;"v ALLTID gren / aktivitet först"",
AND(I89="""",H89="""",J89&lt;&gt;""""),J89,
OR(""3x3 FMC""=C89,""3x3 MBLD""=C89),J89,
AND(I89&lt;&gt;"""",""6x6 / 7x7""=C89),
IFS(ArrayFormula(SUM(IFERROR(SPLIT(I89,"" / ""))))&lt;(Info!$J$6+Info!$J$7)*2/3,CONCATENATE(""Höj helst cutof"&amp;"fs i ""&amp;C89),
ArrayFormula(SUM(IFERROR(SPLIT(I89,"" / ""))))&lt;=(Info!$J$6+Info!$J$7),ROUNDUP(J89*Info!$J$22),
ArrayFormula(SUM(IFERROR(SPLIT(I89,"" / ""))))&lt;=Info!$J$6+Info!$J$7,ROUNDUP(J89*Info!$K$22),
ArrayFormula(SUM(IFERROR(SPLIT(I89,"" / ""))))&lt;=Info!"&amp;"$K$6+Info!$K$7,ROUNDUP(J89*Info!L$22),
ArrayFormula(SUM(IFERROR(SPLIT(I89,"" / ""))))&lt;=Info!$L$6+Info!$L$7,ROUNDUP(J89*Info!$M$22),
ArrayFormula(SUM(IFERROR(SPLIT(I89,"" / ""))))&lt;=Info!$M$6+Info!$M$7,ROUNDUP(J89*Info!$N$22),
ArrayFormula(SUM(IFERROR(SPLIT"&amp;"(I89,"" / ""))))&lt;=(Info!$N$6+Info!$N$7)*3/2,ROUNDUP(J89*Info!$J$26),
ArrayFormula(SUM(IFERROR(SPLIT(I89,"" / ""))))&gt;(Info!$N$6+Info!$N$7)*3/2,CONCATENATE(""Sänk helst cutoffs i ""&amp;C89)),
AND(I89&lt;&gt;"""",FILTER(Info!$E$2:E89, Info!$A$2:A89 = C89) = ""Yes""),"&amp;"
IFS(I89&lt;FILTER(Info!$J$2:J89, Info!$A$2:A89 = C89)*2/3,CONCATENATE(""Höj helst cutoff i ""&amp;C89),
I89&lt;=FILTER(Info!$J$2:J89, Info!$A$2:A89 = C89),ROUNDUP(J89*Info!$J$22),
I89&lt;=FILTER(Info!$K$2:K89, Info!$A$2:A89 = C89),ROUNDUP(J89*Info!$K$22),
I89&lt;=FILTER"&amp;"(Info!$L$2:L89, Info!$A$2:A89 = C89),ROUNDUP(J89*Info!L$22),
I89&lt;=FILTER(Info!$M$2:M89, Info!$A$2:A89 = C89),ROUNDUP(J89*Info!$M$22),
I89&lt;=FILTER(Info!$N$2:N89, Info!$A$2:A89 = C89),ROUNDUP(J89*Info!$N$22),
I89&lt;=FILTER(Info!$N$2:N89, Info!$A$2:A89 = C89)*"&amp;"3/2,ROUNDUP(J89*Info!$J$26),
I89&gt;FILTER(Info!$N$2:N89, Info!$A$2:A89 = C89)*3/2,CONCATENATE(""Sänk helst cutoff i ""&amp;C89)),
AND(H89&lt;&gt;"""",""6x6 / 7x7""=C89),
IFS(H89/3&lt;=(Info!$J$6+Info!$J$7)*2/3,""Höj helst cumulative time limit"",
H89/3&lt;=Info!$J$6+Info!$"&amp;"J$7,ROUNDUP(J89*Info!$J$24),
H89/3&lt;=Info!$K$6+Info!$K$7,ROUNDUP(J89*Info!$K$24),
H89/3&lt;=Info!$L$6+Info!$L$7,ROUNDUP(J89*Info!L$24),
H89/3&lt;=Info!$M$6+Info!$M$7,ROUNDUP(J89*Info!$M$24),
H89/3&lt;=Info!$N$6+Info!$N$7,ROUNDUP(J89*Info!$N$24),
H89/3&lt;=(Info!$N$6+I"&amp;"nfo!$N$7)*3/2,ROUNDUP(J89*Info!$L$26),
H89/3&gt;(Info!$J$6+Info!$J$7)*3/2,""Sänk helst cumulative time limit""),
AND(H89&lt;&gt;"""",FILTER(Info!$F$2:F89, Info!$A$2:A89 = C89) = ""Yes""),
IFS(H89&lt;=FILTER(Info!$J$2:J89, Info!$A$2:A89 = C89)*2/3,CONCATENATE(""Höj he"&amp;"lst c.t.l. i ""&amp;C89),
H89&lt;=FILTER(Info!$J$2:J89, Info!$A$2:A89 = C89),ROUNDUP(J89*Info!$J$24),
H89&lt;=FILTER(Info!$K$2:K89, Info!$A$2:A89 = C89),ROUNDUP(J89*Info!$K$24),
H89&lt;=FILTER(Info!$L$2:L89, Info!$A$2:A89 = C89),ROUNDUP(J89*Info!L$24),
H89&lt;=FILTER(Inf"&amp;"o!$M$2:M89, Info!$A$2:A89 = C89),ROUNDUP(J89*Info!$M$24),
H89&lt;=FILTER(Info!$N$2:N89, Info!$A$2:A89 = C89),ROUNDUP(J89*Info!$N$24),
H89&lt;=FILTER(Info!$N$2:N89, Info!$A$2:A89 = C89)*3/2,ROUNDUP(J89*Info!$L$26),
H89&gt;FILTER(Info!$N$2:N89, Info!$A$2:A89 = C89)*"&amp;"3/2,CONCATENATE(""Sänk helst c.t.l. i ""&amp;C89)),
AND(H89&lt;&gt;"""",FILTER(Info!$F$2:F89, Info!$A$2:A89 = C89) = ""No""),
IFS(H89/AA89&lt;=FILTER(Info!$J$2:J89, Info!$A$2:A89 = C89)*2/3,CONCATENATE(""Höj helst c.t.l. i ""&amp;C89),
H89/AA89&lt;=FILTER(Info!$J$2:J89, Info"&amp;"!$A$2:A89 = C89),ROUNDUP(J89*Info!$J$24),
H89/AA89&lt;=FILTER(Info!$K$2:K89, Info!$A$2:A89 = C89),ROUNDUP(J89*Info!$K$24),
H89/AA89&lt;=FILTER(Info!$L$2:L89, Info!$A$2:A89 = C89),ROUNDUP(J89*Info!L$24),
H89/AA89&lt;=FILTER(Info!$M$2:M89, Info!$A$2:A89 = C89),ROUND"&amp;"UP(J89*Info!$M$24),
H89/AA89&lt;=FILTER(Info!$N$2:N89, Info!$A$2:A89 = C89),ROUNDUP(J89*Info!$N$24),
H89/AA89&lt;=FILTER(Info!$N$2:N89, Info!$A$2:A89 = C89)*3/2,ROUNDUP(J89*Info!$L$26),
H89/AA89&gt;FILTER(Info!$N$2:N89, Info!$A$2:A89 = C89)*3/2,CONCATENATE(""Sänk "&amp;"helst c.t.l. i ""&amp;C89)),
AND(I89="""",H89&lt;&gt;"""",J89&lt;&gt;""""),ROUNDUP(J89*Info!$T$29),
AND(I89&lt;&gt;"""",H89="""",J89&lt;&gt;""""),ROUNDUP(J89*Info!$T$26))"),"")</f>
        <v/>
      </c>
      <c r="L89" s="42">
        <f>IFERROR(__xludf.DUMMYFUNCTION("IFS(C89="""",0,
C89=""3x3 FMC"",Info!$B$9*N89+M89, C89=""3x3 MBLD"",Info!$B$18*N89+M89,
COUNTIF(Info!$A$22:A89,C89)&gt;0,FILTER(Info!$B$22:B89,Info!$A$22:A89=C89)+M89,
AND(C89&lt;&gt;"""",E89=""""),CONCATENATE(""Fyll i E""&amp;row()),
AND(C89&lt;&gt;"""",E89&lt;&gt;"""",E89&lt;&gt;1,E8"&amp;"9&lt;&gt;2,E89&lt;&gt;3,E89&lt;&gt;""Final""),CONCATENATE(""Fel format på E""&amp;row()),
K89=CONCATENATE(""Runda ""&amp;E89&amp;"" i ""&amp;C89&amp;"" finns redan""),CONCATENATE(""Fel i E""&amp;row()),
AND(C89&lt;&gt;"""",F89=""""),CONCATENATE(""Fyll i F""&amp;row()),
K89=CONCATENATE(C89&amp;"" måste ha forma"&amp;"tet ""&amp;FILTER(Info!$D$2:D89, Info!$A$2:A89 = C89)),CONCATENATE(""Fel format på F""&amp;row()),
AND(C89&lt;&gt;"""",D89=1,H89="""",FILTER(Info!$F$2:F89, Info!$A$2:A89 = C89) = ""Yes""),CONCATENATE(""Fyll i H""&amp;row()),
AND(C89&lt;&gt;"""",D89=1,I89="""",FILTER(Info!$E$2:E8"&amp;"9, Info!$A$2:A89 = C89) = ""Yes""),CONCATENATE(""Fyll i I""&amp;row()),
AND(C89&lt;&gt;"""",J89=""""),CONCATENATE(""Fyll i J""&amp;row()),
AND(C89&lt;&gt;"""",K89="""",OR(H89&lt;&gt;"""",I89&lt;&gt;"""")),CONCATENATE(""Fyll i K""&amp;row()),
AND(C89&lt;&gt;"""",K89=""""),CONCATENATE(""Skriv samma"&amp;" i K""&amp;row()&amp;"" som i J""&amp;row()),
AND(OR(C89=""4x4 BLD"",C89=""5x5 BLD"",C89=""4x4 / 5x5 BLD"")=TRUE,V89&lt;=P89),
MROUND(H89*(Info!$T$20-((Info!$T$20-1)/2)*(1-V89/P89))*(1+((J89/K89)-1)*(1-Info!$J$24))*N89+(Info!$T$11/2)+(N89*Info!$T$11)+(N89*Info!$T$14*(O8"&amp;"9-1)),0.01)+M89,
AND(OR(C89=""4x4 BLD"",C89=""5x5 BLD"",C89=""4x4 / 5x5 BLD"")=TRUE,V89&gt;P89),
MROUND((((J89*Z89+K89*(AA89-Z89))*(H89*Info!$T$20/AA89))/X89)*(1+((J89/K89)-1)*(1-Info!$J$24))*(1+(X89-Info!$T$8)/100)+(Info!$T$11/2)+(N89*Info!$T$11)+(N89*Info!"&amp;"$T$14*(O89-1)),0.01)+M89,
AND(C89=""3x3 BLD"",V89&lt;=P89),
MROUND(H89*(Info!$T$23-((Info!$T$23-1)/2)*(1-V89/P89))*(1+((J89/K89)-1)*(1-Info!$J$24))*N89+(Info!$T$11/2)+(N89*Info!$T$11)+(N89*Info!$T$14*(O89-1)),0.01)+M89,
AND(C89=""3x3 BLD"",V89&gt;P89),
MROUND(("&amp;"((J89*Z89+K89*(AA89-Z89))*(H89*Info!$T$23/AA89))/X89)*(1+((J89/K89)-1)*(1-Info!$J$24))*(1+(X89-Info!$T$8)/100)+(Info!$T$11/2)+(N89*Info!$T$11)+(N89*Info!$T$14*(O89-1)),0.01)+M89,
E89=1,MROUND((((J89*Z89+K89*(AA89-Z89))*Y89)/X89)*(1+(X89-Info!$T$8)/100)+(N"&amp;"89*Info!$T$11)+(N89*Info!$T$14*(O89-1)),0.01)+M89,
AND(E89=""Final"",N89=1,FILTER(Info!$G$2:$G$20,Info!$A$2:$A$20=C89)=""Mycket svår""),
MROUND((((J89*Z89+K89*(AA89-Z89))*(Y89*Info!$T$38))/X89)*(1+(X89-Info!$T$8)/100)+(N89*Info!$T$11)+(N89*Info!$T$14*(O89"&amp;"-1)),0.01)+M89,
AND(E89=""Final"",N89=1,FILTER(Info!$G$2:$G$20,Info!$A$2:$A$20=C89)=""Svår""),
MROUND((((J89*Z89+K89*(AA89-Z89))*(Y89*Info!$T$35))/X89)*(1+(X89-Info!$T$8)/100)+(N89*Info!$T$11)+(N89*Info!$T$14*(O89-1)),0.01)+M89,
E89=""Final"",MROUND((((J8"&amp;"9*Z89+K89*(AA89-Z89))*(Y89*Info!$T$5))/X89)*(1+(X89-Info!$T$8)/100)+(N89*Info!$T$11)+(N89*Info!$T$14*(O89-1)),0.01)+M89,
OR(E89=2,E89=3),MROUND((((J89*Z89+K89*(AA89-Z89))*(Y89*Info!$T$2))/X89)*(1+(X89-Info!$T$8)/100)+(N89*Info!$T$11)+(N89*Info!$T$14*(O89-"&amp;"1)),0.01)+M89)"),0.0)</f>
        <v>0</v>
      </c>
      <c r="M89" s="43">
        <f t="shared" si="9"/>
        <v>0</v>
      </c>
      <c r="N89" s="43" t="str">
        <f>IFS(OR(COUNTIF(Info!$A$22:A89,C89)&gt;0,C89=""),"",
OR(C89="4x4 BLD",C89="5x5 BLD",C89="3x3 MBLD",C89="3x3 FMC",C89="4x4 / 5x5 BLD"),1,
AND(E89="Final",Q89="Yes",MAX(1,ROUNDUP(J89/P89))&gt;1),MAX(2,ROUNDUP(J89/P89)),
AND(E89="Final",Q89="No",MAX(1,ROUNDUP(J89/((P89*2)+2.625-Y89*1.5)))&gt;1),MAX(2,ROUNDUP(J89/((P89*2)+2.625-Y89*1.5))),
E89="Final",1,
Q89="Yes",MAX(2,ROUNDUP(J89/P89)),
TRUE,MAX(2,ROUNDUP(J89/((P89*2)+2.625-Y89*1.5))))</f>
        <v/>
      </c>
      <c r="O89" s="43" t="str">
        <f>IFS(OR(COUNTIF(Info!$A$22:A89,C89)&gt;0,C89=""),"",
OR("3x3 MBLD"=C89,"3x3 FMC"=C89)=TRUE,"",
D89=$E$4,$G$6,D89=$K$4,$M$6,D89=$Q$4,$S$6,D89=$W$4,$Y$6,
TRUE,$S$2)</f>
        <v/>
      </c>
      <c r="P89" s="43" t="str">
        <f>IFS(OR(COUNTIF(Info!$A$22:A89,C89)&gt;0,C89=""),"",
OR("3x3 MBLD"=C89,"3x3 FMC"=C89)=TRUE,"",
D89=$E$4,$E$6,D89=$K$4,$K$6,D89=$Q$4,$Q$6,D89=$W$4,$W$6,
TRUE,$Q$2)</f>
        <v/>
      </c>
      <c r="Q89" s="44" t="str">
        <f>IFS(OR(COUNTIF(Info!$A$22:A89,C89)&gt;0,C89=""),"",
OR("3x3 MBLD"=C89,"3x3 FMC"=C89)=TRUE,"",
D89=$E$4,$I$6,D89=$K$4,$O$6,D89=$Q$4,$U$6,D89=$W$4,$AA$6,
TRUE,$U$2)</f>
        <v/>
      </c>
      <c r="R89" s="65" t="str">
        <f>IFERROR(__xludf.DUMMYFUNCTION("IF(C89="""","""",IFERROR(FILTER(Info!$B$22:B89,Info!$A$22:A89=C89)+M89,""?""))"),"")</f>
        <v/>
      </c>
      <c r="S89" s="66" t="str">
        <f>IFS(OR(COUNTIF(Info!$A$22:A89,C89)&gt;0,C89=""),"",
AND(H89="",I89=""),J89,
TRUE,"?")</f>
        <v/>
      </c>
      <c r="T89" s="65" t="str">
        <f>IFS(OR(COUNTIF(Info!$A$22:A89,C89)&gt;0,C89=""),"",
AND(L89&lt;&gt;0,OR(R89="?",R89="")),"Fyll i R-kolumnen",
OR(C89="3x3 FMC",C89="3x3 MBLD"),R89,
AND(L89&lt;&gt;0,OR(S89="?",S89="")),"Fyll i S-kolumnen",
OR(COUNTIF(Info!$A$22:A89,C89)&gt;0,C89=""),"",
TRUE,Y89*R89/L89)</f>
        <v/>
      </c>
      <c r="U89" s="65"/>
      <c r="V89" s="67" t="str">
        <f>IFS(OR(COUNTIF(Info!$A$22:A89,C89)&gt;0,C89=""),"",
OR("3x3 MBLD"=C89,"3x3 FMC"=C89)=TRUE,"",
TRUE,MROUND((J89/N89),0.01))</f>
        <v/>
      </c>
      <c r="W89" s="68" t="str">
        <f>IFS(OR(COUNTIF(Info!$A$22:A89,C89)&gt;0,C89=""),"",
TRUE,L89/N89)</f>
        <v/>
      </c>
      <c r="X89" s="67" t="str">
        <f>IFS(OR(COUNTIF(Info!$A$22:A89,C89)&gt;0,C89=""),"",
OR("3x3 MBLD"=C89,"3x3 FMC"=C89)=TRUE,"",
OR(C89="4x4 BLD",C89="5x5 BLD",C89="4x4 / 5x5 BLD",AND(C89="3x3 BLD",H89&lt;&gt;""))=TRUE,MIN(V89,P89),
TRUE,MIN(P89,V89,MROUND(((V89*2/3)+((Y89-1.625)/2)),0.01)))</f>
        <v/>
      </c>
      <c r="Y89" s="68" t="str">
        <f>IFERROR(__xludf.DUMMYFUNCTION("IFS(OR(COUNTIF(Info!$A$22:A89,C89)&gt;0,C89=""""),"""",
FILTER(Info!$F$2:F89, Info!$A$2:A89 = C89) = ""Yes"",H89/AA89,
""3x3 FMC""=C89,Info!$B$9,""3x3 MBLD""=C89,Info!$B$18,
AND(E89=1,I89="""",H89="""",Q89=""No"",G89&gt;SUMIF(Info!$A$2:A89,C89,Info!$B$2:B89)*1."&amp;"5),
MIN(SUMIF(Info!$A$2:A89,C89,Info!$B$2:B89)*1.1,SUMIF(Info!$A$2:A89,C89,Info!$B$2:B89)*(1.15-(0.15*(SUMIF(Info!$A$2:A89,C89,Info!$B$2:B89)*1.5)/G89))),
AND(E89=1,I89="""",H89="""",Q89=""Yes"",G89&gt;SUMIF(Info!$A$2:A89,C89,Info!$C$2:C89)*1.5),
MIN(SUMIF(I"&amp;"nfo!$A$2:A89,C89,Info!$C$2:C89)*1.1,SUMIF(Info!$A$2:A89,C89,Info!$C$2:C89)*(1.15-(0.15*(SUMIF(Info!$A$2:A89,C89,Info!$C$2:C89)*1.5)/G89))),
Q89=""No"",SUMIF(Info!$A$2:A89,C89,Info!$B$2:B89),
Q89=""Yes"",SUMIF(Info!$A$2:A89,C89,Info!$C$2:C89))"),"")</f>
        <v/>
      </c>
      <c r="Z89" s="67" t="str">
        <f>IFS(OR(COUNTIF(Info!$A$22:A89,C89)&gt;0,C89=""),"",
AND(OR("3x3 FMC"=C89,"3x3 MBLD"=C89),I89&lt;&gt;""),1,
AND(OR(H89&lt;&gt;"",I89&lt;&gt;""),F89="Avg of 5"),2,
F89="Avg of 5",AA89,
AND(OR(H89&lt;&gt;"",I89&lt;&gt;""),F89="Mean of 3",C89="6x6 / 7x7"),2,
AND(OR(H89&lt;&gt;"",I89&lt;&gt;""),F89="Mean of 3"),1,
F89="Mean of 3",AA89,
AND(OR(H89&lt;&gt;"",I89&lt;&gt;""),F89="Best of 3",C89="4x4 / 5x5 BLD"),2,
AND(OR(H89&lt;&gt;"",I89&lt;&gt;""),F89="Best of 3"),1,
F89="Best of 2",AA89,
F89="Best of 1",AA89)</f>
        <v/>
      </c>
      <c r="AA89" s="67" t="str">
        <f>IFS(OR(COUNTIF(Info!$A$22:A89,C89)&gt;0,C89=""),"",
AND(OR("3x3 MBLD"=C89,"3x3 FMC"=C89),F89="Best of 1"=TRUE),1,
AND(OR("3x3 MBLD"=C89,"3x3 FMC"=C89),F89="Best of 2"=TRUE),2,
AND(OR("3x3 MBLD"=C89,"3x3 FMC"=C89),OR(F89="Best of 3",F89="Mean of 3")=TRUE),3,
AND(F89="Mean of 3",C89="6x6 / 7x7"),6,
AND(F89="Best of 3",C89="4x4 / 5x5 BLD"),6,
F89="Avg of 5",5,F89="Mean of 3",3,F89="Best of 3",3,F89="Best of 2",2,F89="Best of 1",1)</f>
        <v/>
      </c>
      <c r="AB89" s="69"/>
    </row>
    <row r="90" ht="15.75" customHeight="1">
      <c r="A90" s="62">
        <f>IFERROR(__xludf.DUMMYFUNCTION("IFS(indirect(""A""&amp;row()-1)=""Start"",TIME(indirect(""A""&amp;row()-2),indirect(""B""&amp;row()-2),0),
$O$2=""No"",TIME(0,($A$6*60+$B$6)+CEILING(SUM($L$7:indirect(""L""&amp;row()-1)),5),0),
D90=$E$2,TIME(0,($A$6*60+$B$6)+CEILING(SUM(IFERROR(FILTER($L$7:indirect(""L"""&amp;"&amp;row()-1),REGEXMATCH($D$7:indirect(""D""&amp;row()-1),$E$2)),0)),5),0),
TRUE,""=time(hh;mm;ss)"")"),0.3541666666666665)</f>
        <v>0.3541666667</v>
      </c>
      <c r="B90" s="63">
        <f>IFERROR(__xludf.DUMMYFUNCTION("IFS($O$2=""No"",TIME(0,($A$6*60+$B$6)+CEILING(SUM($L$7:indirect(""L""&amp;row())),5),0),
D90=$E$2,TIME(0,($A$6*60+$B$6)+CEILING(SUM(FILTER($L$7:indirect(""L""&amp;row()),REGEXMATCH($D$7:indirect(""D""&amp;row()),$E$2))),5),0),
A90=""=time(hh;mm;ss)"",CONCATENATE(""Sk"&amp;"riv tid i A""&amp;row()),
AND(A90&lt;&gt;"""",A90&lt;&gt;""=time(hh;mm;ss)""),A90+TIME(0,CEILING(indirect(""L""&amp;row()),5),0))"),0.3541666666666665)</f>
        <v>0.3541666667</v>
      </c>
      <c r="C90" s="37"/>
      <c r="D90" s="64" t="str">
        <f t="shared" si="10"/>
        <v>Stora salen</v>
      </c>
      <c r="E90" s="64" t="str">
        <f>IFERROR(__xludf.DUMMYFUNCTION("IFS(COUNTIF(Info!$A$22:A90,C90)&gt;0,"""",
AND(OR(""3x3 FMC""=C90,""3x3 MBLD""=C90),COUNTIF($C$7:indirect(""C""&amp;row()),indirect(""C""&amp;row()))&gt;=13),""E - Error"",
AND(OR(""3x3 FMC""=C90,""3x3 MBLD""=C90),COUNTIF($C$7:indirect(""C""&amp;row()),indirect(""C""&amp;row()"&amp;"))=12),""Final - A3"",
AND(OR(""3x3 FMC""=C90,""3x3 MBLD""=C90),COUNTIF($C$7:indirect(""C""&amp;row()),indirect(""C""&amp;row()))=11),""Final - A2"",
AND(OR(""3x3 FMC""=C90,""3x3 MBLD""=C90),COUNTIF($C$7:indirect(""C""&amp;row()),indirect(""C""&amp;row()))=10),""Final - "&amp;"A1"",
AND(OR(""3x3 FMC""=C90,""3x3 MBLD""=C90),COUNTIF($C$7:indirect(""C""&amp;row()),indirect(""C""&amp;row()))=9,
COUNTIF($C$7:$C$102,indirect(""C""&amp;row()))&gt;9),""R3 - A3"",
AND(OR(""3x3 FMC""=C90,""3x3 MBLD""=C90),COUNTIF($C$7:indirect(""C""&amp;row()),indirect(""C"&amp;"""&amp;row()))=9,
COUNTIF($C$7:$C$102,indirect(""C""&amp;row()))&lt;=9),""Final - A3"",
AND(OR(""3x3 FMC""=C90,""3x3 MBLD""=C90),COUNTIF($C$7:indirect(""C""&amp;row()),indirect(""C""&amp;row()))=8,
COUNTIF($C$7:$C$102,indirect(""C""&amp;row()))&gt;9),""R3 - A2"",
AND(OR(""3x3 FMC"&amp;"""=C90,""3x3 MBLD""=C90),COUNTIF($C$7:indirect(""C""&amp;row()),indirect(""C""&amp;row()))=8,
COUNTIF($C$7:$C$102,indirect(""C""&amp;row()))&lt;=9),""Final - A2"",
AND(OR(""3x3 FMC""=C90,""3x3 MBLD""=C90),COUNTIF($C$7:indirect(""C""&amp;row()),indirect(""C""&amp;row()))=7,
COUN"&amp;"TIF($C$7:$C$102,indirect(""C""&amp;row()))&gt;9),""R3 - A1"",
AND(OR(""3x3 FMC""=C90,""3x3 MBLD""=C90),COUNTIF($C$7:indirect(""C""&amp;row()),indirect(""C""&amp;row()))=7,
COUNTIF($C$7:$C$102,indirect(""C""&amp;row()))&lt;=9),""Final - A1"",
AND(OR(""3x3 FMC""=C90,""3x3 MBLD"""&amp;"=C90),COUNTIF($C$7:indirect(""C""&amp;row()),indirect(""C""&amp;row()))=6,
COUNTIF($C$7:$C$102,indirect(""C""&amp;row()))&gt;6),""R2 - A3"",
AND(OR(""3x3 FMC""=C90,""3x3 MBLD""=C90),COUNTIF($C$7:indirect(""C""&amp;row()),indirect(""C""&amp;row()))=6,
COUNTIF($C$7:$C$102,indirec"&amp;"t(""C""&amp;row()))&lt;=6),""Final - A3"",
AND(OR(""3x3 FMC""=C90,""3x3 MBLD""=C90),COUNTIF($C$7:indirect(""C""&amp;row()),indirect(""C""&amp;row()))=5,
COUNTIF($C$7:$C$102,indirect(""C""&amp;row()))&gt;6),""R2 - A2"",
AND(OR(""3x3 FMC""=C90,""3x3 MBLD""=C90),COUNTIF($C$7:indi"&amp;"rect(""C""&amp;row()),indirect(""C""&amp;row()))=5,
COUNTIF($C$7:$C$102,indirect(""C""&amp;row()))&lt;=6),""Final - A2"",
AND(OR(""3x3 FMC""=C90,""3x3 MBLD""=C90),COUNTIF($C$7:indirect(""C""&amp;row()),indirect(""C""&amp;row()))=4,
COUNTIF($C$7:$C$102,indirect(""C""&amp;row()))&gt;6),"&amp;"""R2 - A1"",
AND(OR(""3x3 FMC""=C90,""3x3 MBLD""=C90),COUNTIF($C$7:indirect(""C""&amp;row()),indirect(""C""&amp;row()))=4,
COUNTIF($C$7:$C$102,indirect(""C""&amp;row()))&lt;=6),""Final - A1"",
AND(OR(""3x3 FMC""=C90,""3x3 MBLD""=C90),COUNTIF($C$7:indirect(""C""&amp;row()),i"&amp;"ndirect(""C""&amp;row()))=3),""R1 - A3"",
AND(OR(""3x3 FMC""=C90,""3x3 MBLD""=C90),COUNTIF($C$7:indirect(""C""&amp;row()),indirect(""C""&amp;row()))=2),""R1 - A2"",
AND(OR(""3x3 FMC""=C90,""3x3 MBLD""=C90),COUNTIF($C$7:indirect(""C""&amp;row()),indirect(""C""&amp;row()))=1),"&amp;"""R1 -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90, Info!$A$2:A90 = C90),ROUNDUP((FILTER(Info!$H$2:H90,Info!$A$2:A90=C90)/FILTER(Info!$H$2:H90,Info!$A$2:A90=$K$2))*$I$2)&gt;99),3,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90, Info!$A$2:A90 = C90),ROUNDUP((FILTER(Info!$H$2:H90,Info!$A$2:A90=C90)/FILTER(Info!$H$2:H90,Info!$A$2:A90=$K$2))*$I$2)&gt;15),2,
AND(COUNTIF($C$7:indirect(""C""&amp;row()),indirect(""C""&amp;row()))=2,COUNTIF($C$7:$C$102,indirect(""C""&amp;row()))=COUNTIF($"&amp;"C$7:indirect(""C""&amp;row()),indirect(""C""&amp;row()))),""Final"",
COUNTIF($C$7:indirect(""C""&amp;row()),indirect(""C""&amp;row()))=1,1,
COUNTIF($C$7:indirect(""C""&amp;row()),indirect(""C""&amp;row()))=0,"""")"),"")</f>
        <v/>
      </c>
      <c r="F90" s="64" t="str">
        <f>IFERROR(__xludf.DUMMYFUNCTION("IFS(C90="""","""",
AND(C90=""3x3 FMC"",MOD(COUNTIF($C$7:indirect(""C""&amp;row()),indirect(""C""&amp;row())),3)=0),""Mean of 3"",
AND(C90=""3x3 MBLD"",MOD(COUNTIF($C$7:indirect(""C""&amp;row()),indirect(""C""&amp;row())),3)=0),""Best of 3"",
AND(C90=""3x3 FMC"",MOD(COUNT"&amp;"IF($C$7:indirect(""C""&amp;row()),indirect(""C""&amp;row())),3)=2,
COUNTIF($C$7:$C$102,indirect(""C""&amp;row()))&lt;=COUNTIF($C$7:indirect(""C""&amp;row()),indirect(""C""&amp;row()))),""Best of 2"",
AND(C90=""3x3 FMC"",MOD(COUNTIF($C$7:indirect(""C""&amp;row()),indirect(""C""&amp;row("&amp;"))),3)=2,
COUNTIF($C$7:$C$102,indirect(""C""&amp;row()))&gt;COUNTIF($C$7:indirect(""C""&amp;row()),indirect(""C""&amp;row()))),""Mean of 3"",
AND(C90=""3x3 MBLD"",MOD(COUNTIF($C$7:indirect(""C""&amp;row()),indirect(""C""&amp;row())),3)=2,
COUNTIF($C$7:$C$102,indirect(""C""&amp;row("&amp;")))&lt;=COUNTIF($C$7:indirect(""C""&amp;row()),indirect(""C""&amp;row()))),""Best of 2"",
AND(C90=""3x3 MBLD"",MOD(COUNTIF($C$7:indirect(""C""&amp;row()),indirect(""C""&amp;row())),3)=2,
COUNTIF($C$7:$C$102,indirect(""C""&amp;row()))&gt;COUNTIF($C$7:indirect(""C""&amp;row()),indirect("&amp;"""C""&amp;row()))),""Best of 3"",
AND(C90=""3x3 FMC"",MOD(COUNTIF($C$7:indirect(""C""&amp;row()),indirect(""C""&amp;row())),3)=1,
COUNTIF($C$7:$C$102,indirect(""C""&amp;row()))&lt;=COUNTIF($C$7:indirect(""C""&amp;row()),indirect(""C""&amp;row()))),""Best of 1"",
AND(C90=""3x3 FMC"""&amp;",MOD(COUNTIF($C$7:indirect(""C""&amp;row()),indirect(""C""&amp;row())),3)=1,
COUNTIF($C$7:$C$102,indirect(""C""&amp;row()))=COUNTIF($C$7:indirect(""C""&amp;row()),indirect(""C""&amp;row()))+1),""Best of 2"",
AND(C90=""3x3 FMC"",MOD(COUNTIF($C$7:indirect(""C""&amp;row()),indirect"&amp;"(""C""&amp;row())),3)=1,
COUNTIF($C$7:$C$102,indirect(""C""&amp;row()))&gt;COUNTIF($C$7:indirect(""C""&amp;row()),indirect(""C""&amp;row()))),""Mean of 3"",
AND(C90=""3x3 MBLD"",MOD(COUNTIF($C$7:indirect(""C""&amp;row()),indirect(""C""&amp;row())),3)=1,
COUNTIF($C$7:$C$102,indirect"&amp;"(""C""&amp;row()))&lt;=COUNTIF($C$7:indirect(""C""&amp;row()),indirect(""C""&amp;row()))),""Best of 1"",
AND(C90=""3x3 MBLD"",MOD(COUNTIF($C$7:indirect(""C""&amp;row()),indirect(""C""&amp;row())),3)=1,
COUNTIF($C$7:$C$102,indirect(""C""&amp;row()))=COUNTIF($C$7:indirect(""C""&amp;row()"&amp;"),indirect(""C""&amp;row()))+1),""Best of 2"",
AND(C90=""3x3 MBLD"",MOD(COUNTIF($C$7:indirect(""C""&amp;row()),indirect(""C""&amp;row())),3)=1,
COUNTIF($C$7:$C$102,indirect(""C""&amp;row()))&gt;COUNTIF($C$7:indirect(""C""&amp;row()),indirect(""C""&amp;row()))),""Best of 3"",
TRUE,("&amp;"IFERROR(FILTER(Info!$D$2:D90, Info!$A$2:A90 = C90), """")))"),"")</f>
        <v/>
      </c>
      <c r="G90" s="64" t="str">
        <f>IFERROR(__xludf.DUMMYFUNCTION("IFS(OR(COUNTIF(Info!$A$22:A90,C90)&gt;0,C90=""""),"""",
OR(""3x3 MBLD""=C90,""3x3 FMC""=C90),60,
AND(E90=1,FILTER(Info!$F$2:F90, Info!$A$2:A90 = C90) = ""No""),FILTER(Info!$P$2:P90, Info!$A$2:A90 = C90),
AND(E90=2,FILTER(Info!$F$2:F90, Info!$A$2:A90 = C90) ="&amp;" ""No""),FILTER(Info!$Q$2:Q90, Info!$A$2:A90 = C90),
AND(E90=3,FILTER(Info!$F$2:F90, Info!$A$2:A90 = C90) = ""No""),FILTER(Info!$R$2:R90, Info!$A$2:A90 = C90),
AND(E90=""Final"",FILTER(Info!$F$2:F90, Info!$A$2:A90 = C90) = ""No""),FILTER(Info!$S$2:S90, In"&amp;"fo!$A$2:A90 = C90),
FILTER(Info!$F$2:F90, Info!$A$2:A90 = C90) = ""Yes"","""")"),"")</f>
        <v/>
      </c>
      <c r="H90" s="64" t="str">
        <f>IFERROR(__xludf.DUMMYFUNCTION("IFS(OR(COUNTIF(Info!$A$22:A90,C90)&gt;0,C90=""""),"""",
OR(""3x3 MBLD""=C90,""3x3 FMC""=C90)=TRUE,"""",
FILTER(Info!$F$2:F90, Info!$A$2:A90 = C90) = ""Yes"",FILTER(Info!$O$2:O90, Info!$A$2:A90 = C90),
FILTER(Info!$F$2:F90, Info!$A$2:A90 = C90) = ""No"",IF(G9"&amp;"0="""",FILTER(Info!$O$2:O90, Info!$A$2:A90 = C90),""""))"),"")</f>
        <v/>
      </c>
      <c r="I90" s="64" t="str">
        <f>IFERROR(__xludf.DUMMYFUNCTION("IFS(OR(COUNTIF(Info!$A$22:A90,C90)&gt;0,C90="""",H90&lt;&gt;""""),"""",
AND(E90&lt;&gt;1,E90&lt;&gt;""R1 - A1"",E90&lt;&gt;""R1 - A2"",E90&lt;&gt;""R1 - A3""),"""",
FILTER(Info!$E$2:E90, Info!$A$2:A90 = C90) = ""Yes"",IF(H90="""",FILTER(Info!$L$2:L90, Info!$A$2:A90 = C90),""""),
FILTER(I"&amp;"nfo!$E$2:E90, Info!$A$2:A90 = C90) = ""No"","""")"),"")</f>
        <v/>
      </c>
      <c r="J90" s="64" t="str">
        <f>IFERROR(__xludf.DUMMYFUNCTION("IFS(OR(COUNTIF(Info!$A$22:A90,C90)&gt;0,C90="""",""3x3 MBLD""=C90,""3x3 FMC""=C90),"""",
AND(E90=1,FILTER(Info!$H$2:H90,Info!$A$2:A90 = C90)&lt;=FILTER(Info!$H$2:H90,Info!$A$2:A90=$K$2)),
ROUNDUP((FILTER(Info!$H$2:H90,Info!$A$2:A90 = C90)/FILTER(Info!$H$2:H90,I"&amp;"nfo!$A$2:A90=$K$2))*$I$2),
AND(E90=1,FILTER(Info!$H$2:H90,Info!$A$2:A90 = C90)&gt;FILTER(Info!$H$2:H90,Info!$A$2:A90=$K$2)),""K2 - Error"",
AND(E90=2,FILTER($J$7:indirect(""J""&amp;row()-1),$C$7:indirect(""C""&amp;row()-1)=C90)&lt;=7),""J - Error"",
E90=2,FLOOR(FILTER("&amp;"$J$7:indirect(""J""&amp;row()-1),$C$7:indirect(""C""&amp;row()-1)=C90)*Info!$T$32),
AND(E90=3,FILTER($J$7:indirect(""J""&amp;row()-1),$C$7:indirect(""C""&amp;row()-1)=C90)&lt;=15),""J - Error"",
E90=3,FLOOR(Info!$T$32*FLOOR(FILTER($J$7:indirect(""J""&amp;row()-1),$C$7:indirect("&amp;"""C""&amp;row()-1)=C90)*Info!$T$32)),
AND(E90=""Final"",COUNTIF($C$7:$C$102,C90)=2,FILTER($J$7:indirect(""J""&amp;row()-1),$C$7:indirect(""C""&amp;row()-1)=C90)&lt;=7),""J - Error"",
AND(E90=""Final"",COUNTIF($C$7:$C$102,C90)=2),
MIN(P90,FLOOR(FILTER($J$7:indirect(""J"""&amp;"&amp;row()-1),$C$7:indirect(""C""&amp;row()-1)=C90)*Info!$T$32)),
AND(E90=""Final"",COUNTIF($C$7:$C$102,C90)=3,FILTER($J$7:indirect(""J""&amp;row()-1),$C$7:indirect(""C""&amp;row()-1)=C90)&lt;=15),""J - Error"",
AND(E90=""Final"",COUNTIF($C$7:$C$102,C90)=3),
MIN(P90,FLOOR(I"&amp;"nfo!$T$32*FLOOR(FILTER($J$7:indirect(""J""&amp;row()-1),$C$7:indirect(""C""&amp;row()-1)=C90)*Info!$T$32))),
AND(E90=""Final"",COUNTIF($C$7:$C$102,C90)&gt;=4,FILTER($J$7:indirect(""J""&amp;row()-1),$C$7:indirect(""C""&amp;row()-1)=C90)&lt;=99),""J - Error"",
AND(E90=""Final"","&amp;"COUNTIF($C$7:$C$102,C90)&gt;=4),
MIN(P90,FLOOR(Info!$T$32*FLOOR(Info!$T$32*FLOOR(FILTER($J$7:indirect(""J""&amp;row()-1),$C$7:indirect(""C""&amp;row()-1)=C90)*Info!$T$32)))))"),"")</f>
        <v/>
      </c>
      <c r="K90" s="41" t="str">
        <f>IFERROR(__xludf.DUMMYFUNCTION("IFS(AND(indirect(""D""&amp;row()+2)&lt;&gt;$E$2,indirect(""D""&amp;row()+1)=""""),CONCATENATE(""Tom rad! Kopiera hela rad ""&amp;row()&amp;"" dit""),
AND(indirect(""D""&amp;row()-1)&lt;&gt;""Rum"",indirect(""D""&amp;row()-1)=""""),CONCATENATE(""Tom rad! Kopiera hela rad ""&amp;row()&amp;"" dit""),
"&amp;"C90="""","""",
COUNTIF(Info!$A$22:A90,$K$2)&gt;0,""Det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OR(AND(D90&lt;&gt;$E$2,D90&lt;&gt;$E$4,D90&lt;&gt;$K$4,D90&lt;&gt;$Q$4),D90="&amp;"""""),CONCATENATE(""Rum: ""&amp;D90&amp;"" finns ej, byt i D""&amp;row()),
AND(indirect(""D""&amp;row()-1)=""Rum"",C90=""""),CONCATENATE(""För att börja: skriv i cell C""&amp;row()),
AND(C90=""Paus"",M90&lt;=0),CONCATENATE(""Skriv pausens längd i M""&amp;row()),
OR(COUNTIF(Info!$A$"&amp;"22:A90,C90)&gt;0,C90=""""),"""",
AND(D90&lt;&gt;$E$2,$O$2=""Yes"",A90=""=time(hh;mm;ss)""),CONCATENATE(""Skriv starttid för ""&amp;C90&amp;"" i A""&amp;row()),
E90=""E - Error"",CONCATENATE(""För många ""&amp;C90&amp;"" rundor!""),
AND(C90&lt;&gt;""3x3 FMC"",C90&lt;&gt;""3x3 MBLD"",E90&lt;&gt;1,E90&lt;&gt;"&amp;"""Final"",IFERROR(FILTER($E$7:indirect(""E""&amp;row()-1),
$E$7:indirect(""E""&amp;row()-1)=E90-1,$C$7:indirect(""C""&amp;row()-1)=C90))=FALSE),CONCATENATE(""Kan ej vara R""&amp;E90&amp;"", saknar R""&amp;(E90-1)),
AND(indirect(""E""&amp;row()-1)&lt;&gt;""Omgång"",IFERROR(FILTER($E$7:indi"&amp;"rect(""E""&amp;row()-1),
$E$7:indirect(""E""&amp;row()-1)=E90,$C$7:indirect(""C""&amp;row()-1)=C90)=E90)=TRUE),CONCATENATE(""Runda ""&amp;E90&amp;"" i ""&amp;C90&amp;"" finns redan""),
AND(C90&lt;&gt;""3x3 BLD"",C90&lt;&gt;""4x4 BLD"",C90&lt;&gt;""5x5 BLD"",C90&lt;&gt;""4x4 / 5x5 BLD"",OR(E90=2,E90=3,E90="&amp;"""Final""),H90&lt;&gt;""""),CONCATENATE(E90&amp;""-rundor brukar ej ha c.t.l.""),
AND(OR(E90=2,E90=3,E90=""Final""),I90&lt;&gt;""""),CONCATENATE(E90&amp;""-rundor brukar ej ha cutoff""),
AND(OR(C90=""3x3 FMC"",C90=""3x3 MBLD""),OR(E90=1,E90=2,E90=3,E90=""Final"")),CONCATENAT"&amp;"E(C90&amp;""s omgång är Rx - Ax""),
AND(C90&lt;&gt;""3x3 MBLD"",C90&lt;&gt;""3x3 FMC"",FILTER(Info!$D$2:D90, Info!$A$2:A90 = C90)&lt;&gt;F90),CONCATENATE(C90&amp;"" måste ha formatet ""&amp;FILTER(Info!$D$2:D90, Info!$A$2:A90 = C90)),
AND(C90=""3x3 MBLD"",OR(F90=""Avg of 5"",F90=""Mea"&amp;"n of 3"")),CONCATENATE(""Ogiltigt format för ""&amp;C90),
AND(C90=""3x3 FMC"",OR(F90=""Avg of 5"",F90=""Best of 3"")),CONCATENATE(""Ogiltigt format för ""&amp;C90),
AND(OR(F90=""Best of 1"",F90=""Best of 2"",F90=""Best of 3""),I90&lt;&gt;""""),CONCATENATE(F90&amp;""-rundor"&amp;" får ej ha cutoff""),
AND(OR(C90=""3x3 FMC"",C90=""3x3 MBLD""),G90&lt;&gt;60),CONCATENATE(C90&amp;"" måste ha time limit: 60""),
AND(OR(C90=""3x3 FMC"",C90=""3x3 MBLD""),H90&lt;&gt;""""),CONCATENATE(C90&amp;"" kan inte ha c.t.l.""),
AND(G90&lt;&gt;"""",H90&lt;&gt;""""),""Välj time limit"&amp;" ELLER c.t.l"",
AND(C90=""6x6 / 7x7"",G90="""",H90=""""),""Sätt time limit (x / y) eller c.t.l (z)"",
AND(G90="""",H90=""""),""Sätt en time limit eller c.t.l"",
AND(OR(C90=""6x6 / 7x7"",C90=""4x4 / 5x5 BLD""),G90&lt;&gt;"""",REGEXMATCH(TO_TEXT(G90),"" / "")=FAL"&amp;"SE),CONCATENATE(""Time limit måste vara x / y""),
AND(H90&lt;&gt;"""",I90&lt;&gt;""""),CONCATENATE(C90&amp;"" brukar ej ha cutoff OCH c.t.l""),
AND(E90=1,H90="""",I90="""",OR(FILTER(Info!$E$2:E90, Info!$A$2:A90 = C90) = ""Yes"",FILTER(Info!$F$2:F90, Info!$A$2:A90 = C90) "&amp;"= ""Yes""),OR(F90=""Avg of 5"",F90=""Mean of 3"")),CONCATENATE(C90&amp;"" bör ha cutoff eller c.t.l""),
AND(C90=""6x6 / 7x7"",I90&lt;&gt;"""",REGEXMATCH(TO_TEXT(I90),"" / "")=FALSE),CONCATENATE(""Cutoff måste vara x / y""),
AND(H90&lt;&gt;"""",ISNUMBER(H90)=FALSE),""C.t."&amp;"l. måste vara positivt tal (x)"",
AND(C90&lt;&gt;""6x6 / 7x7"",I90&lt;&gt;"""",ISNUMBER(I90)=FALSE),""Cutoff måste vara positivt tal (x)"",
AND(H90&lt;&gt;"""",FILTER(Info!$E$2:E90, Info!$A$2:A90 = C90) = ""No"",FILTER(Info!$F$2:F90, Info!$A$2:A90 = C90) = ""No""),CONCATEN"&amp;"ATE(C90&amp;"" brukar inte ha c.t.l.""),
AND(I90&lt;&gt;"""",FILTER(Info!$E$2:E90, Info!$A$2:A90 = C90) = ""No"",FILTER(Info!$F$2:F90, Info!$A$2:A90 = C90) = ""No""),CONCATENATE(C90&amp;"" brukar inte ha cutoff""),
AND(H90="""",FILTER(Info!$F$2:F90, Info!$A$2:A90 = C90"&amp;") = ""Yes""),CONCATENATE(C90&amp;"" brukar ha c.t.l.""),
AND(C90&lt;&gt;""6x6 / 7x7"",C90&lt;&gt;""4x4 / 5x5 BLD"",G90&lt;&gt;"""",ISNUMBER(G90)=FALSE),""Time limit måste vara positivt tal (x)"",
J90=""J - Error"",CONCATENATE(""För få deltagare i R1 för ""&amp;COUNTIF($C$7:$C$102,"&amp;"indirect(""C""&amp;row()))&amp;"" rundor""),
J90=""K2 - Error"",CONCATENATE(C90&amp;"" är mer populär - byt i K2!""),
AND(C90&lt;&gt;""6x6 / 7x7"",C90&lt;&gt;""4x4 / 5x5 BLD"",G90&lt;&gt;"""",I90&lt;&gt;"""",G90&lt;=I90),""Time limit måste vara &gt; cutoff"",
AND(C90&lt;&gt;""6x6 / 7x7"",C90&lt;&gt;""4x4 / 5"&amp;"x5 BLD"",H90&lt;&gt;"""",I90&lt;&gt;"""",H90&lt;=I90),""C.t.l. måste vara &gt; cutoff"",
AND(C90&lt;&gt;""3x3 FMC"",C90&lt;&gt;""3x3 MBLD"",J90=""""),CONCATENATE(""Fyll i antal deltagare i J""&amp;row()),
AND(C90="""",OR(E90&lt;&gt;"""",F90&lt;&gt;"""",G90&lt;&gt;"""",H90&lt;&gt;"""",I90&lt;&gt;"""",J90&lt;&gt;"""")),""Skri"&amp;"v ALLTID gren / aktivitet först"",
AND(I90="""",H90="""",J90&lt;&gt;""""),J90,
OR(""3x3 FMC""=C90,""3x3 MBLD""=C90),J90,
AND(I90&lt;&gt;"""",""6x6 / 7x7""=C90),
IFS(ArrayFormula(SUM(IFERROR(SPLIT(I90,"" / ""))))&lt;(Info!$J$6+Info!$J$7)*2/3,CONCATENATE(""Höj helst cutof"&amp;"fs i ""&amp;C90),
ArrayFormula(SUM(IFERROR(SPLIT(I90,"" / ""))))&lt;=(Info!$J$6+Info!$J$7),ROUNDUP(J90*Info!$J$22),
ArrayFormula(SUM(IFERROR(SPLIT(I90,"" / ""))))&lt;=Info!$J$6+Info!$J$7,ROUNDUP(J90*Info!$K$22),
ArrayFormula(SUM(IFERROR(SPLIT(I90,"" / ""))))&lt;=Info!"&amp;"$K$6+Info!$K$7,ROUNDUP(J90*Info!L$22),
ArrayFormula(SUM(IFERROR(SPLIT(I90,"" / ""))))&lt;=Info!$L$6+Info!$L$7,ROUNDUP(J90*Info!$M$22),
ArrayFormula(SUM(IFERROR(SPLIT(I90,"" / ""))))&lt;=Info!$M$6+Info!$M$7,ROUNDUP(J90*Info!$N$22),
ArrayFormula(SUM(IFERROR(SPLIT"&amp;"(I90,"" / ""))))&lt;=(Info!$N$6+Info!$N$7)*3/2,ROUNDUP(J90*Info!$J$26),
ArrayFormula(SUM(IFERROR(SPLIT(I90,"" / ""))))&gt;(Info!$N$6+Info!$N$7)*3/2,CONCATENATE(""Sänk helst cutoffs i ""&amp;C90)),
AND(I90&lt;&gt;"""",FILTER(Info!$E$2:E90, Info!$A$2:A90 = C90) = ""Yes""),"&amp;"
IFS(I90&lt;FILTER(Info!$J$2:J90, Info!$A$2:A90 = C90)*2/3,CONCATENATE(""Höj helst cutoff i ""&amp;C90),
I90&lt;=FILTER(Info!$J$2:J90, Info!$A$2:A90 = C90),ROUNDUP(J90*Info!$J$22),
I90&lt;=FILTER(Info!$K$2:K90, Info!$A$2:A90 = C90),ROUNDUP(J90*Info!$K$22),
I90&lt;=FILTER"&amp;"(Info!$L$2:L90, Info!$A$2:A90 = C90),ROUNDUP(J90*Info!L$22),
I90&lt;=FILTER(Info!$M$2:M90, Info!$A$2:A90 = C90),ROUNDUP(J90*Info!$M$22),
I90&lt;=FILTER(Info!$N$2:N90, Info!$A$2:A90 = C90),ROUNDUP(J90*Info!$N$22),
I90&lt;=FILTER(Info!$N$2:N90, Info!$A$2:A90 = C90)*"&amp;"3/2,ROUNDUP(J90*Info!$J$26),
I90&gt;FILTER(Info!$N$2:N90, Info!$A$2:A90 = C90)*3/2,CONCATENATE(""Sänk helst cutoff i ""&amp;C90)),
AND(H90&lt;&gt;"""",""6x6 / 7x7""=C90),
IFS(H90/3&lt;=(Info!$J$6+Info!$J$7)*2/3,""Höj helst cumulative time limit"",
H90/3&lt;=Info!$J$6+Info!$"&amp;"J$7,ROUNDUP(J90*Info!$J$24),
H90/3&lt;=Info!$K$6+Info!$K$7,ROUNDUP(J90*Info!$K$24),
H90/3&lt;=Info!$L$6+Info!$L$7,ROUNDUP(J90*Info!L$24),
H90/3&lt;=Info!$M$6+Info!$M$7,ROUNDUP(J90*Info!$M$24),
H90/3&lt;=Info!$N$6+Info!$N$7,ROUNDUP(J90*Info!$N$24),
H90/3&lt;=(Info!$N$6+I"&amp;"nfo!$N$7)*3/2,ROUNDUP(J90*Info!$L$26),
H90/3&gt;(Info!$J$6+Info!$J$7)*3/2,""Sänk helst cumulative time limit""),
AND(H90&lt;&gt;"""",FILTER(Info!$F$2:F90, Info!$A$2:A90 = C90) = ""Yes""),
IFS(H90&lt;=FILTER(Info!$J$2:J90, Info!$A$2:A90 = C90)*2/3,CONCATENATE(""Höj he"&amp;"lst c.t.l. i ""&amp;C90),
H90&lt;=FILTER(Info!$J$2:J90, Info!$A$2:A90 = C90),ROUNDUP(J90*Info!$J$24),
H90&lt;=FILTER(Info!$K$2:K90, Info!$A$2:A90 = C90),ROUNDUP(J90*Info!$K$24),
H90&lt;=FILTER(Info!$L$2:L90, Info!$A$2:A90 = C90),ROUNDUP(J90*Info!L$24),
H90&lt;=FILTER(Inf"&amp;"o!$M$2:M90, Info!$A$2:A90 = C90),ROUNDUP(J90*Info!$M$24),
H90&lt;=FILTER(Info!$N$2:N90, Info!$A$2:A90 = C90),ROUNDUP(J90*Info!$N$24),
H90&lt;=FILTER(Info!$N$2:N90, Info!$A$2:A90 = C90)*3/2,ROUNDUP(J90*Info!$L$26),
H90&gt;FILTER(Info!$N$2:N90, Info!$A$2:A90 = C90)*"&amp;"3/2,CONCATENATE(""Sänk helst c.t.l. i ""&amp;C90)),
AND(H90&lt;&gt;"""",FILTER(Info!$F$2:F90, Info!$A$2:A90 = C90) = ""No""),
IFS(H90/AA90&lt;=FILTER(Info!$J$2:J90, Info!$A$2:A90 = C90)*2/3,CONCATENATE(""Höj helst c.t.l. i ""&amp;C90),
H90/AA90&lt;=FILTER(Info!$J$2:J90, Info"&amp;"!$A$2:A90 = C90),ROUNDUP(J90*Info!$J$24),
H90/AA90&lt;=FILTER(Info!$K$2:K90, Info!$A$2:A90 = C90),ROUNDUP(J90*Info!$K$24),
H90/AA90&lt;=FILTER(Info!$L$2:L90, Info!$A$2:A90 = C90),ROUNDUP(J90*Info!L$24),
H90/AA90&lt;=FILTER(Info!$M$2:M90, Info!$A$2:A90 = C90),ROUND"&amp;"UP(J90*Info!$M$24),
H90/AA90&lt;=FILTER(Info!$N$2:N90, Info!$A$2:A90 = C90),ROUNDUP(J90*Info!$N$24),
H90/AA90&lt;=FILTER(Info!$N$2:N90, Info!$A$2:A90 = C90)*3/2,ROUNDUP(J90*Info!$L$26),
H90/AA90&gt;FILTER(Info!$N$2:N90, Info!$A$2:A90 = C90)*3/2,CONCATENATE(""Sänk "&amp;"helst c.t.l. i ""&amp;C90)),
AND(I90="""",H90&lt;&gt;"""",J90&lt;&gt;""""),ROUNDUP(J90*Info!$T$29),
AND(I90&lt;&gt;"""",H90="""",J90&lt;&gt;""""),ROUNDUP(J90*Info!$T$26))"),"")</f>
        <v/>
      </c>
      <c r="L90" s="42">
        <f>IFERROR(__xludf.DUMMYFUNCTION("IFS(C90="""",0,
C90=""3x3 FMC"",Info!$B$9*N90+M90, C90=""3x3 MBLD"",Info!$B$18*N90+M90,
COUNTIF(Info!$A$22:A90,C90)&gt;0,FILTER(Info!$B$22:B90,Info!$A$22:A90=C90)+M90,
AND(C90&lt;&gt;"""",E90=""""),CONCATENATE(""Fyll i E""&amp;row()),
AND(C90&lt;&gt;"""",E90&lt;&gt;"""",E90&lt;&gt;1,E9"&amp;"0&lt;&gt;2,E90&lt;&gt;3,E90&lt;&gt;""Final""),CONCATENATE(""Fel format på E""&amp;row()),
K90=CONCATENATE(""Runda ""&amp;E90&amp;"" i ""&amp;C90&amp;"" finns redan""),CONCATENATE(""Fel i E""&amp;row()),
AND(C90&lt;&gt;"""",F90=""""),CONCATENATE(""Fyll i F""&amp;row()),
K90=CONCATENATE(C90&amp;"" måste ha forma"&amp;"tet ""&amp;FILTER(Info!$D$2:D90, Info!$A$2:A90 = C90)),CONCATENATE(""Fel format på F""&amp;row()),
AND(C90&lt;&gt;"""",D90=1,H90="""",FILTER(Info!$F$2:F90, Info!$A$2:A90 = C90) = ""Yes""),CONCATENATE(""Fyll i H""&amp;row()),
AND(C90&lt;&gt;"""",D90=1,I90="""",FILTER(Info!$E$2:E9"&amp;"0, Info!$A$2:A90 = C90) = ""Yes""),CONCATENATE(""Fyll i I""&amp;row()),
AND(C90&lt;&gt;"""",J90=""""),CONCATENATE(""Fyll i J""&amp;row()),
AND(C90&lt;&gt;"""",K90="""",OR(H90&lt;&gt;"""",I90&lt;&gt;"""")),CONCATENATE(""Fyll i K""&amp;row()),
AND(C90&lt;&gt;"""",K90=""""),CONCATENATE(""Skriv samma"&amp;" i K""&amp;row()&amp;"" som i J""&amp;row()),
AND(OR(C90=""4x4 BLD"",C90=""5x5 BLD"",C90=""4x4 / 5x5 BLD"")=TRUE,V90&lt;=P90),
MROUND(H90*(Info!$T$20-((Info!$T$20-1)/2)*(1-V90/P90))*(1+((J90/K90)-1)*(1-Info!$J$24))*N90+(Info!$T$11/2)+(N90*Info!$T$11)+(N90*Info!$T$14*(O9"&amp;"0-1)),0.01)+M90,
AND(OR(C90=""4x4 BLD"",C90=""5x5 BLD"",C90=""4x4 / 5x5 BLD"")=TRUE,V90&gt;P90),
MROUND((((J90*Z90+K90*(AA90-Z90))*(H90*Info!$T$20/AA90))/X90)*(1+((J90/K90)-1)*(1-Info!$J$24))*(1+(X90-Info!$T$8)/100)+(Info!$T$11/2)+(N90*Info!$T$11)+(N90*Info!"&amp;"$T$14*(O90-1)),0.01)+M90,
AND(C90=""3x3 BLD"",V90&lt;=P90),
MROUND(H90*(Info!$T$23-((Info!$T$23-1)/2)*(1-V90/P90))*(1+((J90/K90)-1)*(1-Info!$J$24))*N90+(Info!$T$11/2)+(N90*Info!$T$11)+(N90*Info!$T$14*(O90-1)),0.01)+M90,
AND(C90=""3x3 BLD"",V90&gt;P90),
MROUND(("&amp;"((J90*Z90+K90*(AA90-Z90))*(H90*Info!$T$23/AA90))/X90)*(1+((J90/K90)-1)*(1-Info!$J$24))*(1+(X90-Info!$T$8)/100)+(Info!$T$11/2)+(N90*Info!$T$11)+(N90*Info!$T$14*(O90-1)),0.01)+M90,
E90=1,MROUND((((J90*Z90+K90*(AA90-Z90))*Y90)/X90)*(1+(X90-Info!$T$8)/100)+(N"&amp;"90*Info!$T$11)+(N90*Info!$T$14*(O90-1)),0.01)+M90,
AND(E90=""Final"",N90=1,FILTER(Info!$G$2:$G$20,Info!$A$2:$A$20=C90)=""Mycket svår""),
MROUND((((J90*Z90+K90*(AA90-Z90))*(Y90*Info!$T$38))/X90)*(1+(X90-Info!$T$8)/100)+(N90*Info!$T$11)+(N90*Info!$T$14*(O90"&amp;"-1)),0.01)+M90,
AND(E90=""Final"",N90=1,FILTER(Info!$G$2:$G$20,Info!$A$2:$A$20=C90)=""Svår""),
MROUND((((J90*Z90+K90*(AA90-Z90))*(Y90*Info!$T$35))/X90)*(1+(X90-Info!$T$8)/100)+(N90*Info!$T$11)+(N90*Info!$T$14*(O90-1)),0.01)+M90,
E90=""Final"",MROUND((((J9"&amp;"0*Z90+K90*(AA90-Z90))*(Y90*Info!$T$5))/X90)*(1+(X90-Info!$T$8)/100)+(N90*Info!$T$11)+(N90*Info!$T$14*(O90-1)),0.01)+M90,
OR(E90=2,E90=3),MROUND((((J90*Z90+K90*(AA90-Z90))*(Y90*Info!$T$2))/X90)*(1+(X90-Info!$T$8)/100)+(N90*Info!$T$11)+(N90*Info!$T$14*(O90-"&amp;"1)),0.01)+M90)"),0.0)</f>
        <v>0</v>
      </c>
      <c r="M90" s="43">
        <f t="shared" si="9"/>
        <v>0</v>
      </c>
      <c r="N90" s="43" t="str">
        <f>IFS(OR(COUNTIF(Info!$A$22:A90,C90)&gt;0,C90=""),"",
OR(C90="4x4 BLD",C90="5x5 BLD",C90="3x3 MBLD",C90="3x3 FMC",C90="4x4 / 5x5 BLD"),1,
AND(E90="Final",Q90="Yes",MAX(1,ROUNDUP(J90/P90))&gt;1),MAX(2,ROUNDUP(J90/P90)),
AND(E90="Final",Q90="No",MAX(1,ROUNDUP(J90/((P90*2)+2.625-Y90*1.5)))&gt;1),MAX(2,ROUNDUP(J90/((P90*2)+2.625-Y90*1.5))),
E90="Final",1,
Q90="Yes",MAX(2,ROUNDUP(J90/P90)),
TRUE,MAX(2,ROUNDUP(J90/((P90*2)+2.625-Y90*1.5))))</f>
        <v/>
      </c>
      <c r="O90" s="43" t="str">
        <f>IFS(OR(COUNTIF(Info!$A$22:A90,C90)&gt;0,C90=""),"",
OR("3x3 MBLD"=C90,"3x3 FMC"=C90)=TRUE,"",
D90=$E$4,$G$6,D90=$K$4,$M$6,D90=$Q$4,$S$6,D90=$W$4,$Y$6,
TRUE,$S$2)</f>
        <v/>
      </c>
      <c r="P90" s="43" t="str">
        <f>IFS(OR(COUNTIF(Info!$A$22:A90,C90)&gt;0,C90=""),"",
OR("3x3 MBLD"=C90,"3x3 FMC"=C90)=TRUE,"",
D90=$E$4,$E$6,D90=$K$4,$K$6,D90=$Q$4,$Q$6,D90=$W$4,$W$6,
TRUE,$Q$2)</f>
        <v/>
      </c>
      <c r="Q90" s="44" t="str">
        <f>IFS(OR(COUNTIF(Info!$A$22:A90,C90)&gt;0,C90=""),"",
OR("3x3 MBLD"=C90,"3x3 FMC"=C90)=TRUE,"",
D90=$E$4,$I$6,D90=$K$4,$O$6,D90=$Q$4,$U$6,D90=$W$4,$AA$6,
TRUE,$U$2)</f>
        <v/>
      </c>
      <c r="R90" s="65" t="str">
        <f>IFERROR(__xludf.DUMMYFUNCTION("IF(C90="""","""",IFERROR(FILTER(Info!$B$22:B90,Info!$A$22:A90=C90)+M90,""?""))"),"")</f>
        <v/>
      </c>
      <c r="S90" s="66" t="str">
        <f>IFS(OR(COUNTIF(Info!$A$22:A90,C90)&gt;0,C90=""),"",
AND(H90="",I90=""),J90,
TRUE,"?")</f>
        <v/>
      </c>
      <c r="T90" s="65" t="str">
        <f>IFS(OR(COUNTIF(Info!$A$22:A90,C90)&gt;0,C90=""),"",
AND(L90&lt;&gt;0,OR(R90="?",R90="")),"Fyll i R-kolumnen",
OR(C90="3x3 FMC",C90="3x3 MBLD"),R90,
AND(L90&lt;&gt;0,OR(S90="?",S90="")),"Fyll i S-kolumnen",
OR(COUNTIF(Info!$A$22:A90,C90)&gt;0,C90=""),"",
TRUE,Y90*R90/L90)</f>
        <v/>
      </c>
      <c r="U90" s="65"/>
      <c r="V90" s="67" t="str">
        <f>IFS(OR(COUNTIF(Info!$A$22:A90,C90)&gt;0,C90=""),"",
OR("3x3 MBLD"=C90,"3x3 FMC"=C90)=TRUE,"",
TRUE,MROUND((J90/N90),0.01))</f>
        <v/>
      </c>
      <c r="W90" s="68" t="str">
        <f>IFS(OR(COUNTIF(Info!$A$22:A90,C90)&gt;0,C90=""),"",
TRUE,L90/N90)</f>
        <v/>
      </c>
      <c r="X90" s="67" t="str">
        <f>IFS(OR(COUNTIF(Info!$A$22:A90,C90)&gt;0,C90=""),"",
OR("3x3 MBLD"=C90,"3x3 FMC"=C90)=TRUE,"",
OR(C90="4x4 BLD",C90="5x5 BLD",C90="4x4 / 5x5 BLD",AND(C90="3x3 BLD",H90&lt;&gt;""))=TRUE,MIN(V90,P90),
TRUE,MIN(P90,V90,MROUND(((V90*2/3)+((Y90-1.625)/2)),0.01)))</f>
        <v/>
      </c>
      <c r="Y90" s="68" t="str">
        <f>IFERROR(__xludf.DUMMYFUNCTION("IFS(OR(COUNTIF(Info!$A$22:A90,C90)&gt;0,C90=""""),"""",
FILTER(Info!$F$2:F90, Info!$A$2:A90 = C90) = ""Yes"",H90/AA90,
""3x3 FMC""=C90,Info!$B$9,""3x3 MBLD""=C90,Info!$B$18,
AND(E90=1,I90="""",H90="""",Q90=""No"",G90&gt;SUMIF(Info!$A$2:A90,C90,Info!$B$2:B90)*1."&amp;"5),
MIN(SUMIF(Info!$A$2:A90,C90,Info!$B$2:B90)*1.1,SUMIF(Info!$A$2:A90,C90,Info!$B$2:B90)*(1.15-(0.15*(SUMIF(Info!$A$2:A90,C90,Info!$B$2:B90)*1.5)/G90))),
AND(E90=1,I90="""",H90="""",Q90=""Yes"",G90&gt;SUMIF(Info!$A$2:A90,C90,Info!$C$2:C90)*1.5),
MIN(SUMIF(I"&amp;"nfo!$A$2:A90,C90,Info!$C$2:C90)*1.1,SUMIF(Info!$A$2:A90,C90,Info!$C$2:C90)*(1.15-(0.15*(SUMIF(Info!$A$2:A90,C90,Info!$C$2:C90)*1.5)/G90))),
Q90=""No"",SUMIF(Info!$A$2:A90,C90,Info!$B$2:B90),
Q90=""Yes"",SUMIF(Info!$A$2:A90,C90,Info!$C$2:C90))"),"")</f>
        <v/>
      </c>
      <c r="Z90" s="67" t="str">
        <f>IFS(OR(COUNTIF(Info!$A$22:A90,C90)&gt;0,C90=""),"",
AND(OR("3x3 FMC"=C90,"3x3 MBLD"=C90),I90&lt;&gt;""),1,
AND(OR(H90&lt;&gt;"",I90&lt;&gt;""),F90="Avg of 5"),2,
F90="Avg of 5",AA90,
AND(OR(H90&lt;&gt;"",I90&lt;&gt;""),F90="Mean of 3",C90="6x6 / 7x7"),2,
AND(OR(H90&lt;&gt;"",I90&lt;&gt;""),F90="Mean of 3"),1,
F90="Mean of 3",AA90,
AND(OR(H90&lt;&gt;"",I90&lt;&gt;""),F90="Best of 3",C90="4x4 / 5x5 BLD"),2,
AND(OR(H90&lt;&gt;"",I90&lt;&gt;""),F90="Best of 3"),1,
F90="Best of 2",AA90,
F90="Best of 1",AA90)</f>
        <v/>
      </c>
      <c r="AA90" s="67" t="str">
        <f>IFS(OR(COUNTIF(Info!$A$22:A90,C90)&gt;0,C90=""),"",
AND(OR("3x3 MBLD"=C90,"3x3 FMC"=C90),F90="Best of 1"=TRUE),1,
AND(OR("3x3 MBLD"=C90,"3x3 FMC"=C90),F90="Best of 2"=TRUE),2,
AND(OR("3x3 MBLD"=C90,"3x3 FMC"=C90),OR(F90="Best of 3",F90="Mean of 3")=TRUE),3,
AND(F90="Mean of 3",C90="6x6 / 7x7"),6,
AND(F90="Best of 3",C90="4x4 / 5x5 BLD"),6,
F90="Avg of 5",5,F90="Mean of 3",3,F90="Best of 3",3,F90="Best of 2",2,F90="Best of 1",1)</f>
        <v/>
      </c>
      <c r="AB90" s="69"/>
    </row>
    <row r="91" ht="15.75" customHeight="1">
      <c r="A91" s="62">
        <f>IFERROR(__xludf.DUMMYFUNCTION("IFS(indirect(""A""&amp;row()-1)=""Start"",TIME(indirect(""A""&amp;row()-2),indirect(""B""&amp;row()-2),0),
$O$2=""No"",TIME(0,($A$6*60+$B$6)+CEILING(SUM($L$7:indirect(""L""&amp;row()-1)),5),0),
D91=$E$2,TIME(0,($A$6*60+$B$6)+CEILING(SUM(IFERROR(FILTER($L$7:indirect(""L"""&amp;"&amp;row()-1),REGEXMATCH($D$7:indirect(""D""&amp;row()-1),$E$2)),0)),5),0),
TRUE,""=time(hh;mm;ss)"")"),0.3541666666666665)</f>
        <v>0.3541666667</v>
      </c>
      <c r="B91" s="63">
        <f>IFERROR(__xludf.DUMMYFUNCTION("IFS($O$2=""No"",TIME(0,($A$6*60+$B$6)+CEILING(SUM($L$7:indirect(""L""&amp;row())),5),0),
D91=$E$2,TIME(0,($A$6*60+$B$6)+CEILING(SUM(FILTER($L$7:indirect(""L""&amp;row()),REGEXMATCH($D$7:indirect(""D""&amp;row()),$E$2))),5),0),
A91=""=time(hh;mm;ss)"",CONCATENATE(""Sk"&amp;"riv tid i A""&amp;row()),
AND(A91&lt;&gt;"""",A91&lt;&gt;""=time(hh;mm;ss)""),A91+TIME(0,CEILING(indirect(""L""&amp;row()),5),0))"),0.3541666666666665)</f>
        <v>0.3541666667</v>
      </c>
      <c r="C91" s="37"/>
      <c r="D91" s="64" t="str">
        <f t="shared" si="10"/>
        <v>Stora salen</v>
      </c>
      <c r="E91" s="64" t="str">
        <f>IFERROR(__xludf.DUMMYFUNCTION("IFS(COUNTIF(Info!$A$22:A91,C91)&gt;0,"""",
AND(OR(""3x3 FMC""=C91,""3x3 MBLD""=C91),COUNTIF($C$7:indirect(""C""&amp;row()),indirect(""C""&amp;row()))&gt;=13),""E - Error"",
AND(OR(""3x3 FMC""=C91,""3x3 MBLD""=C91),COUNTIF($C$7:indirect(""C""&amp;row()),indirect(""C""&amp;row()"&amp;"))=12),""Final - A3"",
AND(OR(""3x3 FMC""=C91,""3x3 MBLD""=C91),COUNTIF($C$7:indirect(""C""&amp;row()),indirect(""C""&amp;row()))=11),""Final - A2"",
AND(OR(""3x3 FMC""=C91,""3x3 MBLD""=C91),COUNTIF($C$7:indirect(""C""&amp;row()),indirect(""C""&amp;row()))=10),""Final - "&amp;"A1"",
AND(OR(""3x3 FMC""=C91,""3x3 MBLD""=C91),COUNTIF($C$7:indirect(""C""&amp;row()),indirect(""C""&amp;row()))=9,
COUNTIF($C$7:$C$102,indirect(""C""&amp;row()))&gt;9),""R3 - A3"",
AND(OR(""3x3 FMC""=C91,""3x3 MBLD""=C91),COUNTIF($C$7:indirect(""C""&amp;row()),indirect(""C"&amp;"""&amp;row()))=9,
COUNTIF($C$7:$C$102,indirect(""C""&amp;row()))&lt;=9),""Final - A3"",
AND(OR(""3x3 FMC""=C91,""3x3 MBLD""=C91),COUNTIF($C$7:indirect(""C""&amp;row()),indirect(""C""&amp;row()))=8,
COUNTIF($C$7:$C$102,indirect(""C""&amp;row()))&gt;9),""R3 - A2"",
AND(OR(""3x3 FMC"&amp;"""=C91,""3x3 MBLD""=C91),COUNTIF($C$7:indirect(""C""&amp;row()),indirect(""C""&amp;row()))=8,
COUNTIF($C$7:$C$102,indirect(""C""&amp;row()))&lt;=9),""Final - A2"",
AND(OR(""3x3 FMC""=C91,""3x3 MBLD""=C91),COUNTIF($C$7:indirect(""C""&amp;row()),indirect(""C""&amp;row()))=7,
COUN"&amp;"TIF($C$7:$C$102,indirect(""C""&amp;row()))&gt;9),""R3 - A1"",
AND(OR(""3x3 FMC""=C91,""3x3 MBLD""=C91),COUNTIF($C$7:indirect(""C""&amp;row()),indirect(""C""&amp;row()))=7,
COUNTIF($C$7:$C$102,indirect(""C""&amp;row()))&lt;=9),""Final - A1"",
AND(OR(""3x3 FMC""=C91,""3x3 MBLD"""&amp;"=C91),COUNTIF($C$7:indirect(""C""&amp;row()),indirect(""C""&amp;row()))=6,
COUNTIF($C$7:$C$102,indirect(""C""&amp;row()))&gt;6),""R2 - A3"",
AND(OR(""3x3 FMC""=C91,""3x3 MBLD""=C91),COUNTIF($C$7:indirect(""C""&amp;row()),indirect(""C""&amp;row()))=6,
COUNTIF($C$7:$C$102,indirec"&amp;"t(""C""&amp;row()))&lt;=6),""Final - A3"",
AND(OR(""3x3 FMC""=C91,""3x3 MBLD""=C91),COUNTIF($C$7:indirect(""C""&amp;row()),indirect(""C""&amp;row()))=5,
COUNTIF($C$7:$C$102,indirect(""C""&amp;row()))&gt;6),""R2 - A2"",
AND(OR(""3x3 FMC""=C91,""3x3 MBLD""=C91),COUNTIF($C$7:indi"&amp;"rect(""C""&amp;row()),indirect(""C""&amp;row()))=5,
COUNTIF($C$7:$C$102,indirect(""C""&amp;row()))&lt;=6),""Final - A2"",
AND(OR(""3x3 FMC""=C91,""3x3 MBLD""=C91),COUNTIF($C$7:indirect(""C""&amp;row()),indirect(""C""&amp;row()))=4,
COUNTIF($C$7:$C$102,indirect(""C""&amp;row()))&gt;6),"&amp;"""R2 - A1"",
AND(OR(""3x3 FMC""=C91,""3x3 MBLD""=C91),COUNTIF($C$7:indirect(""C""&amp;row()),indirect(""C""&amp;row()))=4,
COUNTIF($C$7:$C$102,indirect(""C""&amp;row()))&lt;=6),""Final - A1"",
AND(OR(""3x3 FMC""=C91,""3x3 MBLD""=C91),COUNTIF($C$7:indirect(""C""&amp;row()),i"&amp;"ndirect(""C""&amp;row()))=3),""R1 - A3"",
AND(OR(""3x3 FMC""=C91,""3x3 MBLD""=C91),COUNTIF($C$7:indirect(""C""&amp;row()),indirect(""C""&amp;row()))=2),""R1 - A2"",
AND(OR(""3x3 FMC""=C91,""3x3 MBLD""=C91),COUNTIF($C$7:indirect(""C""&amp;row()),indirect(""C""&amp;row()))=1),"&amp;"""R1 -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91, Info!$A$2:A91 = C91),ROUNDUP((FILTER(Info!$H$2:H91,Info!$A$2:A91=C91)/FILTER(Info!$H$2:H91,Info!$A$2:A91=$K$2))*$I$2)&gt;99),3,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91, Info!$A$2:A91 = C91),ROUNDUP((FILTER(Info!$H$2:H91,Info!$A$2:A91=C91)/FILTER(Info!$H$2:H91,Info!$A$2:A91=$K$2))*$I$2)&gt;15),2,
AND(COUNTIF($C$7:indirect(""C""&amp;row()),indirect(""C""&amp;row()))=2,COUNTIF($C$7:$C$102,indirect(""C""&amp;row()))=COUNTIF($"&amp;"C$7:indirect(""C""&amp;row()),indirect(""C""&amp;row()))),""Final"",
COUNTIF($C$7:indirect(""C""&amp;row()),indirect(""C""&amp;row()))=1,1,
COUNTIF($C$7:indirect(""C""&amp;row()),indirect(""C""&amp;row()))=0,"""")"),"")</f>
        <v/>
      </c>
      <c r="F91" s="64" t="str">
        <f>IFERROR(__xludf.DUMMYFUNCTION("IFS(C91="""","""",
AND(C91=""3x3 FMC"",MOD(COUNTIF($C$7:indirect(""C""&amp;row()),indirect(""C""&amp;row())),3)=0),""Mean of 3"",
AND(C91=""3x3 MBLD"",MOD(COUNTIF($C$7:indirect(""C""&amp;row()),indirect(""C""&amp;row())),3)=0),""Best of 3"",
AND(C91=""3x3 FMC"",MOD(COUNT"&amp;"IF($C$7:indirect(""C""&amp;row()),indirect(""C""&amp;row())),3)=2,
COUNTIF($C$7:$C$102,indirect(""C""&amp;row()))&lt;=COUNTIF($C$7:indirect(""C""&amp;row()),indirect(""C""&amp;row()))),""Best of 2"",
AND(C91=""3x3 FMC"",MOD(COUNTIF($C$7:indirect(""C""&amp;row()),indirect(""C""&amp;row("&amp;"))),3)=2,
COUNTIF($C$7:$C$102,indirect(""C""&amp;row()))&gt;COUNTIF($C$7:indirect(""C""&amp;row()),indirect(""C""&amp;row()))),""Mean of 3"",
AND(C91=""3x3 MBLD"",MOD(COUNTIF($C$7:indirect(""C""&amp;row()),indirect(""C""&amp;row())),3)=2,
COUNTIF($C$7:$C$102,indirect(""C""&amp;row("&amp;")))&lt;=COUNTIF($C$7:indirect(""C""&amp;row()),indirect(""C""&amp;row()))),""Best of 2"",
AND(C91=""3x3 MBLD"",MOD(COUNTIF($C$7:indirect(""C""&amp;row()),indirect(""C""&amp;row())),3)=2,
COUNTIF($C$7:$C$102,indirect(""C""&amp;row()))&gt;COUNTIF($C$7:indirect(""C""&amp;row()),indirect("&amp;"""C""&amp;row()))),""Best of 3"",
AND(C91=""3x3 FMC"",MOD(COUNTIF($C$7:indirect(""C""&amp;row()),indirect(""C""&amp;row())),3)=1,
COUNTIF($C$7:$C$102,indirect(""C""&amp;row()))&lt;=COUNTIF($C$7:indirect(""C""&amp;row()),indirect(""C""&amp;row()))),""Best of 1"",
AND(C91=""3x3 FMC"""&amp;",MOD(COUNTIF($C$7:indirect(""C""&amp;row()),indirect(""C""&amp;row())),3)=1,
COUNTIF($C$7:$C$102,indirect(""C""&amp;row()))=COUNTIF($C$7:indirect(""C""&amp;row()),indirect(""C""&amp;row()))+1),""Best of 2"",
AND(C91=""3x3 FMC"",MOD(COUNTIF($C$7:indirect(""C""&amp;row()),indirect"&amp;"(""C""&amp;row())),3)=1,
COUNTIF($C$7:$C$102,indirect(""C""&amp;row()))&gt;COUNTIF($C$7:indirect(""C""&amp;row()),indirect(""C""&amp;row()))),""Mean of 3"",
AND(C91=""3x3 MBLD"",MOD(COUNTIF($C$7:indirect(""C""&amp;row()),indirect(""C""&amp;row())),3)=1,
COUNTIF($C$7:$C$102,indirect"&amp;"(""C""&amp;row()))&lt;=COUNTIF($C$7:indirect(""C""&amp;row()),indirect(""C""&amp;row()))),""Best of 1"",
AND(C91=""3x3 MBLD"",MOD(COUNTIF($C$7:indirect(""C""&amp;row()),indirect(""C""&amp;row())),3)=1,
COUNTIF($C$7:$C$102,indirect(""C""&amp;row()))=COUNTIF($C$7:indirect(""C""&amp;row()"&amp;"),indirect(""C""&amp;row()))+1),""Best of 2"",
AND(C91=""3x3 MBLD"",MOD(COUNTIF($C$7:indirect(""C""&amp;row()),indirect(""C""&amp;row())),3)=1,
COUNTIF($C$7:$C$102,indirect(""C""&amp;row()))&gt;COUNTIF($C$7:indirect(""C""&amp;row()),indirect(""C""&amp;row()))),""Best of 3"",
TRUE,("&amp;"IFERROR(FILTER(Info!$D$2:D91, Info!$A$2:A91 = C91), """")))"),"")</f>
        <v/>
      </c>
      <c r="G91" s="64" t="str">
        <f>IFERROR(__xludf.DUMMYFUNCTION("IFS(OR(COUNTIF(Info!$A$22:A91,C91)&gt;0,C91=""""),"""",
OR(""3x3 MBLD""=C91,""3x3 FMC""=C91),60,
AND(E91=1,FILTER(Info!$F$2:F91, Info!$A$2:A91 = C91) = ""No""),FILTER(Info!$P$2:P91, Info!$A$2:A91 = C91),
AND(E91=2,FILTER(Info!$F$2:F91, Info!$A$2:A91 = C91) ="&amp;" ""No""),FILTER(Info!$Q$2:Q91, Info!$A$2:A91 = C91),
AND(E91=3,FILTER(Info!$F$2:F91, Info!$A$2:A91 = C91) = ""No""),FILTER(Info!$R$2:R91, Info!$A$2:A91 = C91),
AND(E91=""Final"",FILTER(Info!$F$2:F91, Info!$A$2:A91 = C91) = ""No""),FILTER(Info!$S$2:S91, In"&amp;"fo!$A$2:A91 = C91),
FILTER(Info!$F$2:F91, Info!$A$2:A91 = C91) = ""Yes"","""")"),"")</f>
        <v/>
      </c>
      <c r="H91" s="64" t="str">
        <f>IFERROR(__xludf.DUMMYFUNCTION("IFS(OR(COUNTIF(Info!$A$22:A91,C91)&gt;0,C91=""""),"""",
OR(""3x3 MBLD""=C91,""3x3 FMC""=C91)=TRUE,"""",
FILTER(Info!$F$2:F91, Info!$A$2:A91 = C91) = ""Yes"",FILTER(Info!$O$2:O91, Info!$A$2:A91 = C91),
FILTER(Info!$F$2:F91, Info!$A$2:A91 = C91) = ""No"",IF(G9"&amp;"1="""",FILTER(Info!$O$2:O91, Info!$A$2:A91 = C91),""""))"),"")</f>
        <v/>
      </c>
      <c r="I91" s="64" t="str">
        <f>IFERROR(__xludf.DUMMYFUNCTION("IFS(OR(COUNTIF(Info!$A$22:A91,C91)&gt;0,C91="""",H91&lt;&gt;""""),"""",
AND(E91&lt;&gt;1,E91&lt;&gt;""R1 - A1"",E91&lt;&gt;""R1 - A2"",E91&lt;&gt;""R1 - A3""),"""",
FILTER(Info!$E$2:E91, Info!$A$2:A91 = C91) = ""Yes"",IF(H91="""",FILTER(Info!$L$2:L91, Info!$A$2:A91 = C91),""""),
FILTER(I"&amp;"nfo!$E$2:E91, Info!$A$2:A91 = C91) = ""No"","""")"),"")</f>
        <v/>
      </c>
      <c r="J91" s="64" t="str">
        <f>IFERROR(__xludf.DUMMYFUNCTION("IFS(OR(COUNTIF(Info!$A$22:A91,C91)&gt;0,C91="""",""3x3 MBLD""=C91,""3x3 FMC""=C91),"""",
AND(E91=1,FILTER(Info!$H$2:H91,Info!$A$2:A91 = C91)&lt;=FILTER(Info!$H$2:H91,Info!$A$2:A91=$K$2)),
ROUNDUP((FILTER(Info!$H$2:H91,Info!$A$2:A91 = C91)/FILTER(Info!$H$2:H91,I"&amp;"nfo!$A$2:A91=$K$2))*$I$2),
AND(E91=1,FILTER(Info!$H$2:H91,Info!$A$2:A91 = C91)&gt;FILTER(Info!$H$2:H91,Info!$A$2:A91=$K$2)),""K2 - Error"",
AND(E91=2,FILTER($J$7:indirect(""J""&amp;row()-1),$C$7:indirect(""C""&amp;row()-1)=C91)&lt;=7),""J - Error"",
E91=2,FLOOR(FILTER("&amp;"$J$7:indirect(""J""&amp;row()-1),$C$7:indirect(""C""&amp;row()-1)=C91)*Info!$T$32),
AND(E91=3,FILTER($J$7:indirect(""J""&amp;row()-1),$C$7:indirect(""C""&amp;row()-1)=C91)&lt;=15),""J - Error"",
E91=3,FLOOR(Info!$T$32*FLOOR(FILTER($J$7:indirect(""J""&amp;row()-1),$C$7:indirect("&amp;"""C""&amp;row()-1)=C91)*Info!$T$32)),
AND(E91=""Final"",COUNTIF($C$7:$C$102,C91)=2,FILTER($J$7:indirect(""J""&amp;row()-1),$C$7:indirect(""C""&amp;row()-1)=C91)&lt;=7),""J - Error"",
AND(E91=""Final"",COUNTIF($C$7:$C$102,C91)=2),
MIN(P91,FLOOR(FILTER($J$7:indirect(""J"""&amp;"&amp;row()-1),$C$7:indirect(""C""&amp;row()-1)=C91)*Info!$T$32)),
AND(E91=""Final"",COUNTIF($C$7:$C$102,C91)=3,FILTER($J$7:indirect(""J""&amp;row()-1),$C$7:indirect(""C""&amp;row()-1)=C91)&lt;=15),""J - Error"",
AND(E91=""Final"",COUNTIF($C$7:$C$102,C91)=3),
MIN(P91,FLOOR(I"&amp;"nfo!$T$32*FLOOR(FILTER($J$7:indirect(""J""&amp;row()-1),$C$7:indirect(""C""&amp;row()-1)=C91)*Info!$T$32))),
AND(E91=""Final"",COUNTIF($C$7:$C$102,C91)&gt;=4,FILTER($J$7:indirect(""J""&amp;row()-1),$C$7:indirect(""C""&amp;row()-1)=C91)&lt;=99),""J - Error"",
AND(E91=""Final"","&amp;"COUNTIF($C$7:$C$102,C91)&gt;=4),
MIN(P91,FLOOR(Info!$T$32*FLOOR(Info!$T$32*FLOOR(FILTER($J$7:indirect(""J""&amp;row()-1),$C$7:indirect(""C""&amp;row()-1)=C91)*Info!$T$32)))))"),"")</f>
        <v/>
      </c>
      <c r="K91" s="41" t="str">
        <f>IFERROR(__xludf.DUMMYFUNCTION("IFS(AND(indirect(""D""&amp;row()+2)&lt;&gt;$E$2,indirect(""D""&amp;row()+1)=""""),CONCATENATE(""Tom rad! Kopiera hela rad ""&amp;row()&amp;"" dit""),
AND(indirect(""D""&amp;row()-1)&lt;&gt;""Rum"",indirect(""D""&amp;row()-1)=""""),CONCATENATE(""Tom rad! Kopiera hela rad ""&amp;row()&amp;"" dit""),
"&amp;"C91="""","""",
COUNTIF(Info!$A$22:A91,$K$2)&gt;0,""Det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OR(AND(D91&lt;&gt;$E$2,D91&lt;&gt;$E$4,D91&lt;&gt;$K$4,D91&lt;&gt;$Q$4),D91="&amp;"""""),CONCATENATE(""Rum: ""&amp;D91&amp;"" finns ej, byt i D""&amp;row()),
AND(indirect(""D""&amp;row()-1)=""Rum"",C91=""""),CONCATENATE(""För att börja: skriv i cell C""&amp;row()),
AND(C91=""Paus"",M91&lt;=0),CONCATENATE(""Skriv pausens längd i M""&amp;row()),
OR(COUNTIF(Info!$A$"&amp;"22:A91,C91)&gt;0,C91=""""),"""",
AND(D91&lt;&gt;$E$2,$O$2=""Yes"",A91=""=time(hh;mm;ss)""),CONCATENATE(""Skriv starttid för ""&amp;C91&amp;"" i A""&amp;row()),
E91=""E - Error"",CONCATENATE(""För många ""&amp;C91&amp;"" rundor!""),
AND(C91&lt;&gt;""3x3 FMC"",C91&lt;&gt;""3x3 MBLD"",E91&lt;&gt;1,E91&lt;&gt;"&amp;"""Final"",IFERROR(FILTER($E$7:indirect(""E""&amp;row()-1),
$E$7:indirect(""E""&amp;row()-1)=E91-1,$C$7:indirect(""C""&amp;row()-1)=C91))=FALSE),CONCATENATE(""Kan ej vara R""&amp;E91&amp;"", saknar R""&amp;(E91-1)),
AND(indirect(""E""&amp;row()-1)&lt;&gt;""Omgång"",IFERROR(FILTER($E$7:indi"&amp;"rect(""E""&amp;row()-1),
$E$7:indirect(""E""&amp;row()-1)=E91,$C$7:indirect(""C""&amp;row()-1)=C91)=E91)=TRUE),CONCATENATE(""Runda ""&amp;E91&amp;"" i ""&amp;C91&amp;"" finns redan""),
AND(C91&lt;&gt;""3x3 BLD"",C91&lt;&gt;""4x4 BLD"",C91&lt;&gt;""5x5 BLD"",C91&lt;&gt;""4x4 / 5x5 BLD"",OR(E91=2,E91=3,E91="&amp;"""Final""),H91&lt;&gt;""""),CONCATENATE(E91&amp;""-rundor brukar ej ha c.t.l.""),
AND(OR(E91=2,E91=3,E91=""Final""),I91&lt;&gt;""""),CONCATENATE(E91&amp;""-rundor brukar ej ha cutoff""),
AND(OR(C91=""3x3 FMC"",C91=""3x3 MBLD""),OR(E91=1,E91=2,E91=3,E91=""Final"")),CONCATENAT"&amp;"E(C91&amp;""s omgång är Rx - Ax""),
AND(C91&lt;&gt;""3x3 MBLD"",C91&lt;&gt;""3x3 FMC"",FILTER(Info!$D$2:D91, Info!$A$2:A91 = C91)&lt;&gt;F91),CONCATENATE(C91&amp;"" måste ha formatet ""&amp;FILTER(Info!$D$2:D91, Info!$A$2:A91 = C91)),
AND(C91=""3x3 MBLD"",OR(F91=""Avg of 5"",F91=""Mea"&amp;"n of 3"")),CONCATENATE(""Ogiltigt format för ""&amp;C91),
AND(C91=""3x3 FMC"",OR(F91=""Avg of 5"",F91=""Best of 3"")),CONCATENATE(""Ogiltigt format för ""&amp;C91),
AND(OR(F91=""Best of 1"",F91=""Best of 2"",F91=""Best of 3""),I91&lt;&gt;""""),CONCATENATE(F91&amp;""-rundor"&amp;" får ej ha cutoff""),
AND(OR(C91=""3x3 FMC"",C91=""3x3 MBLD""),G91&lt;&gt;60),CONCATENATE(C91&amp;"" måste ha time limit: 60""),
AND(OR(C91=""3x3 FMC"",C91=""3x3 MBLD""),H91&lt;&gt;""""),CONCATENATE(C91&amp;"" kan inte ha c.t.l.""),
AND(G91&lt;&gt;"""",H91&lt;&gt;""""),""Välj time limit"&amp;" ELLER c.t.l"",
AND(C91=""6x6 / 7x7"",G91="""",H91=""""),""Sätt time limit (x / y) eller c.t.l (z)"",
AND(G91="""",H91=""""),""Sätt en time limit eller c.t.l"",
AND(OR(C91=""6x6 / 7x7"",C91=""4x4 / 5x5 BLD""),G91&lt;&gt;"""",REGEXMATCH(TO_TEXT(G91),"" / "")=FAL"&amp;"SE),CONCATENATE(""Time limit måste vara x / y""),
AND(H91&lt;&gt;"""",I91&lt;&gt;""""),CONCATENATE(C91&amp;"" brukar ej ha cutoff OCH c.t.l""),
AND(E91=1,H91="""",I91="""",OR(FILTER(Info!$E$2:E91, Info!$A$2:A91 = C91) = ""Yes"",FILTER(Info!$F$2:F91, Info!$A$2:A91 = C91) "&amp;"= ""Yes""),OR(F91=""Avg of 5"",F91=""Mean of 3"")),CONCATENATE(C91&amp;"" bör ha cutoff eller c.t.l""),
AND(C91=""6x6 / 7x7"",I91&lt;&gt;"""",REGEXMATCH(TO_TEXT(I91),"" / "")=FALSE),CONCATENATE(""Cutoff måste vara x / y""),
AND(H91&lt;&gt;"""",ISNUMBER(H91)=FALSE),""C.t."&amp;"l. måste vara positivt tal (x)"",
AND(C91&lt;&gt;""6x6 / 7x7"",I91&lt;&gt;"""",ISNUMBER(I91)=FALSE),""Cutoff måste vara positivt tal (x)"",
AND(H91&lt;&gt;"""",FILTER(Info!$E$2:E91, Info!$A$2:A91 = C91) = ""No"",FILTER(Info!$F$2:F91, Info!$A$2:A91 = C91) = ""No""),CONCATEN"&amp;"ATE(C91&amp;"" brukar inte ha c.t.l.""),
AND(I91&lt;&gt;"""",FILTER(Info!$E$2:E91, Info!$A$2:A91 = C91) = ""No"",FILTER(Info!$F$2:F91, Info!$A$2:A91 = C91) = ""No""),CONCATENATE(C91&amp;"" brukar inte ha cutoff""),
AND(H91="""",FILTER(Info!$F$2:F91, Info!$A$2:A91 = C91"&amp;") = ""Yes""),CONCATENATE(C91&amp;"" brukar ha c.t.l.""),
AND(C91&lt;&gt;""6x6 / 7x7"",C91&lt;&gt;""4x4 / 5x5 BLD"",G91&lt;&gt;"""",ISNUMBER(G91)=FALSE),""Time limit måste vara positivt tal (x)"",
J91=""J - Error"",CONCATENATE(""För få deltagare i R1 för ""&amp;COUNTIF($C$7:$C$102,"&amp;"indirect(""C""&amp;row()))&amp;"" rundor""),
J91=""K2 - Error"",CONCATENATE(C91&amp;"" är mer populär - byt i K2!""),
AND(C91&lt;&gt;""6x6 / 7x7"",C91&lt;&gt;""4x4 / 5x5 BLD"",G91&lt;&gt;"""",I91&lt;&gt;"""",G91&lt;=I91),""Time limit måste vara &gt; cutoff"",
AND(C91&lt;&gt;""6x6 / 7x7"",C91&lt;&gt;""4x4 / 5"&amp;"x5 BLD"",H91&lt;&gt;"""",I91&lt;&gt;"""",H91&lt;=I91),""C.t.l. måste vara &gt; cutoff"",
AND(C91&lt;&gt;""3x3 FMC"",C91&lt;&gt;""3x3 MBLD"",J91=""""),CONCATENATE(""Fyll i antal deltagare i J""&amp;row()),
AND(C91="""",OR(E91&lt;&gt;"""",F91&lt;&gt;"""",G91&lt;&gt;"""",H91&lt;&gt;"""",I91&lt;&gt;"""",J91&lt;&gt;"""")),""Skri"&amp;"v ALLTID gren / aktivitet först"",
AND(I91="""",H91="""",J91&lt;&gt;""""),J91,
OR(""3x3 FMC""=C91,""3x3 MBLD""=C91),J91,
AND(I91&lt;&gt;"""",""6x6 / 7x7""=C91),
IFS(ArrayFormula(SUM(IFERROR(SPLIT(I91,"" / ""))))&lt;(Info!$J$6+Info!$J$7)*2/3,CONCATENATE(""Höj helst cutof"&amp;"fs i ""&amp;C91),
ArrayFormula(SUM(IFERROR(SPLIT(I91,"" / ""))))&lt;=(Info!$J$6+Info!$J$7),ROUNDUP(J91*Info!$J$22),
ArrayFormula(SUM(IFERROR(SPLIT(I91,"" / ""))))&lt;=Info!$J$6+Info!$J$7,ROUNDUP(J91*Info!$K$22),
ArrayFormula(SUM(IFERROR(SPLIT(I91,"" / ""))))&lt;=Info!"&amp;"$K$6+Info!$K$7,ROUNDUP(J91*Info!L$22),
ArrayFormula(SUM(IFERROR(SPLIT(I91,"" / ""))))&lt;=Info!$L$6+Info!$L$7,ROUNDUP(J91*Info!$M$22),
ArrayFormula(SUM(IFERROR(SPLIT(I91,"" / ""))))&lt;=Info!$M$6+Info!$M$7,ROUNDUP(J91*Info!$N$22),
ArrayFormula(SUM(IFERROR(SPLIT"&amp;"(I91,"" / ""))))&lt;=(Info!$N$6+Info!$N$7)*3/2,ROUNDUP(J91*Info!$J$26),
ArrayFormula(SUM(IFERROR(SPLIT(I91,"" / ""))))&gt;(Info!$N$6+Info!$N$7)*3/2,CONCATENATE(""Sänk helst cutoffs i ""&amp;C91)),
AND(I91&lt;&gt;"""",FILTER(Info!$E$2:E91, Info!$A$2:A91 = C91) = ""Yes""),"&amp;"
IFS(I91&lt;FILTER(Info!$J$2:J91, Info!$A$2:A91 = C91)*2/3,CONCATENATE(""Höj helst cutoff i ""&amp;C91),
I91&lt;=FILTER(Info!$J$2:J91, Info!$A$2:A91 = C91),ROUNDUP(J91*Info!$J$22),
I91&lt;=FILTER(Info!$K$2:K91, Info!$A$2:A91 = C91),ROUNDUP(J91*Info!$K$22),
I91&lt;=FILTER"&amp;"(Info!$L$2:L91, Info!$A$2:A91 = C91),ROUNDUP(J91*Info!L$22),
I91&lt;=FILTER(Info!$M$2:M91, Info!$A$2:A91 = C91),ROUNDUP(J91*Info!$M$22),
I91&lt;=FILTER(Info!$N$2:N91, Info!$A$2:A91 = C91),ROUNDUP(J91*Info!$N$22),
I91&lt;=FILTER(Info!$N$2:N91, Info!$A$2:A91 = C91)*"&amp;"3/2,ROUNDUP(J91*Info!$J$26),
I91&gt;FILTER(Info!$N$2:N91, Info!$A$2:A91 = C91)*3/2,CONCATENATE(""Sänk helst cutoff i ""&amp;C91)),
AND(H91&lt;&gt;"""",""6x6 / 7x7""=C91),
IFS(H91/3&lt;=(Info!$J$6+Info!$J$7)*2/3,""Höj helst cumulative time limit"",
H91/3&lt;=Info!$J$6+Info!$"&amp;"J$7,ROUNDUP(J91*Info!$J$24),
H91/3&lt;=Info!$K$6+Info!$K$7,ROUNDUP(J91*Info!$K$24),
H91/3&lt;=Info!$L$6+Info!$L$7,ROUNDUP(J91*Info!L$24),
H91/3&lt;=Info!$M$6+Info!$M$7,ROUNDUP(J91*Info!$M$24),
H91/3&lt;=Info!$N$6+Info!$N$7,ROUNDUP(J91*Info!$N$24),
H91/3&lt;=(Info!$N$6+I"&amp;"nfo!$N$7)*3/2,ROUNDUP(J91*Info!$L$26),
H91/3&gt;(Info!$J$6+Info!$J$7)*3/2,""Sänk helst cumulative time limit""),
AND(H91&lt;&gt;"""",FILTER(Info!$F$2:F91, Info!$A$2:A91 = C91) = ""Yes""),
IFS(H91&lt;=FILTER(Info!$J$2:J91, Info!$A$2:A91 = C91)*2/3,CONCATENATE(""Höj he"&amp;"lst c.t.l. i ""&amp;C91),
H91&lt;=FILTER(Info!$J$2:J91, Info!$A$2:A91 = C91),ROUNDUP(J91*Info!$J$24),
H91&lt;=FILTER(Info!$K$2:K91, Info!$A$2:A91 = C91),ROUNDUP(J91*Info!$K$24),
H91&lt;=FILTER(Info!$L$2:L91, Info!$A$2:A91 = C91),ROUNDUP(J91*Info!L$24),
H91&lt;=FILTER(Inf"&amp;"o!$M$2:M91, Info!$A$2:A91 = C91),ROUNDUP(J91*Info!$M$24),
H91&lt;=FILTER(Info!$N$2:N91, Info!$A$2:A91 = C91),ROUNDUP(J91*Info!$N$24),
H91&lt;=FILTER(Info!$N$2:N91, Info!$A$2:A91 = C91)*3/2,ROUNDUP(J91*Info!$L$26),
H91&gt;FILTER(Info!$N$2:N91, Info!$A$2:A91 = C91)*"&amp;"3/2,CONCATENATE(""Sänk helst c.t.l. i ""&amp;C91)),
AND(H91&lt;&gt;"""",FILTER(Info!$F$2:F91, Info!$A$2:A91 = C91) = ""No""),
IFS(H91/AA91&lt;=FILTER(Info!$J$2:J91, Info!$A$2:A91 = C91)*2/3,CONCATENATE(""Höj helst c.t.l. i ""&amp;C91),
H91/AA91&lt;=FILTER(Info!$J$2:J91, Info"&amp;"!$A$2:A91 = C91),ROUNDUP(J91*Info!$J$24),
H91/AA91&lt;=FILTER(Info!$K$2:K91, Info!$A$2:A91 = C91),ROUNDUP(J91*Info!$K$24),
H91/AA91&lt;=FILTER(Info!$L$2:L91, Info!$A$2:A91 = C91),ROUNDUP(J91*Info!L$24),
H91/AA91&lt;=FILTER(Info!$M$2:M91, Info!$A$2:A91 = C91),ROUND"&amp;"UP(J91*Info!$M$24),
H91/AA91&lt;=FILTER(Info!$N$2:N91, Info!$A$2:A91 = C91),ROUNDUP(J91*Info!$N$24),
H91/AA91&lt;=FILTER(Info!$N$2:N91, Info!$A$2:A91 = C91)*3/2,ROUNDUP(J91*Info!$L$26),
H91/AA91&gt;FILTER(Info!$N$2:N91, Info!$A$2:A91 = C91)*3/2,CONCATENATE(""Sänk "&amp;"helst c.t.l. i ""&amp;C91)),
AND(I91="""",H91&lt;&gt;"""",J91&lt;&gt;""""),ROUNDUP(J91*Info!$T$29),
AND(I91&lt;&gt;"""",H91="""",J91&lt;&gt;""""),ROUNDUP(J91*Info!$T$26))"),"")</f>
        <v/>
      </c>
      <c r="L91" s="42">
        <f>IFERROR(__xludf.DUMMYFUNCTION("IFS(C91="""",0,
C91=""3x3 FMC"",Info!$B$9*N91+M91, C91=""3x3 MBLD"",Info!$B$18*N91+M91,
COUNTIF(Info!$A$22:A91,C91)&gt;0,FILTER(Info!$B$22:B91,Info!$A$22:A91=C91)+M91,
AND(C91&lt;&gt;"""",E91=""""),CONCATENATE(""Fyll i E""&amp;row()),
AND(C91&lt;&gt;"""",E91&lt;&gt;"""",E91&lt;&gt;1,E9"&amp;"1&lt;&gt;2,E91&lt;&gt;3,E91&lt;&gt;""Final""),CONCATENATE(""Fel format på E""&amp;row()),
K91=CONCATENATE(""Runda ""&amp;E91&amp;"" i ""&amp;C91&amp;"" finns redan""),CONCATENATE(""Fel i E""&amp;row()),
AND(C91&lt;&gt;"""",F91=""""),CONCATENATE(""Fyll i F""&amp;row()),
K91=CONCATENATE(C91&amp;"" måste ha forma"&amp;"tet ""&amp;FILTER(Info!$D$2:D91, Info!$A$2:A91 = C91)),CONCATENATE(""Fel format på F""&amp;row()),
AND(C91&lt;&gt;"""",D91=1,H91="""",FILTER(Info!$F$2:F91, Info!$A$2:A91 = C91) = ""Yes""),CONCATENATE(""Fyll i H""&amp;row()),
AND(C91&lt;&gt;"""",D91=1,I91="""",FILTER(Info!$E$2:E9"&amp;"1, Info!$A$2:A91 = C91) = ""Yes""),CONCATENATE(""Fyll i I""&amp;row()),
AND(C91&lt;&gt;"""",J91=""""),CONCATENATE(""Fyll i J""&amp;row()),
AND(C91&lt;&gt;"""",K91="""",OR(H91&lt;&gt;"""",I91&lt;&gt;"""")),CONCATENATE(""Fyll i K""&amp;row()),
AND(C91&lt;&gt;"""",K91=""""),CONCATENATE(""Skriv samma"&amp;" i K""&amp;row()&amp;"" som i J""&amp;row()),
AND(OR(C91=""4x4 BLD"",C91=""5x5 BLD"",C91=""4x4 / 5x5 BLD"")=TRUE,V91&lt;=P91),
MROUND(H91*(Info!$T$20-((Info!$T$20-1)/2)*(1-V91/P91))*(1+((J91/K91)-1)*(1-Info!$J$24))*N91+(Info!$T$11/2)+(N91*Info!$T$11)+(N91*Info!$T$14*(O9"&amp;"1-1)),0.01)+M91,
AND(OR(C91=""4x4 BLD"",C91=""5x5 BLD"",C91=""4x4 / 5x5 BLD"")=TRUE,V91&gt;P91),
MROUND((((J91*Z91+K91*(AA91-Z91))*(H91*Info!$T$20/AA91))/X91)*(1+((J91/K91)-1)*(1-Info!$J$24))*(1+(X91-Info!$T$8)/100)+(Info!$T$11/2)+(N91*Info!$T$11)+(N91*Info!"&amp;"$T$14*(O91-1)),0.01)+M91,
AND(C91=""3x3 BLD"",V91&lt;=P91),
MROUND(H91*(Info!$T$23-((Info!$T$23-1)/2)*(1-V91/P91))*(1+((J91/K91)-1)*(1-Info!$J$24))*N91+(Info!$T$11/2)+(N91*Info!$T$11)+(N91*Info!$T$14*(O91-1)),0.01)+M91,
AND(C91=""3x3 BLD"",V91&gt;P91),
MROUND(("&amp;"((J91*Z91+K91*(AA91-Z91))*(H91*Info!$T$23/AA91))/X91)*(1+((J91/K91)-1)*(1-Info!$J$24))*(1+(X91-Info!$T$8)/100)+(Info!$T$11/2)+(N91*Info!$T$11)+(N91*Info!$T$14*(O91-1)),0.01)+M91,
E91=1,MROUND((((J91*Z91+K91*(AA91-Z91))*Y91)/X91)*(1+(X91-Info!$T$8)/100)+(N"&amp;"91*Info!$T$11)+(N91*Info!$T$14*(O91-1)),0.01)+M91,
AND(E91=""Final"",N91=1,FILTER(Info!$G$2:$G$20,Info!$A$2:$A$20=C91)=""Mycket svår""),
MROUND((((J91*Z91+K91*(AA91-Z91))*(Y91*Info!$T$38))/X91)*(1+(X91-Info!$T$8)/100)+(N91*Info!$T$11)+(N91*Info!$T$14*(O91"&amp;"-1)),0.01)+M91,
AND(E91=""Final"",N91=1,FILTER(Info!$G$2:$G$20,Info!$A$2:$A$20=C91)=""Svår""),
MROUND((((J91*Z91+K91*(AA91-Z91))*(Y91*Info!$T$35))/X91)*(1+(X91-Info!$T$8)/100)+(N91*Info!$T$11)+(N91*Info!$T$14*(O91-1)),0.01)+M91,
E91=""Final"",MROUND((((J9"&amp;"1*Z91+K91*(AA91-Z91))*(Y91*Info!$T$5))/X91)*(1+(X91-Info!$T$8)/100)+(N91*Info!$T$11)+(N91*Info!$T$14*(O91-1)),0.01)+M91,
OR(E91=2,E91=3),MROUND((((J91*Z91+K91*(AA91-Z91))*(Y91*Info!$T$2))/X91)*(1+(X91-Info!$T$8)/100)+(N91*Info!$T$11)+(N91*Info!$T$14*(O91-"&amp;"1)),0.01)+M91)"),0.0)</f>
        <v>0</v>
      </c>
      <c r="M91" s="43">
        <f t="shared" si="9"/>
        <v>0</v>
      </c>
      <c r="N91" s="43" t="str">
        <f>IFS(OR(COUNTIF(Info!$A$22:A91,C91)&gt;0,C91=""),"",
OR(C91="4x4 BLD",C91="5x5 BLD",C91="3x3 MBLD",C91="3x3 FMC",C91="4x4 / 5x5 BLD"),1,
AND(E91="Final",Q91="Yes",MAX(1,ROUNDUP(J91/P91))&gt;1),MAX(2,ROUNDUP(J91/P91)),
AND(E91="Final",Q91="No",MAX(1,ROUNDUP(J91/((P91*2)+2.625-Y91*1.5)))&gt;1),MAX(2,ROUNDUP(J91/((P91*2)+2.625-Y91*1.5))),
E91="Final",1,
Q91="Yes",MAX(2,ROUNDUP(J91/P91)),
TRUE,MAX(2,ROUNDUP(J91/((P91*2)+2.625-Y91*1.5))))</f>
        <v/>
      </c>
      <c r="O91" s="43" t="str">
        <f>IFS(OR(COUNTIF(Info!$A$22:A91,C91)&gt;0,C91=""),"",
OR("3x3 MBLD"=C91,"3x3 FMC"=C91)=TRUE,"",
D91=$E$4,$G$6,D91=$K$4,$M$6,D91=$Q$4,$S$6,D91=$W$4,$Y$6,
TRUE,$S$2)</f>
        <v/>
      </c>
      <c r="P91" s="43" t="str">
        <f>IFS(OR(COUNTIF(Info!$A$22:A91,C91)&gt;0,C91=""),"",
OR("3x3 MBLD"=C91,"3x3 FMC"=C91)=TRUE,"",
D91=$E$4,$E$6,D91=$K$4,$K$6,D91=$Q$4,$Q$6,D91=$W$4,$W$6,
TRUE,$Q$2)</f>
        <v/>
      </c>
      <c r="Q91" s="44" t="str">
        <f>IFS(OR(COUNTIF(Info!$A$22:A91,C91)&gt;0,C91=""),"",
OR("3x3 MBLD"=C91,"3x3 FMC"=C91)=TRUE,"",
D91=$E$4,$I$6,D91=$K$4,$O$6,D91=$Q$4,$U$6,D91=$W$4,$AA$6,
TRUE,$U$2)</f>
        <v/>
      </c>
      <c r="R91" s="65" t="str">
        <f>IFERROR(__xludf.DUMMYFUNCTION("IF(C91="""","""",IFERROR(FILTER(Info!$B$22:B91,Info!$A$22:A91=C91)+M91,""?""))"),"")</f>
        <v/>
      </c>
      <c r="S91" s="66" t="str">
        <f>IFS(OR(COUNTIF(Info!$A$22:A91,C91)&gt;0,C91=""),"",
AND(H91="",I91=""),J91,
TRUE,"?")</f>
        <v/>
      </c>
      <c r="T91" s="65" t="str">
        <f>IFS(OR(COUNTIF(Info!$A$22:A91,C91)&gt;0,C91=""),"",
AND(L91&lt;&gt;0,OR(R91="?",R91="")),"Fyll i R-kolumnen",
OR(C91="3x3 FMC",C91="3x3 MBLD"),R91,
AND(L91&lt;&gt;0,OR(S91="?",S91="")),"Fyll i S-kolumnen",
OR(COUNTIF(Info!$A$22:A91,C91)&gt;0,C91=""),"",
TRUE,Y91*R91/L91)</f>
        <v/>
      </c>
      <c r="U91" s="65"/>
      <c r="V91" s="67" t="str">
        <f>IFS(OR(COUNTIF(Info!$A$22:A91,C91)&gt;0,C91=""),"",
OR("3x3 MBLD"=C91,"3x3 FMC"=C91)=TRUE,"",
TRUE,MROUND((J91/N91),0.01))</f>
        <v/>
      </c>
      <c r="W91" s="68" t="str">
        <f>IFS(OR(COUNTIF(Info!$A$22:A91,C91)&gt;0,C91=""),"",
TRUE,L91/N91)</f>
        <v/>
      </c>
      <c r="X91" s="67" t="str">
        <f>IFS(OR(COUNTIF(Info!$A$22:A91,C91)&gt;0,C91=""),"",
OR("3x3 MBLD"=C91,"3x3 FMC"=C91)=TRUE,"",
OR(C91="4x4 BLD",C91="5x5 BLD",C91="4x4 / 5x5 BLD",AND(C91="3x3 BLD",H91&lt;&gt;""))=TRUE,MIN(V91,P91),
TRUE,MIN(P91,V91,MROUND(((V91*2/3)+((Y91-1.625)/2)),0.01)))</f>
        <v/>
      </c>
      <c r="Y91" s="68" t="str">
        <f>IFERROR(__xludf.DUMMYFUNCTION("IFS(OR(COUNTIF(Info!$A$22:A91,C91)&gt;0,C91=""""),"""",
FILTER(Info!$F$2:F91, Info!$A$2:A91 = C91) = ""Yes"",H91/AA91,
""3x3 FMC""=C91,Info!$B$9,""3x3 MBLD""=C91,Info!$B$18,
AND(E91=1,I91="""",H91="""",Q91=""No"",G91&gt;SUMIF(Info!$A$2:A91,C91,Info!$B$2:B91)*1."&amp;"5),
MIN(SUMIF(Info!$A$2:A91,C91,Info!$B$2:B91)*1.1,SUMIF(Info!$A$2:A91,C91,Info!$B$2:B91)*(1.15-(0.15*(SUMIF(Info!$A$2:A91,C91,Info!$B$2:B91)*1.5)/G91))),
AND(E91=1,I91="""",H91="""",Q91=""Yes"",G91&gt;SUMIF(Info!$A$2:A91,C91,Info!$C$2:C91)*1.5),
MIN(SUMIF(I"&amp;"nfo!$A$2:A91,C91,Info!$C$2:C91)*1.1,SUMIF(Info!$A$2:A91,C91,Info!$C$2:C91)*(1.15-(0.15*(SUMIF(Info!$A$2:A91,C91,Info!$C$2:C91)*1.5)/G91))),
Q91=""No"",SUMIF(Info!$A$2:A91,C91,Info!$B$2:B91),
Q91=""Yes"",SUMIF(Info!$A$2:A91,C91,Info!$C$2:C91))"),"")</f>
        <v/>
      </c>
      <c r="Z91" s="67" t="str">
        <f>IFS(OR(COUNTIF(Info!$A$22:A91,C91)&gt;0,C91=""),"",
AND(OR("3x3 FMC"=C91,"3x3 MBLD"=C91),I91&lt;&gt;""),1,
AND(OR(H91&lt;&gt;"",I91&lt;&gt;""),F91="Avg of 5"),2,
F91="Avg of 5",AA91,
AND(OR(H91&lt;&gt;"",I91&lt;&gt;""),F91="Mean of 3",C91="6x6 / 7x7"),2,
AND(OR(H91&lt;&gt;"",I91&lt;&gt;""),F91="Mean of 3"),1,
F91="Mean of 3",AA91,
AND(OR(H91&lt;&gt;"",I91&lt;&gt;""),F91="Best of 3",C91="4x4 / 5x5 BLD"),2,
AND(OR(H91&lt;&gt;"",I91&lt;&gt;""),F91="Best of 3"),1,
F91="Best of 2",AA91,
F91="Best of 1",AA91)</f>
        <v/>
      </c>
      <c r="AA91" s="67" t="str">
        <f>IFS(OR(COUNTIF(Info!$A$22:A91,C91)&gt;0,C91=""),"",
AND(OR("3x3 MBLD"=C91,"3x3 FMC"=C91),F91="Best of 1"=TRUE),1,
AND(OR("3x3 MBLD"=C91,"3x3 FMC"=C91),F91="Best of 2"=TRUE),2,
AND(OR("3x3 MBLD"=C91,"3x3 FMC"=C91),OR(F91="Best of 3",F91="Mean of 3")=TRUE),3,
AND(F91="Mean of 3",C91="6x6 / 7x7"),6,
AND(F91="Best of 3",C91="4x4 / 5x5 BLD"),6,
F91="Avg of 5",5,F91="Mean of 3",3,F91="Best of 3",3,F91="Best of 2",2,F91="Best of 1",1)</f>
        <v/>
      </c>
      <c r="AB91" s="69"/>
    </row>
    <row r="92" ht="15.75" customHeight="1">
      <c r="A92" s="62">
        <f>IFERROR(__xludf.DUMMYFUNCTION("IFS(indirect(""A""&amp;row()-1)=""Start"",TIME(indirect(""A""&amp;row()-2),indirect(""B""&amp;row()-2),0),
$O$2=""No"",TIME(0,($A$6*60+$B$6)+CEILING(SUM($L$7:indirect(""L""&amp;row()-1)),5),0),
D92=$E$2,TIME(0,($A$6*60+$B$6)+CEILING(SUM(IFERROR(FILTER($L$7:indirect(""L"""&amp;"&amp;row()-1),REGEXMATCH($D$7:indirect(""D""&amp;row()-1),$E$2)),0)),5),0),
TRUE,""=time(hh;mm;ss)"")"),0.3541666666666665)</f>
        <v>0.3541666667</v>
      </c>
      <c r="B92" s="63">
        <f>IFERROR(__xludf.DUMMYFUNCTION("IFS($O$2=""No"",TIME(0,($A$6*60+$B$6)+CEILING(SUM($L$7:indirect(""L""&amp;row())),5),0),
D92=$E$2,TIME(0,($A$6*60+$B$6)+CEILING(SUM(FILTER($L$7:indirect(""L""&amp;row()),REGEXMATCH($D$7:indirect(""D""&amp;row()),$E$2))),5),0),
A92=""=time(hh;mm;ss)"",CONCATENATE(""Sk"&amp;"riv tid i A""&amp;row()),
AND(A92&lt;&gt;"""",A92&lt;&gt;""=time(hh;mm;ss)""),A92+TIME(0,CEILING(indirect(""L""&amp;row()),5),0))"),0.3541666666666665)</f>
        <v>0.3541666667</v>
      </c>
      <c r="C92" s="37"/>
      <c r="D92" s="64" t="str">
        <f t="shared" si="10"/>
        <v>Stora salen</v>
      </c>
      <c r="E92" s="64" t="str">
        <f>IFERROR(__xludf.DUMMYFUNCTION("IFS(COUNTIF(Info!$A$22:A92,C92)&gt;0,"""",
AND(OR(""3x3 FMC""=C92,""3x3 MBLD""=C92),COUNTIF($C$7:indirect(""C""&amp;row()),indirect(""C""&amp;row()))&gt;=13),""E - Error"",
AND(OR(""3x3 FMC""=C92,""3x3 MBLD""=C92),COUNTIF($C$7:indirect(""C""&amp;row()),indirect(""C""&amp;row()"&amp;"))=12),""Final - A3"",
AND(OR(""3x3 FMC""=C92,""3x3 MBLD""=C92),COUNTIF($C$7:indirect(""C""&amp;row()),indirect(""C""&amp;row()))=11),""Final - A2"",
AND(OR(""3x3 FMC""=C92,""3x3 MBLD""=C92),COUNTIF($C$7:indirect(""C""&amp;row()),indirect(""C""&amp;row()))=10),""Final - "&amp;"A1"",
AND(OR(""3x3 FMC""=C92,""3x3 MBLD""=C92),COUNTIF($C$7:indirect(""C""&amp;row()),indirect(""C""&amp;row()))=9,
COUNTIF($C$7:$C$102,indirect(""C""&amp;row()))&gt;9),""R3 - A3"",
AND(OR(""3x3 FMC""=C92,""3x3 MBLD""=C92),COUNTIF($C$7:indirect(""C""&amp;row()),indirect(""C"&amp;"""&amp;row()))=9,
COUNTIF($C$7:$C$102,indirect(""C""&amp;row()))&lt;=9),""Final - A3"",
AND(OR(""3x3 FMC""=C92,""3x3 MBLD""=C92),COUNTIF($C$7:indirect(""C""&amp;row()),indirect(""C""&amp;row()))=8,
COUNTIF($C$7:$C$102,indirect(""C""&amp;row()))&gt;9),""R3 - A2"",
AND(OR(""3x3 FMC"&amp;"""=C92,""3x3 MBLD""=C92),COUNTIF($C$7:indirect(""C""&amp;row()),indirect(""C""&amp;row()))=8,
COUNTIF($C$7:$C$102,indirect(""C""&amp;row()))&lt;=9),""Final - A2"",
AND(OR(""3x3 FMC""=C92,""3x3 MBLD""=C92),COUNTIF($C$7:indirect(""C""&amp;row()),indirect(""C""&amp;row()))=7,
COUN"&amp;"TIF($C$7:$C$102,indirect(""C""&amp;row()))&gt;9),""R3 - A1"",
AND(OR(""3x3 FMC""=C92,""3x3 MBLD""=C92),COUNTIF($C$7:indirect(""C""&amp;row()),indirect(""C""&amp;row()))=7,
COUNTIF($C$7:$C$102,indirect(""C""&amp;row()))&lt;=9),""Final - A1"",
AND(OR(""3x3 FMC""=C92,""3x3 MBLD"""&amp;"=C92),COUNTIF($C$7:indirect(""C""&amp;row()),indirect(""C""&amp;row()))=6,
COUNTIF($C$7:$C$102,indirect(""C""&amp;row()))&gt;6),""R2 - A3"",
AND(OR(""3x3 FMC""=C92,""3x3 MBLD""=C92),COUNTIF($C$7:indirect(""C""&amp;row()),indirect(""C""&amp;row()))=6,
COUNTIF($C$7:$C$102,indirec"&amp;"t(""C""&amp;row()))&lt;=6),""Final - A3"",
AND(OR(""3x3 FMC""=C92,""3x3 MBLD""=C92),COUNTIF($C$7:indirect(""C""&amp;row()),indirect(""C""&amp;row()))=5,
COUNTIF($C$7:$C$102,indirect(""C""&amp;row()))&gt;6),""R2 - A2"",
AND(OR(""3x3 FMC""=C92,""3x3 MBLD""=C92),COUNTIF($C$7:indi"&amp;"rect(""C""&amp;row()),indirect(""C""&amp;row()))=5,
COUNTIF($C$7:$C$102,indirect(""C""&amp;row()))&lt;=6),""Final - A2"",
AND(OR(""3x3 FMC""=C92,""3x3 MBLD""=C92),COUNTIF($C$7:indirect(""C""&amp;row()),indirect(""C""&amp;row()))=4,
COUNTIF($C$7:$C$102,indirect(""C""&amp;row()))&gt;6),"&amp;"""R2 - A1"",
AND(OR(""3x3 FMC""=C92,""3x3 MBLD""=C92),COUNTIF($C$7:indirect(""C""&amp;row()),indirect(""C""&amp;row()))=4,
COUNTIF($C$7:$C$102,indirect(""C""&amp;row()))&lt;=6),""Final - A1"",
AND(OR(""3x3 FMC""=C92,""3x3 MBLD""=C92),COUNTIF($C$7:indirect(""C""&amp;row()),i"&amp;"ndirect(""C""&amp;row()))=3),""R1 - A3"",
AND(OR(""3x3 FMC""=C92,""3x3 MBLD""=C92),COUNTIF($C$7:indirect(""C""&amp;row()),indirect(""C""&amp;row()))=2),""R1 - A2"",
AND(OR(""3x3 FMC""=C92,""3x3 MBLD""=C92),COUNTIF($C$7:indirect(""C""&amp;row()),indirect(""C""&amp;row()))=1),"&amp;"""R1 -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92, Info!$A$2:A92 = C92),ROUNDUP((FILTER(Info!$H$2:H92,Info!$A$2:A92=C92)/FILTER(Info!$H$2:H92,Info!$A$2:A92=$K$2))*$I$2)&gt;99),3,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92, Info!$A$2:A92 = C92),ROUNDUP((FILTER(Info!$H$2:H92,Info!$A$2:A92=C92)/FILTER(Info!$H$2:H92,Info!$A$2:A92=$K$2))*$I$2)&gt;15),2,
AND(COUNTIF($C$7:indirect(""C""&amp;row()),indirect(""C""&amp;row()))=2,COUNTIF($C$7:$C$102,indirect(""C""&amp;row()))=COUNTIF($"&amp;"C$7:indirect(""C""&amp;row()),indirect(""C""&amp;row()))),""Final"",
COUNTIF($C$7:indirect(""C""&amp;row()),indirect(""C""&amp;row()))=1,1,
COUNTIF($C$7:indirect(""C""&amp;row()),indirect(""C""&amp;row()))=0,"""")"),"")</f>
        <v/>
      </c>
      <c r="F92" s="64" t="str">
        <f>IFERROR(__xludf.DUMMYFUNCTION("IFS(C92="""","""",
AND(C92=""3x3 FMC"",MOD(COUNTIF($C$7:indirect(""C""&amp;row()),indirect(""C""&amp;row())),3)=0),""Mean of 3"",
AND(C92=""3x3 MBLD"",MOD(COUNTIF($C$7:indirect(""C""&amp;row()),indirect(""C""&amp;row())),3)=0),""Best of 3"",
AND(C92=""3x3 FMC"",MOD(COUNT"&amp;"IF($C$7:indirect(""C""&amp;row()),indirect(""C""&amp;row())),3)=2,
COUNTIF($C$7:$C$102,indirect(""C""&amp;row()))&lt;=COUNTIF($C$7:indirect(""C""&amp;row()),indirect(""C""&amp;row()))),""Best of 2"",
AND(C92=""3x3 FMC"",MOD(COUNTIF($C$7:indirect(""C""&amp;row()),indirect(""C""&amp;row("&amp;"))),3)=2,
COUNTIF($C$7:$C$102,indirect(""C""&amp;row()))&gt;COUNTIF($C$7:indirect(""C""&amp;row()),indirect(""C""&amp;row()))),""Mean of 3"",
AND(C92=""3x3 MBLD"",MOD(COUNTIF($C$7:indirect(""C""&amp;row()),indirect(""C""&amp;row())),3)=2,
COUNTIF($C$7:$C$102,indirect(""C""&amp;row("&amp;")))&lt;=COUNTIF($C$7:indirect(""C""&amp;row()),indirect(""C""&amp;row()))),""Best of 2"",
AND(C92=""3x3 MBLD"",MOD(COUNTIF($C$7:indirect(""C""&amp;row()),indirect(""C""&amp;row())),3)=2,
COUNTIF($C$7:$C$102,indirect(""C""&amp;row()))&gt;COUNTIF($C$7:indirect(""C""&amp;row()),indirect("&amp;"""C""&amp;row()))),""Best of 3"",
AND(C92=""3x3 FMC"",MOD(COUNTIF($C$7:indirect(""C""&amp;row()),indirect(""C""&amp;row())),3)=1,
COUNTIF($C$7:$C$102,indirect(""C""&amp;row()))&lt;=COUNTIF($C$7:indirect(""C""&amp;row()),indirect(""C""&amp;row()))),""Best of 1"",
AND(C92=""3x3 FMC"""&amp;",MOD(COUNTIF($C$7:indirect(""C""&amp;row()),indirect(""C""&amp;row())),3)=1,
COUNTIF($C$7:$C$102,indirect(""C""&amp;row()))=COUNTIF($C$7:indirect(""C""&amp;row()),indirect(""C""&amp;row()))+1),""Best of 2"",
AND(C92=""3x3 FMC"",MOD(COUNTIF($C$7:indirect(""C""&amp;row()),indirect"&amp;"(""C""&amp;row())),3)=1,
COUNTIF($C$7:$C$102,indirect(""C""&amp;row()))&gt;COUNTIF($C$7:indirect(""C""&amp;row()),indirect(""C""&amp;row()))),""Mean of 3"",
AND(C92=""3x3 MBLD"",MOD(COUNTIF($C$7:indirect(""C""&amp;row()),indirect(""C""&amp;row())),3)=1,
COUNTIF($C$7:$C$102,indirect"&amp;"(""C""&amp;row()))&lt;=COUNTIF($C$7:indirect(""C""&amp;row()),indirect(""C""&amp;row()))),""Best of 1"",
AND(C92=""3x3 MBLD"",MOD(COUNTIF($C$7:indirect(""C""&amp;row()),indirect(""C""&amp;row())),3)=1,
COUNTIF($C$7:$C$102,indirect(""C""&amp;row()))=COUNTIF($C$7:indirect(""C""&amp;row()"&amp;"),indirect(""C""&amp;row()))+1),""Best of 2"",
AND(C92=""3x3 MBLD"",MOD(COUNTIF($C$7:indirect(""C""&amp;row()),indirect(""C""&amp;row())),3)=1,
COUNTIF($C$7:$C$102,indirect(""C""&amp;row()))&gt;COUNTIF($C$7:indirect(""C""&amp;row()),indirect(""C""&amp;row()))),""Best of 3"",
TRUE,("&amp;"IFERROR(FILTER(Info!$D$2:D92, Info!$A$2:A92 = C92), """")))"),"")</f>
        <v/>
      </c>
      <c r="G92" s="64" t="str">
        <f>IFERROR(__xludf.DUMMYFUNCTION("IFS(OR(COUNTIF(Info!$A$22:A92,C92)&gt;0,C92=""""),"""",
OR(""3x3 MBLD""=C92,""3x3 FMC""=C92),60,
AND(E92=1,FILTER(Info!$F$2:F92, Info!$A$2:A92 = C92) = ""No""),FILTER(Info!$P$2:P92, Info!$A$2:A92 = C92),
AND(E92=2,FILTER(Info!$F$2:F92, Info!$A$2:A92 = C92) ="&amp;" ""No""),FILTER(Info!$Q$2:Q92, Info!$A$2:A92 = C92),
AND(E92=3,FILTER(Info!$F$2:F92, Info!$A$2:A92 = C92) = ""No""),FILTER(Info!$R$2:R92, Info!$A$2:A92 = C92),
AND(E92=""Final"",FILTER(Info!$F$2:F92, Info!$A$2:A92 = C92) = ""No""),FILTER(Info!$S$2:S92, In"&amp;"fo!$A$2:A92 = C92),
FILTER(Info!$F$2:F92, Info!$A$2:A92 = C92) = ""Yes"","""")"),"")</f>
        <v/>
      </c>
      <c r="H92" s="64" t="str">
        <f>IFERROR(__xludf.DUMMYFUNCTION("IFS(OR(COUNTIF(Info!$A$22:A92,C92)&gt;0,C92=""""),"""",
OR(""3x3 MBLD""=C92,""3x3 FMC""=C92)=TRUE,"""",
FILTER(Info!$F$2:F92, Info!$A$2:A92 = C92) = ""Yes"",FILTER(Info!$O$2:O92, Info!$A$2:A92 = C92),
FILTER(Info!$F$2:F92, Info!$A$2:A92 = C92) = ""No"",IF(G9"&amp;"2="""",FILTER(Info!$O$2:O92, Info!$A$2:A92 = C92),""""))"),"")</f>
        <v/>
      </c>
      <c r="I92" s="64" t="str">
        <f>IFERROR(__xludf.DUMMYFUNCTION("IFS(OR(COUNTIF(Info!$A$22:A92,C92)&gt;0,C92="""",H92&lt;&gt;""""),"""",
AND(E92&lt;&gt;1,E92&lt;&gt;""R1 - A1"",E92&lt;&gt;""R1 - A2"",E92&lt;&gt;""R1 - A3""),"""",
FILTER(Info!$E$2:E92, Info!$A$2:A92 = C92) = ""Yes"",IF(H92="""",FILTER(Info!$L$2:L92, Info!$A$2:A92 = C92),""""),
FILTER(I"&amp;"nfo!$E$2:E92, Info!$A$2:A92 = C92) = ""No"","""")"),"")</f>
        <v/>
      </c>
      <c r="J92" s="64" t="str">
        <f>IFERROR(__xludf.DUMMYFUNCTION("IFS(OR(COUNTIF(Info!$A$22:A92,C92)&gt;0,C92="""",""3x3 MBLD""=C92,""3x3 FMC""=C92),"""",
AND(E92=1,FILTER(Info!$H$2:H92,Info!$A$2:A92 = C92)&lt;=FILTER(Info!$H$2:H92,Info!$A$2:A92=$K$2)),
ROUNDUP((FILTER(Info!$H$2:H92,Info!$A$2:A92 = C92)/FILTER(Info!$H$2:H92,I"&amp;"nfo!$A$2:A92=$K$2))*$I$2),
AND(E92=1,FILTER(Info!$H$2:H92,Info!$A$2:A92 = C92)&gt;FILTER(Info!$H$2:H92,Info!$A$2:A92=$K$2)),""K2 - Error"",
AND(E92=2,FILTER($J$7:indirect(""J""&amp;row()-1),$C$7:indirect(""C""&amp;row()-1)=C92)&lt;=7),""J - Error"",
E92=2,FLOOR(FILTER("&amp;"$J$7:indirect(""J""&amp;row()-1),$C$7:indirect(""C""&amp;row()-1)=C92)*Info!$T$32),
AND(E92=3,FILTER($J$7:indirect(""J""&amp;row()-1),$C$7:indirect(""C""&amp;row()-1)=C92)&lt;=15),""J - Error"",
E92=3,FLOOR(Info!$T$32*FLOOR(FILTER($J$7:indirect(""J""&amp;row()-1),$C$7:indirect("&amp;"""C""&amp;row()-1)=C92)*Info!$T$32)),
AND(E92=""Final"",COUNTIF($C$7:$C$102,C92)=2,FILTER($J$7:indirect(""J""&amp;row()-1),$C$7:indirect(""C""&amp;row()-1)=C92)&lt;=7),""J - Error"",
AND(E92=""Final"",COUNTIF($C$7:$C$102,C92)=2),
MIN(P92,FLOOR(FILTER($J$7:indirect(""J"""&amp;"&amp;row()-1),$C$7:indirect(""C""&amp;row()-1)=C92)*Info!$T$32)),
AND(E92=""Final"",COUNTIF($C$7:$C$102,C92)=3,FILTER($J$7:indirect(""J""&amp;row()-1),$C$7:indirect(""C""&amp;row()-1)=C92)&lt;=15),""J - Error"",
AND(E92=""Final"",COUNTIF($C$7:$C$102,C92)=3),
MIN(P92,FLOOR(I"&amp;"nfo!$T$32*FLOOR(FILTER($J$7:indirect(""J""&amp;row()-1),$C$7:indirect(""C""&amp;row()-1)=C92)*Info!$T$32))),
AND(E92=""Final"",COUNTIF($C$7:$C$102,C92)&gt;=4,FILTER($J$7:indirect(""J""&amp;row()-1),$C$7:indirect(""C""&amp;row()-1)=C92)&lt;=99),""J - Error"",
AND(E92=""Final"","&amp;"COUNTIF($C$7:$C$102,C92)&gt;=4),
MIN(P92,FLOOR(Info!$T$32*FLOOR(Info!$T$32*FLOOR(FILTER($J$7:indirect(""J""&amp;row()-1),$C$7:indirect(""C""&amp;row()-1)=C92)*Info!$T$32)))))"),"")</f>
        <v/>
      </c>
      <c r="K92" s="41" t="str">
        <f>IFERROR(__xludf.DUMMYFUNCTION("IFS(AND(indirect(""D""&amp;row()+2)&lt;&gt;$E$2,indirect(""D""&amp;row()+1)=""""),CONCATENATE(""Tom rad! Kopiera hela rad ""&amp;row()&amp;"" dit""),
AND(indirect(""D""&amp;row()-1)&lt;&gt;""Rum"",indirect(""D""&amp;row()-1)=""""),CONCATENATE(""Tom rad! Kopiera hela rad ""&amp;row()&amp;"" dit""),
"&amp;"C92="""","""",
COUNTIF(Info!$A$22:A92,$K$2)&gt;0,""Det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OR(AND(D92&lt;&gt;$E$2,D92&lt;&gt;$E$4,D92&lt;&gt;$K$4,D92&lt;&gt;$Q$4),D92="&amp;"""""),CONCATENATE(""Rum: ""&amp;D92&amp;"" finns ej, byt i D""&amp;row()),
AND(indirect(""D""&amp;row()-1)=""Rum"",C92=""""),CONCATENATE(""För att börja: skriv i cell C""&amp;row()),
AND(C92=""Paus"",M92&lt;=0),CONCATENATE(""Skriv pausens längd i M""&amp;row()),
OR(COUNTIF(Info!$A$"&amp;"22:A92,C92)&gt;0,C92=""""),"""",
AND(D92&lt;&gt;$E$2,$O$2=""Yes"",A92=""=time(hh;mm;ss)""),CONCATENATE(""Skriv starttid för ""&amp;C92&amp;"" i A""&amp;row()),
E92=""E - Error"",CONCATENATE(""För många ""&amp;C92&amp;"" rundor!""),
AND(C92&lt;&gt;""3x3 FMC"",C92&lt;&gt;""3x3 MBLD"",E92&lt;&gt;1,E92&lt;&gt;"&amp;"""Final"",IFERROR(FILTER($E$7:indirect(""E""&amp;row()-1),
$E$7:indirect(""E""&amp;row()-1)=E92-1,$C$7:indirect(""C""&amp;row()-1)=C92))=FALSE),CONCATENATE(""Kan ej vara R""&amp;E92&amp;"", saknar R""&amp;(E92-1)),
AND(indirect(""E""&amp;row()-1)&lt;&gt;""Omgång"",IFERROR(FILTER($E$7:indi"&amp;"rect(""E""&amp;row()-1),
$E$7:indirect(""E""&amp;row()-1)=E92,$C$7:indirect(""C""&amp;row()-1)=C92)=E92)=TRUE),CONCATENATE(""Runda ""&amp;E92&amp;"" i ""&amp;C92&amp;"" finns redan""),
AND(C92&lt;&gt;""3x3 BLD"",C92&lt;&gt;""4x4 BLD"",C92&lt;&gt;""5x5 BLD"",C92&lt;&gt;""4x4 / 5x5 BLD"",OR(E92=2,E92=3,E92="&amp;"""Final""),H92&lt;&gt;""""),CONCATENATE(E92&amp;""-rundor brukar ej ha c.t.l.""),
AND(OR(E92=2,E92=3,E92=""Final""),I92&lt;&gt;""""),CONCATENATE(E92&amp;""-rundor brukar ej ha cutoff""),
AND(OR(C92=""3x3 FMC"",C92=""3x3 MBLD""),OR(E92=1,E92=2,E92=3,E92=""Final"")),CONCATENAT"&amp;"E(C92&amp;""s omgång är Rx - Ax""),
AND(C92&lt;&gt;""3x3 MBLD"",C92&lt;&gt;""3x3 FMC"",FILTER(Info!$D$2:D92, Info!$A$2:A92 = C92)&lt;&gt;F92),CONCATENATE(C92&amp;"" måste ha formatet ""&amp;FILTER(Info!$D$2:D92, Info!$A$2:A92 = C92)),
AND(C92=""3x3 MBLD"",OR(F92=""Avg of 5"",F92=""Mea"&amp;"n of 3"")),CONCATENATE(""Ogiltigt format för ""&amp;C92),
AND(C92=""3x3 FMC"",OR(F92=""Avg of 5"",F92=""Best of 3"")),CONCATENATE(""Ogiltigt format för ""&amp;C92),
AND(OR(F92=""Best of 1"",F92=""Best of 2"",F92=""Best of 3""),I92&lt;&gt;""""),CONCATENATE(F92&amp;""-rundor"&amp;" får ej ha cutoff""),
AND(OR(C92=""3x3 FMC"",C92=""3x3 MBLD""),G92&lt;&gt;60),CONCATENATE(C92&amp;"" måste ha time limit: 60""),
AND(OR(C92=""3x3 FMC"",C92=""3x3 MBLD""),H92&lt;&gt;""""),CONCATENATE(C92&amp;"" kan inte ha c.t.l.""),
AND(G92&lt;&gt;"""",H92&lt;&gt;""""),""Välj time limit"&amp;" ELLER c.t.l"",
AND(C92=""6x6 / 7x7"",G92="""",H92=""""),""Sätt time limit (x / y) eller c.t.l (z)"",
AND(G92="""",H92=""""),""Sätt en time limit eller c.t.l"",
AND(OR(C92=""6x6 / 7x7"",C92=""4x4 / 5x5 BLD""),G92&lt;&gt;"""",REGEXMATCH(TO_TEXT(G92),"" / "")=FAL"&amp;"SE),CONCATENATE(""Time limit måste vara x / y""),
AND(H92&lt;&gt;"""",I92&lt;&gt;""""),CONCATENATE(C92&amp;"" brukar ej ha cutoff OCH c.t.l""),
AND(E92=1,H92="""",I92="""",OR(FILTER(Info!$E$2:E92, Info!$A$2:A92 = C92) = ""Yes"",FILTER(Info!$F$2:F92, Info!$A$2:A92 = C92) "&amp;"= ""Yes""),OR(F92=""Avg of 5"",F92=""Mean of 3"")),CONCATENATE(C92&amp;"" bör ha cutoff eller c.t.l""),
AND(C92=""6x6 / 7x7"",I92&lt;&gt;"""",REGEXMATCH(TO_TEXT(I92),"" / "")=FALSE),CONCATENATE(""Cutoff måste vara x / y""),
AND(H92&lt;&gt;"""",ISNUMBER(H92)=FALSE),""C.t."&amp;"l. måste vara positivt tal (x)"",
AND(C92&lt;&gt;""6x6 / 7x7"",I92&lt;&gt;"""",ISNUMBER(I92)=FALSE),""Cutoff måste vara positivt tal (x)"",
AND(H92&lt;&gt;"""",FILTER(Info!$E$2:E92, Info!$A$2:A92 = C92) = ""No"",FILTER(Info!$F$2:F92, Info!$A$2:A92 = C92) = ""No""),CONCATEN"&amp;"ATE(C92&amp;"" brukar inte ha c.t.l.""),
AND(I92&lt;&gt;"""",FILTER(Info!$E$2:E92, Info!$A$2:A92 = C92) = ""No"",FILTER(Info!$F$2:F92, Info!$A$2:A92 = C92) = ""No""),CONCATENATE(C92&amp;"" brukar inte ha cutoff""),
AND(H92="""",FILTER(Info!$F$2:F92, Info!$A$2:A92 = C92"&amp;") = ""Yes""),CONCATENATE(C92&amp;"" brukar ha c.t.l.""),
AND(C92&lt;&gt;""6x6 / 7x7"",C92&lt;&gt;""4x4 / 5x5 BLD"",G92&lt;&gt;"""",ISNUMBER(G92)=FALSE),""Time limit måste vara positivt tal (x)"",
J92=""J - Error"",CONCATENATE(""För få deltagare i R1 för ""&amp;COUNTIF($C$7:$C$102,"&amp;"indirect(""C""&amp;row()))&amp;"" rundor""),
J92=""K2 - Error"",CONCATENATE(C92&amp;"" är mer populär - byt i K2!""),
AND(C92&lt;&gt;""6x6 / 7x7"",C92&lt;&gt;""4x4 / 5x5 BLD"",G92&lt;&gt;"""",I92&lt;&gt;"""",G92&lt;=I92),""Time limit måste vara &gt; cutoff"",
AND(C92&lt;&gt;""6x6 / 7x7"",C92&lt;&gt;""4x4 / 5"&amp;"x5 BLD"",H92&lt;&gt;"""",I92&lt;&gt;"""",H92&lt;=I92),""C.t.l. måste vara &gt; cutoff"",
AND(C92&lt;&gt;""3x3 FMC"",C92&lt;&gt;""3x3 MBLD"",J92=""""),CONCATENATE(""Fyll i antal deltagare i J""&amp;row()),
AND(C92="""",OR(E92&lt;&gt;"""",F92&lt;&gt;"""",G92&lt;&gt;"""",H92&lt;&gt;"""",I92&lt;&gt;"""",J92&lt;&gt;"""")),""Skri"&amp;"v ALLTID gren / aktivitet först"",
AND(I92="""",H92="""",J92&lt;&gt;""""),J92,
OR(""3x3 FMC""=C92,""3x3 MBLD""=C92),J92,
AND(I92&lt;&gt;"""",""6x6 / 7x7""=C92),
IFS(ArrayFormula(SUM(IFERROR(SPLIT(I92,"" / ""))))&lt;(Info!$J$6+Info!$J$7)*2/3,CONCATENATE(""Höj helst cutof"&amp;"fs i ""&amp;C92),
ArrayFormula(SUM(IFERROR(SPLIT(I92,"" / ""))))&lt;=(Info!$J$6+Info!$J$7),ROUNDUP(J92*Info!$J$22),
ArrayFormula(SUM(IFERROR(SPLIT(I92,"" / ""))))&lt;=Info!$J$6+Info!$J$7,ROUNDUP(J92*Info!$K$22),
ArrayFormula(SUM(IFERROR(SPLIT(I92,"" / ""))))&lt;=Info!"&amp;"$K$6+Info!$K$7,ROUNDUP(J92*Info!L$22),
ArrayFormula(SUM(IFERROR(SPLIT(I92,"" / ""))))&lt;=Info!$L$6+Info!$L$7,ROUNDUP(J92*Info!$M$22),
ArrayFormula(SUM(IFERROR(SPLIT(I92,"" / ""))))&lt;=Info!$M$6+Info!$M$7,ROUNDUP(J92*Info!$N$22),
ArrayFormula(SUM(IFERROR(SPLIT"&amp;"(I92,"" / ""))))&lt;=(Info!$N$6+Info!$N$7)*3/2,ROUNDUP(J92*Info!$J$26),
ArrayFormula(SUM(IFERROR(SPLIT(I92,"" / ""))))&gt;(Info!$N$6+Info!$N$7)*3/2,CONCATENATE(""Sänk helst cutoffs i ""&amp;C92)),
AND(I92&lt;&gt;"""",FILTER(Info!$E$2:E92, Info!$A$2:A92 = C92) = ""Yes""),"&amp;"
IFS(I92&lt;FILTER(Info!$J$2:J92, Info!$A$2:A92 = C92)*2/3,CONCATENATE(""Höj helst cutoff i ""&amp;C92),
I92&lt;=FILTER(Info!$J$2:J92, Info!$A$2:A92 = C92),ROUNDUP(J92*Info!$J$22),
I92&lt;=FILTER(Info!$K$2:K92, Info!$A$2:A92 = C92),ROUNDUP(J92*Info!$K$22),
I92&lt;=FILTER"&amp;"(Info!$L$2:L92, Info!$A$2:A92 = C92),ROUNDUP(J92*Info!L$22),
I92&lt;=FILTER(Info!$M$2:M92, Info!$A$2:A92 = C92),ROUNDUP(J92*Info!$M$22),
I92&lt;=FILTER(Info!$N$2:N92, Info!$A$2:A92 = C92),ROUNDUP(J92*Info!$N$22),
I92&lt;=FILTER(Info!$N$2:N92, Info!$A$2:A92 = C92)*"&amp;"3/2,ROUNDUP(J92*Info!$J$26),
I92&gt;FILTER(Info!$N$2:N92, Info!$A$2:A92 = C92)*3/2,CONCATENATE(""Sänk helst cutoff i ""&amp;C92)),
AND(H92&lt;&gt;"""",""6x6 / 7x7""=C92),
IFS(H92/3&lt;=(Info!$J$6+Info!$J$7)*2/3,""Höj helst cumulative time limit"",
H92/3&lt;=Info!$J$6+Info!$"&amp;"J$7,ROUNDUP(J92*Info!$J$24),
H92/3&lt;=Info!$K$6+Info!$K$7,ROUNDUP(J92*Info!$K$24),
H92/3&lt;=Info!$L$6+Info!$L$7,ROUNDUP(J92*Info!L$24),
H92/3&lt;=Info!$M$6+Info!$M$7,ROUNDUP(J92*Info!$M$24),
H92/3&lt;=Info!$N$6+Info!$N$7,ROUNDUP(J92*Info!$N$24),
H92/3&lt;=(Info!$N$6+I"&amp;"nfo!$N$7)*3/2,ROUNDUP(J92*Info!$L$26),
H92/3&gt;(Info!$J$6+Info!$J$7)*3/2,""Sänk helst cumulative time limit""),
AND(H92&lt;&gt;"""",FILTER(Info!$F$2:F92, Info!$A$2:A92 = C92) = ""Yes""),
IFS(H92&lt;=FILTER(Info!$J$2:J92, Info!$A$2:A92 = C92)*2/3,CONCATENATE(""Höj he"&amp;"lst c.t.l. i ""&amp;C92),
H92&lt;=FILTER(Info!$J$2:J92, Info!$A$2:A92 = C92),ROUNDUP(J92*Info!$J$24),
H92&lt;=FILTER(Info!$K$2:K92, Info!$A$2:A92 = C92),ROUNDUP(J92*Info!$K$24),
H92&lt;=FILTER(Info!$L$2:L92, Info!$A$2:A92 = C92),ROUNDUP(J92*Info!L$24),
H92&lt;=FILTER(Inf"&amp;"o!$M$2:M92, Info!$A$2:A92 = C92),ROUNDUP(J92*Info!$M$24),
H92&lt;=FILTER(Info!$N$2:N92, Info!$A$2:A92 = C92),ROUNDUP(J92*Info!$N$24),
H92&lt;=FILTER(Info!$N$2:N92, Info!$A$2:A92 = C92)*3/2,ROUNDUP(J92*Info!$L$26),
H92&gt;FILTER(Info!$N$2:N92, Info!$A$2:A92 = C92)*"&amp;"3/2,CONCATENATE(""Sänk helst c.t.l. i ""&amp;C92)),
AND(H92&lt;&gt;"""",FILTER(Info!$F$2:F92, Info!$A$2:A92 = C92) = ""No""),
IFS(H92/AA92&lt;=FILTER(Info!$J$2:J92, Info!$A$2:A92 = C92)*2/3,CONCATENATE(""Höj helst c.t.l. i ""&amp;C92),
H92/AA92&lt;=FILTER(Info!$J$2:J92, Info"&amp;"!$A$2:A92 = C92),ROUNDUP(J92*Info!$J$24),
H92/AA92&lt;=FILTER(Info!$K$2:K92, Info!$A$2:A92 = C92),ROUNDUP(J92*Info!$K$24),
H92/AA92&lt;=FILTER(Info!$L$2:L92, Info!$A$2:A92 = C92),ROUNDUP(J92*Info!L$24),
H92/AA92&lt;=FILTER(Info!$M$2:M92, Info!$A$2:A92 = C92),ROUND"&amp;"UP(J92*Info!$M$24),
H92/AA92&lt;=FILTER(Info!$N$2:N92, Info!$A$2:A92 = C92),ROUNDUP(J92*Info!$N$24),
H92/AA92&lt;=FILTER(Info!$N$2:N92, Info!$A$2:A92 = C92)*3/2,ROUNDUP(J92*Info!$L$26),
H92/AA92&gt;FILTER(Info!$N$2:N92, Info!$A$2:A92 = C92)*3/2,CONCATENATE(""Sänk "&amp;"helst c.t.l. i ""&amp;C92)),
AND(I92="""",H92&lt;&gt;"""",J92&lt;&gt;""""),ROUNDUP(J92*Info!$T$29),
AND(I92&lt;&gt;"""",H92="""",J92&lt;&gt;""""),ROUNDUP(J92*Info!$T$26))"),"")</f>
        <v/>
      </c>
      <c r="L92" s="42">
        <f>IFERROR(__xludf.DUMMYFUNCTION("IFS(C92="""",0,
C92=""3x3 FMC"",Info!$B$9*N92+M92, C92=""3x3 MBLD"",Info!$B$18*N92+M92,
COUNTIF(Info!$A$22:A92,C92)&gt;0,FILTER(Info!$B$22:B92,Info!$A$22:A92=C92)+M92,
AND(C92&lt;&gt;"""",E92=""""),CONCATENATE(""Fyll i E""&amp;row()),
AND(C92&lt;&gt;"""",E92&lt;&gt;"""",E92&lt;&gt;1,E9"&amp;"2&lt;&gt;2,E92&lt;&gt;3,E92&lt;&gt;""Final""),CONCATENATE(""Fel format på E""&amp;row()),
K92=CONCATENATE(""Runda ""&amp;E92&amp;"" i ""&amp;C92&amp;"" finns redan""),CONCATENATE(""Fel i E""&amp;row()),
AND(C92&lt;&gt;"""",F92=""""),CONCATENATE(""Fyll i F""&amp;row()),
K92=CONCATENATE(C92&amp;"" måste ha forma"&amp;"tet ""&amp;FILTER(Info!$D$2:D92, Info!$A$2:A92 = C92)),CONCATENATE(""Fel format på F""&amp;row()),
AND(C92&lt;&gt;"""",D92=1,H92="""",FILTER(Info!$F$2:F92, Info!$A$2:A92 = C92) = ""Yes""),CONCATENATE(""Fyll i H""&amp;row()),
AND(C92&lt;&gt;"""",D92=1,I92="""",FILTER(Info!$E$2:E9"&amp;"2, Info!$A$2:A92 = C92) = ""Yes""),CONCATENATE(""Fyll i I""&amp;row()),
AND(C92&lt;&gt;"""",J92=""""),CONCATENATE(""Fyll i J""&amp;row()),
AND(C92&lt;&gt;"""",K92="""",OR(H92&lt;&gt;"""",I92&lt;&gt;"""")),CONCATENATE(""Fyll i K""&amp;row()),
AND(C92&lt;&gt;"""",K92=""""),CONCATENATE(""Skriv samma"&amp;" i K""&amp;row()&amp;"" som i J""&amp;row()),
AND(OR(C92=""4x4 BLD"",C92=""5x5 BLD"",C92=""4x4 / 5x5 BLD"")=TRUE,V92&lt;=P92),
MROUND(H92*(Info!$T$20-((Info!$T$20-1)/2)*(1-V92/P92))*(1+((J92/K92)-1)*(1-Info!$J$24))*N92+(Info!$T$11/2)+(N92*Info!$T$11)+(N92*Info!$T$14*(O9"&amp;"2-1)),0.01)+M92,
AND(OR(C92=""4x4 BLD"",C92=""5x5 BLD"",C92=""4x4 / 5x5 BLD"")=TRUE,V92&gt;P92),
MROUND((((J92*Z92+K92*(AA92-Z92))*(H92*Info!$T$20/AA92))/X92)*(1+((J92/K92)-1)*(1-Info!$J$24))*(1+(X92-Info!$T$8)/100)+(Info!$T$11/2)+(N92*Info!$T$11)+(N92*Info!"&amp;"$T$14*(O92-1)),0.01)+M92,
AND(C92=""3x3 BLD"",V92&lt;=P92),
MROUND(H92*(Info!$T$23-((Info!$T$23-1)/2)*(1-V92/P92))*(1+((J92/K92)-1)*(1-Info!$J$24))*N92+(Info!$T$11/2)+(N92*Info!$T$11)+(N92*Info!$T$14*(O92-1)),0.01)+M92,
AND(C92=""3x3 BLD"",V92&gt;P92),
MROUND(("&amp;"((J92*Z92+K92*(AA92-Z92))*(H92*Info!$T$23/AA92))/X92)*(1+((J92/K92)-1)*(1-Info!$J$24))*(1+(X92-Info!$T$8)/100)+(Info!$T$11/2)+(N92*Info!$T$11)+(N92*Info!$T$14*(O92-1)),0.01)+M92,
E92=1,MROUND((((J92*Z92+K92*(AA92-Z92))*Y92)/X92)*(1+(X92-Info!$T$8)/100)+(N"&amp;"92*Info!$T$11)+(N92*Info!$T$14*(O92-1)),0.01)+M92,
AND(E92=""Final"",N92=1,FILTER(Info!$G$2:$G$20,Info!$A$2:$A$20=C92)=""Mycket svår""),
MROUND((((J92*Z92+K92*(AA92-Z92))*(Y92*Info!$T$38))/X92)*(1+(X92-Info!$T$8)/100)+(N92*Info!$T$11)+(N92*Info!$T$14*(O92"&amp;"-1)),0.01)+M92,
AND(E92=""Final"",N92=1,FILTER(Info!$G$2:$G$20,Info!$A$2:$A$20=C92)=""Svår""),
MROUND((((J92*Z92+K92*(AA92-Z92))*(Y92*Info!$T$35))/X92)*(1+(X92-Info!$T$8)/100)+(N92*Info!$T$11)+(N92*Info!$T$14*(O92-1)),0.01)+M92,
E92=""Final"",MROUND((((J9"&amp;"2*Z92+K92*(AA92-Z92))*(Y92*Info!$T$5))/X92)*(1+(X92-Info!$T$8)/100)+(N92*Info!$T$11)+(N92*Info!$T$14*(O92-1)),0.01)+M92,
OR(E92=2,E92=3),MROUND((((J92*Z92+K92*(AA92-Z92))*(Y92*Info!$T$2))/X92)*(1+(X92-Info!$T$8)/100)+(N92*Info!$T$11)+(N92*Info!$T$14*(O92-"&amp;"1)),0.01)+M92)"),0.0)</f>
        <v>0</v>
      </c>
      <c r="M92" s="43">
        <f t="shared" si="9"/>
        <v>0</v>
      </c>
      <c r="N92" s="43" t="str">
        <f>IFS(OR(COUNTIF(Info!$A$22:A92,C92)&gt;0,C92=""),"",
OR(C92="4x4 BLD",C92="5x5 BLD",C92="3x3 MBLD",C92="3x3 FMC",C92="4x4 / 5x5 BLD"),1,
AND(E92="Final",Q92="Yes",MAX(1,ROUNDUP(J92/P92))&gt;1),MAX(2,ROUNDUP(J92/P92)),
AND(E92="Final",Q92="No",MAX(1,ROUNDUP(J92/((P92*2)+2.625-Y92*1.5)))&gt;1),MAX(2,ROUNDUP(J92/((P92*2)+2.625-Y92*1.5))),
E92="Final",1,
Q92="Yes",MAX(2,ROUNDUP(J92/P92)),
TRUE,MAX(2,ROUNDUP(J92/((P92*2)+2.625-Y92*1.5))))</f>
        <v/>
      </c>
      <c r="O92" s="43" t="str">
        <f>IFS(OR(COUNTIF(Info!$A$22:A92,C92)&gt;0,C92=""),"",
OR("3x3 MBLD"=C92,"3x3 FMC"=C92)=TRUE,"",
D92=$E$4,$G$6,D92=$K$4,$M$6,D92=$Q$4,$S$6,D92=$W$4,$Y$6,
TRUE,$S$2)</f>
        <v/>
      </c>
      <c r="P92" s="43" t="str">
        <f>IFS(OR(COUNTIF(Info!$A$22:A92,C92)&gt;0,C92=""),"",
OR("3x3 MBLD"=C92,"3x3 FMC"=C92)=TRUE,"",
D92=$E$4,$E$6,D92=$K$4,$K$6,D92=$Q$4,$Q$6,D92=$W$4,$W$6,
TRUE,$Q$2)</f>
        <v/>
      </c>
      <c r="Q92" s="44" t="str">
        <f>IFS(OR(COUNTIF(Info!$A$22:A92,C92)&gt;0,C92=""),"",
OR("3x3 MBLD"=C92,"3x3 FMC"=C92)=TRUE,"",
D92=$E$4,$I$6,D92=$K$4,$O$6,D92=$Q$4,$U$6,D92=$W$4,$AA$6,
TRUE,$U$2)</f>
        <v/>
      </c>
      <c r="R92" s="65" t="str">
        <f>IFERROR(__xludf.DUMMYFUNCTION("IF(C92="""","""",IFERROR(FILTER(Info!$B$22:B92,Info!$A$22:A92=C92)+M92,""?""))"),"")</f>
        <v/>
      </c>
      <c r="S92" s="66" t="str">
        <f>IFS(OR(COUNTIF(Info!$A$22:A92,C92)&gt;0,C92=""),"",
AND(H92="",I92=""),J92,
TRUE,"?")</f>
        <v/>
      </c>
      <c r="T92" s="65" t="str">
        <f>IFS(OR(COUNTIF(Info!$A$22:A92,C92)&gt;0,C92=""),"",
AND(L92&lt;&gt;0,OR(R92="?",R92="")),"Fyll i R-kolumnen",
OR(C92="3x3 FMC",C92="3x3 MBLD"),R92,
AND(L92&lt;&gt;0,OR(S92="?",S92="")),"Fyll i S-kolumnen",
OR(COUNTIF(Info!$A$22:A92,C92)&gt;0,C92=""),"",
TRUE,Y92*R92/L92)</f>
        <v/>
      </c>
      <c r="U92" s="65"/>
      <c r="V92" s="67" t="str">
        <f>IFS(OR(COUNTIF(Info!$A$22:A92,C92)&gt;0,C92=""),"",
OR("3x3 MBLD"=C92,"3x3 FMC"=C92)=TRUE,"",
TRUE,MROUND((J92/N92),0.01))</f>
        <v/>
      </c>
      <c r="W92" s="68" t="str">
        <f>IFS(OR(COUNTIF(Info!$A$22:A92,C92)&gt;0,C92=""),"",
TRUE,L92/N92)</f>
        <v/>
      </c>
      <c r="X92" s="67" t="str">
        <f>IFS(OR(COUNTIF(Info!$A$22:A92,C92)&gt;0,C92=""),"",
OR("3x3 MBLD"=C92,"3x3 FMC"=C92)=TRUE,"",
OR(C92="4x4 BLD",C92="5x5 BLD",C92="4x4 / 5x5 BLD",AND(C92="3x3 BLD",H92&lt;&gt;""))=TRUE,MIN(V92,P92),
TRUE,MIN(P92,V92,MROUND(((V92*2/3)+((Y92-1.625)/2)),0.01)))</f>
        <v/>
      </c>
      <c r="Y92" s="68" t="str">
        <f>IFERROR(__xludf.DUMMYFUNCTION("IFS(OR(COUNTIF(Info!$A$22:A92,C92)&gt;0,C92=""""),"""",
FILTER(Info!$F$2:F92, Info!$A$2:A92 = C92) = ""Yes"",H92/AA92,
""3x3 FMC""=C92,Info!$B$9,""3x3 MBLD""=C92,Info!$B$18,
AND(E92=1,I92="""",H92="""",Q92=""No"",G92&gt;SUMIF(Info!$A$2:A92,C92,Info!$B$2:B92)*1."&amp;"5),
MIN(SUMIF(Info!$A$2:A92,C92,Info!$B$2:B92)*1.1,SUMIF(Info!$A$2:A92,C92,Info!$B$2:B92)*(1.15-(0.15*(SUMIF(Info!$A$2:A92,C92,Info!$B$2:B92)*1.5)/G92))),
AND(E92=1,I92="""",H92="""",Q92=""Yes"",G92&gt;SUMIF(Info!$A$2:A92,C92,Info!$C$2:C92)*1.5),
MIN(SUMIF(I"&amp;"nfo!$A$2:A92,C92,Info!$C$2:C92)*1.1,SUMIF(Info!$A$2:A92,C92,Info!$C$2:C92)*(1.15-(0.15*(SUMIF(Info!$A$2:A92,C92,Info!$C$2:C92)*1.5)/G92))),
Q92=""No"",SUMIF(Info!$A$2:A92,C92,Info!$B$2:B92),
Q92=""Yes"",SUMIF(Info!$A$2:A92,C92,Info!$C$2:C92))"),"")</f>
        <v/>
      </c>
      <c r="Z92" s="67" t="str">
        <f>IFS(OR(COUNTIF(Info!$A$22:A92,C92)&gt;0,C92=""),"",
AND(OR("3x3 FMC"=C92,"3x3 MBLD"=C92),I92&lt;&gt;""),1,
AND(OR(H92&lt;&gt;"",I92&lt;&gt;""),F92="Avg of 5"),2,
F92="Avg of 5",AA92,
AND(OR(H92&lt;&gt;"",I92&lt;&gt;""),F92="Mean of 3",C92="6x6 / 7x7"),2,
AND(OR(H92&lt;&gt;"",I92&lt;&gt;""),F92="Mean of 3"),1,
F92="Mean of 3",AA92,
AND(OR(H92&lt;&gt;"",I92&lt;&gt;""),F92="Best of 3",C92="4x4 / 5x5 BLD"),2,
AND(OR(H92&lt;&gt;"",I92&lt;&gt;""),F92="Best of 3"),1,
F92="Best of 2",AA92,
F92="Best of 1",AA92)</f>
        <v/>
      </c>
      <c r="AA92" s="67" t="str">
        <f>IFS(OR(COUNTIF(Info!$A$22:A92,C92)&gt;0,C92=""),"",
AND(OR("3x3 MBLD"=C92,"3x3 FMC"=C92),F92="Best of 1"=TRUE),1,
AND(OR("3x3 MBLD"=C92,"3x3 FMC"=C92),F92="Best of 2"=TRUE),2,
AND(OR("3x3 MBLD"=C92,"3x3 FMC"=C92),OR(F92="Best of 3",F92="Mean of 3")=TRUE),3,
AND(F92="Mean of 3",C92="6x6 / 7x7"),6,
AND(F92="Best of 3",C92="4x4 / 5x5 BLD"),6,
F92="Avg of 5",5,F92="Mean of 3",3,F92="Best of 3",3,F92="Best of 2",2,F92="Best of 1",1)</f>
        <v/>
      </c>
      <c r="AB92" s="69"/>
    </row>
    <row r="93" ht="15.75" customHeight="1">
      <c r="A93" s="62">
        <f>IFERROR(__xludf.DUMMYFUNCTION("IFS(indirect(""A""&amp;row()-1)=""Start"",TIME(indirect(""A""&amp;row()-2),indirect(""B""&amp;row()-2),0),
$O$2=""No"",TIME(0,($A$6*60+$B$6)+CEILING(SUM($L$7:indirect(""L""&amp;row()-1)),5),0),
D93=$E$2,TIME(0,($A$6*60+$B$6)+CEILING(SUM(IFERROR(FILTER($L$7:indirect(""L"""&amp;"&amp;row()-1),REGEXMATCH($D$7:indirect(""D""&amp;row()-1),$E$2)),0)),5),0),
TRUE,""=time(hh;mm;ss)"")"),0.3541666666666665)</f>
        <v>0.3541666667</v>
      </c>
      <c r="B93" s="63">
        <f>IFERROR(__xludf.DUMMYFUNCTION("IFS($O$2=""No"",TIME(0,($A$6*60+$B$6)+CEILING(SUM($L$7:indirect(""L""&amp;row())),5),0),
D93=$E$2,TIME(0,($A$6*60+$B$6)+CEILING(SUM(FILTER($L$7:indirect(""L""&amp;row()),REGEXMATCH($D$7:indirect(""D""&amp;row()),$E$2))),5),0),
A93=""=time(hh;mm;ss)"",CONCATENATE(""Sk"&amp;"riv tid i A""&amp;row()),
AND(A93&lt;&gt;"""",A93&lt;&gt;""=time(hh;mm;ss)""),A93+TIME(0,CEILING(indirect(""L""&amp;row()),5),0))"),0.3541666666666665)</f>
        <v>0.3541666667</v>
      </c>
      <c r="C93" s="37"/>
      <c r="D93" s="64" t="str">
        <f t="shared" si="10"/>
        <v>Stora salen</v>
      </c>
      <c r="E93" s="64" t="str">
        <f>IFERROR(__xludf.DUMMYFUNCTION("IFS(COUNTIF(Info!$A$22:A93,C93)&gt;0,"""",
AND(OR(""3x3 FMC""=C93,""3x3 MBLD""=C93),COUNTIF($C$7:indirect(""C""&amp;row()),indirect(""C""&amp;row()))&gt;=13),""E - Error"",
AND(OR(""3x3 FMC""=C93,""3x3 MBLD""=C93),COUNTIF($C$7:indirect(""C""&amp;row()),indirect(""C""&amp;row()"&amp;"))=12),""Final - A3"",
AND(OR(""3x3 FMC""=C93,""3x3 MBLD""=C93),COUNTIF($C$7:indirect(""C""&amp;row()),indirect(""C""&amp;row()))=11),""Final - A2"",
AND(OR(""3x3 FMC""=C93,""3x3 MBLD""=C93),COUNTIF($C$7:indirect(""C""&amp;row()),indirect(""C""&amp;row()))=10),""Final - "&amp;"A1"",
AND(OR(""3x3 FMC""=C93,""3x3 MBLD""=C93),COUNTIF($C$7:indirect(""C""&amp;row()),indirect(""C""&amp;row()))=9,
COUNTIF($C$7:$C$102,indirect(""C""&amp;row()))&gt;9),""R3 - A3"",
AND(OR(""3x3 FMC""=C93,""3x3 MBLD""=C93),COUNTIF($C$7:indirect(""C""&amp;row()),indirect(""C"&amp;"""&amp;row()))=9,
COUNTIF($C$7:$C$102,indirect(""C""&amp;row()))&lt;=9),""Final - A3"",
AND(OR(""3x3 FMC""=C93,""3x3 MBLD""=C93),COUNTIF($C$7:indirect(""C""&amp;row()),indirect(""C""&amp;row()))=8,
COUNTIF($C$7:$C$102,indirect(""C""&amp;row()))&gt;9),""R3 - A2"",
AND(OR(""3x3 FMC"&amp;"""=C93,""3x3 MBLD""=C93),COUNTIF($C$7:indirect(""C""&amp;row()),indirect(""C""&amp;row()))=8,
COUNTIF($C$7:$C$102,indirect(""C""&amp;row()))&lt;=9),""Final - A2"",
AND(OR(""3x3 FMC""=C93,""3x3 MBLD""=C93),COUNTIF($C$7:indirect(""C""&amp;row()),indirect(""C""&amp;row()))=7,
COUN"&amp;"TIF($C$7:$C$102,indirect(""C""&amp;row()))&gt;9),""R3 - A1"",
AND(OR(""3x3 FMC""=C93,""3x3 MBLD""=C93),COUNTIF($C$7:indirect(""C""&amp;row()),indirect(""C""&amp;row()))=7,
COUNTIF($C$7:$C$102,indirect(""C""&amp;row()))&lt;=9),""Final - A1"",
AND(OR(""3x3 FMC""=C93,""3x3 MBLD"""&amp;"=C93),COUNTIF($C$7:indirect(""C""&amp;row()),indirect(""C""&amp;row()))=6,
COUNTIF($C$7:$C$102,indirect(""C""&amp;row()))&gt;6),""R2 - A3"",
AND(OR(""3x3 FMC""=C93,""3x3 MBLD""=C93),COUNTIF($C$7:indirect(""C""&amp;row()),indirect(""C""&amp;row()))=6,
COUNTIF($C$7:$C$102,indirec"&amp;"t(""C""&amp;row()))&lt;=6),""Final - A3"",
AND(OR(""3x3 FMC""=C93,""3x3 MBLD""=C93),COUNTIF($C$7:indirect(""C""&amp;row()),indirect(""C""&amp;row()))=5,
COUNTIF($C$7:$C$102,indirect(""C""&amp;row()))&gt;6),""R2 - A2"",
AND(OR(""3x3 FMC""=C93,""3x3 MBLD""=C93),COUNTIF($C$7:indi"&amp;"rect(""C""&amp;row()),indirect(""C""&amp;row()))=5,
COUNTIF($C$7:$C$102,indirect(""C""&amp;row()))&lt;=6),""Final - A2"",
AND(OR(""3x3 FMC""=C93,""3x3 MBLD""=C93),COUNTIF($C$7:indirect(""C""&amp;row()),indirect(""C""&amp;row()))=4,
COUNTIF($C$7:$C$102,indirect(""C""&amp;row()))&gt;6),"&amp;"""R2 - A1"",
AND(OR(""3x3 FMC""=C93,""3x3 MBLD""=C93),COUNTIF($C$7:indirect(""C""&amp;row()),indirect(""C""&amp;row()))=4,
COUNTIF($C$7:$C$102,indirect(""C""&amp;row()))&lt;=6),""Final - A1"",
AND(OR(""3x3 FMC""=C93,""3x3 MBLD""=C93),COUNTIF($C$7:indirect(""C""&amp;row()),i"&amp;"ndirect(""C""&amp;row()))=3),""R1 - A3"",
AND(OR(""3x3 FMC""=C93,""3x3 MBLD""=C93),COUNTIF($C$7:indirect(""C""&amp;row()),indirect(""C""&amp;row()))=2),""R1 - A2"",
AND(OR(""3x3 FMC""=C93,""3x3 MBLD""=C93),COUNTIF($C$7:indirect(""C""&amp;row()),indirect(""C""&amp;row()))=1),"&amp;"""R1 -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93, Info!$A$2:A93 = C93),ROUNDUP((FILTER(Info!$H$2:H93,Info!$A$2:A93=C93)/FILTER(Info!$H$2:H93,Info!$A$2:A93=$K$2))*$I$2)&gt;99),3,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93, Info!$A$2:A93 = C93),ROUNDUP((FILTER(Info!$H$2:H93,Info!$A$2:A93=C93)/FILTER(Info!$H$2:H93,Info!$A$2:A93=$K$2))*$I$2)&gt;15),2,
AND(COUNTIF($C$7:indirect(""C""&amp;row()),indirect(""C""&amp;row()))=2,COUNTIF($C$7:$C$102,indirect(""C""&amp;row()))=COUNTIF($"&amp;"C$7:indirect(""C""&amp;row()),indirect(""C""&amp;row()))),""Final"",
COUNTIF($C$7:indirect(""C""&amp;row()),indirect(""C""&amp;row()))=1,1,
COUNTIF($C$7:indirect(""C""&amp;row()),indirect(""C""&amp;row()))=0,"""")"),"")</f>
        <v/>
      </c>
      <c r="F93" s="64" t="str">
        <f>IFERROR(__xludf.DUMMYFUNCTION("IFS(C93="""","""",
AND(C93=""3x3 FMC"",MOD(COUNTIF($C$7:indirect(""C""&amp;row()),indirect(""C""&amp;row())),3)=0),""Mean of 3"",
AND(C93=""3x3 MBLD"",MOD(COUNTIF($C$7:indirect(""C""&amp;row()),indirect(""C""&amp;row())),3)=0),""Best of 3"",
AND(C93=""3x3 FMC"",MOD(COUNT"&amp;"IF($C$7:indirect(""C""&amp;row()),indirect(""C""&amp;row())),3)=2,
COUNTIF($C$7:$C$102,indirect(""C""&amp;row()))&lt;=COUNTIF($C$7:indirect(""C""&amp;row()),indirect(""C""&amp;row()))),""Best of 2"",
AND(C93=""3x3 FMC"",MOD(COUNTIF($C$7:indirect(""C""&amp;row()),indirect(""C""&amp;row("&amp;"))),3)=2,
COUNTIF($C$7:$C$102,indirect(""C""&amp;row()))&gt;COUNTIF($C$7:indirect(""C""&amp;row()),indirect(""C""&amp;row()))),""Mean of 3"",
AND(C93=""3x3 MBLD"",MOD(COUNTIF($C$7:indirect(""C""&amp;row()),indirect(""C""&amp;row())),3)=2,
COUNTIF($C$7:$C$102,indirect(""C""&amp;row("&amp;")))&lt;=COUNTIF($C$7:indirect(""C""&amp;row()),indirect(""C""&amp;row()))),""Best of 2"",
AND(C93=""3x3 MBLD"",MOD(COUNTIF($C$7:indirect(""C""&amp;row()),indirect(""C""&amp;row())),3)=2,
COUNTIF($C$7:$C$102,indirect(""C""&amp;row()))&gt;COUNTIF($C$7:indirect(""C""&amp;row()),indirect("&amp;"""C""&amp;row()))),""Best of 3"",
AND(C93=""3x3 FMC"",MOD(COUNTIF($C$7:indirect(""C""&amp;row()),indirect(""C""&amp;row())),3)=1,
COUNTIF($C$7:$C$102,indirect(""C""&amp;row()))&lt;=COUNTIF($C$7:indirect(""C""&amp;row()),indirect(""C""&amp;row()))),""Best of 1"",
AND(C93=""3x3 FMC"""&amp;",MOD(COUNTIF($C$7:indirect(""C""&amp;row()),indirect(""C""&amp;row())),3)=1,
COUNTIF($C$7:$C$102,indirect(""C""&amp;row()))=COUNTIF($C$7:indirect(""C""&amp;row()),indirect(""C""&amp;row()))+1),""Best of 2"",
AND(C93=""3x3 FMC"",MOD(COUNTIF($C$7:indirect(""C""&amp;row()),indirect"&amp;"(""C""&amp;row())),3)=1,
COUNTIF($C$7:$C$102,indirect(""C""&amp;row()))&gt;COUNTIF($C$7:indirect(""C""&amp;row()),indirect(""C""&amp;row()))),""Mean of 3"",
AND(C93=""3x3 MBLD"",MOD(COUNTIF($C$7:indirect(""C""&amp;row()),indirect(""C""&amp;row())),3)=1,
COUNTIF($C$7:$C$102,indirect"&amp;"(""C""&amp;row()))&lt;=COUNTIF($C$7:indirect(""C""&amp;row()),indirect(""C""&amp;row()))),""Best of 1"",
AND(C93=""3x3 MBLD"",MOD(COUNTIF($C$7:indirect(""C""&amp;row()),indirect(""C""&amp;row())),3)=1,
COUNTIF($C$7:$C$102,indirect(""C""&amp;row()))=COUNTIF($C$7:indirect(""C""&amp;row()"&amp;"),indirect(""C""&amp;row()))+1),""Best of 2"",
AND(C93=""3x3 MBLD"",MOD(COUNTIF($C$7:indirect(""C""&amp;row()),indirect(""C""&amp;row())),3)=1,
COUNTIF($C$7:$C$102,indirect(""C""&amp;row()))&gt;COUNTIF($C$7:indirect(""C""&amp;row()),indirect(""C""&amp;row()))),""Best of 3"",
TRUE,("&amp;"IFERROR(FILTER(Info!$D$2:D93, Info!$A$2:A93 = C93), """")))"),"")</f>
        <v/>
      </c>
      <c r="G93" s="64" t="str">
        <f>IFERROR(__xludf.DUMMYFUNCTION("IFS(OR(COUNTIF(Info!$A$22:A93,C93)&gt;0,C93=""""),"""",
OR(""3x3 MBLD""=C93,""3x3 FMC""=C93),60,
AND(E93=1,FILTER(Info!$F$2:F93, Info!$A$2:A93 = C93) = ""No""),FILTER(Info!$P$2:P93, Info!$A$2:A93 = C93),
AND(E93=2,FILTER(Info!$F$2:F93, Info!$A$2:A93 = C93) ="&amp;" ""No""),FILTER(Info!$Q$2:Q93, Info!$A$2:A93 = C93),
AND(E93=3,FILTER(Info!$F$2:F93, Info!$A$2:A93 = C93) = ""No""),FILTER(Info!$R$2:R93, Info!$A$2:A93 = C93),
AND(E93=""Final"",FILTER(Info!$F$2:F93, Info!$A$2:A93 = C93) = ""No""),FILTER(Info!$S$2:S93, In"&amp;"fo!$A$2:A93 = C93),
FILTER(Info!$F$2:F93, Info!$A$2:A93 = C93) = ""Yes"","""")"),"")</f>
        <v/>
      </c>
      <c r="H93" s="64" t="str">
        <f>IFERROR(__xludf.DUMMYFUNCTION("IFS(OR(COUNTIF(Info!$A$22:A93,C93)&gt;0,C93=""""),"""",
OR(""3x3 MBLD""=C93,""3x3 FMC""=C93)=TRUE,"""",
FILTER(Info!$F$2:F93, Info!$A$2:A93 = C93) = ""Yes"",FILTER(Info!$O$2:O93, Info!$A$2:A93 = C93),
FILTER(Info!$F$2:F93, Info!$A$2:A93 = C93) = ""No"",IF(G9"&amp;"3="""",FILTER(Info!$O$2:O93, Info!$A$2:A93 = C93),""""))"),"")</f>
        <v/>
      </c>
      <c r="I93" s="64" t="str">
        <f>IFERROR(__xludf.DUMMYFUNCTION("IFS(OR(COUNTIF(Info!$A$22:A93,C93)&gt;0,C93="""",H93&lt;&gt;""""),"""",
AND(E93&lt;&gt;1,E93&lt;&gt;""R1 - A1"",E93&lt;&gt;""R1 - A2"",E93&lt;&gt;""R1 - A3""),"""",
FILTER(Info!$E$2:E93, Info!$A$2:A93 = C93) = ""Yes"",IF(H93="""",FILTER(Info!$L$2:L93, Info!$A$2:A93 = C93),""""),
FILTER(I"&amp;"nfo!$E$2:E93, Info!$A$2:A93 = C93) = ""No"","""")"),"")</f>
        <v/>
      </c>
      <c r="J93" s="64" t="str">
        <f>IFERROR(__xludf.DUMMYFUNCTION("IFS(OR(COUNTIF(Info!$A$22:A93,C93)&gt;0,C93="""",""3x3 MBLD""=C93,""3x3 FMC""=C93),"""",
AND(E93=1,FILTER(Info!$H$2:H93,Info!$A$2:A93 = C93)&lt;=FILTER(Info!$H$2:H93,Info!$A$2:A93=$K$2)),
ROUNDUP((FILTER(Info!$H$2:H93,Info!$A$2:A93 = C93)/FILTER(Info!$H$2:H93,I"&amp;"nfo!$A$2:A93=$K$2))*$I$2),
AND(E93=1,FILTER(Info!$H$2:H93,Info!$A$2:A93 = C93)&gt;FILTER(Info!$H$2:H93,Info!$A$2:A93=$K$2)),""K2 - Error"",
AND(E93=2,FILTER($J$7:indirect(""J""&amp;row()-1),$C$7:indirect(""C""&amp;row()-1)=C93)&lt;=7),""J - Error"",
E93=2,FLOOR(FILTER("&amp;"$J$7:indirect(""J""&amp;row()-1),$C$7:indirect(""C""&amp;row()-1)=C93)*Info!$T$32),
AND(E93=3,FILTER($J$7:indirect(""J""&amp;row()-1),$C$7:indirect(""C""&amp;row()-1)=C93)&lt;=15),""J - Error"",
E93=3,FLOOR(Info!$T$32*FLOOR(FILTER($J$7:indirect(""J""&amp;row()-1),$C$7:indirect("&amp;"""C""&amp;row()-1)=C93)*Info!$T$32)),
AND(E93=""Final"",COUNTIF($C$7:$C$102,C93)=2,FILTER($J$7:indirect(""J""&amp;row()-1),$C$7:indirect(""C""&amp;row()-1)=C93)&lt;=7),""J - Error"",
AND(E93=""Final"",COUNTIF($C$7:$C$102,C93)=2),
MIN(P93,FLOOR(FILTER($J$7:indirect(""J"""&amp;"&amp;row()-1),$C$7:indirect(""C""&amp;row()-1)=C93)*Info!$T$32)),
AND(E93=""Final"",COUNTIF($C$7:$C$102,C93)=3,FILTER($J$7:indirect(""J""&amp;row()-1),$C$7:indirect(""C""&amp;row()-1)=C93)&lt;=15),""J - Error"",
AND(E93=""Final"",COUNTIF($C$7:$C$102,C93)=3),
MIN(P93,FLOOR(I"&amp;"nfo!$T$32*FLOOR(FILTER($J$7:indirect(""J""&amp;row()-1),$C$7:indirect(""C""&amp;row()-1)=C93)*Info!$T$32))),
AND(E93=""Final"",COUNTIF($C$7:$C$102,C93)&gt;=4,FILTER($J$7:indirect(""J""&amp;row()-1),$C$7:indirect(""C""&amp;row()-1)=C93)&lt;=99),""J - Error"",
AND(E93=""Final"","&amp;"COUNTIF($C$7:$C$102,C93)&gt;=4),
MIN(P93,FLOOR(Info!$T$32*FLOOR(Info!$T$32*FLOOR(FILTER($J$7:indirect(""J""&amp;row()-1),$C$7:indirect(""C""&amp;row()-1)=C93)*Info!$T$32)))))"),"")</f>
        <v/>
      </c>
      <c r="K93" s="41" t="str">
        <f>IFERROR(__xludf.DUMMYFUNCTION("IFS(AND(indirect(""D""&amp;row()+2)&lt;&gt;$E$2,indirect(""D""&amp;row()+1)=""""),CONCATENATE(""Tom rad! Kopiera hela rad ""&amp;row()&amp;"" dit""),
AND(indirect(""D""&amp;row()-1)&lt;&gt;""Rum"",indirect(""D""&amp;row()-1)=""""),CONCATENATE(""Tom rad! Kopiera hela rad ""&amp;row()&amp;"" dit""),
"&amp;"C93="""","""",
COUNTIF(Info!$A$22:A93,$K$2)&gt;0,""Det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OR(AND(D93&lt;&gt;$E$2,D93&lt;&gt;$E$4,D93&lt;&gt;$K$4,D93&lt;&gt;$Q$4),D93="&amp;"""""),CONCATENATE(""Rum: ""&amp;D93&amp;"" finns ej, byt i D""&amp;row()),
AND(indirect(""D""&amp;row()-1)=""Rum"",C93=""""),CONCATENATE(""För att börja: skriv i cell C""&amp;row()),
AND(C93=""Paus"",M93&lt;=0),CONCATENATE(""Skriv pausens längd i M""&amp;row()),
OR(COUNTIF(Info!$A$"&amp;"22:A93,C93)&gt;0,C93=""""),"""",
AND(D93&lt;&gt;$E$2,$O$2=""Yes"",A93=""=time(hh;mm;ss)""),CONCATENATE(""Skriv starttid för ""&amp;C93&amp;"" i A""&amp;row()),
E93=""E - Error"",CONCATENATE(""För många ""&amp;C93&amp;"" rundor!""),
AND(C93&lt;&gt;""3x3 FMC"",C93&lt;&gt;""3x3 MBLD"",E93&lt;&gt;1,E93&lt;&gt;"&amp;"""Final"",IFERROR(FILTER($E$7:indirect(""E""&amp;row()-1),
$E$7:indirect(""E""&amp;row()-1)=E93-1,$C$7:indirect(""C""&amp;row()-1)=C93))=FALSE),CONCATENATE(""Kan ej vara R""&amp;E93&amp;"", saknar R""&amp;(E93-1)),
AND(indirect(""E""&amp;row()-1)&lt;&gt;""Omgång"",IFERROR(FILTER($E$7:indi"&amp;"rect(""E""&amp;row()-1),
$E$7:indirect(""E""&amp;row()-1)=E93,$C$7:indirect(""C""&amp;row()-1)=C93)=E93)=TRUE),CONCATENATE(""Runda ""&amp;E93&amp;"" i ""&amp;C93&amp;"" finns redan""),
AND(C93&lt;&gt;""3x3 BLD"",C93&lt;&gt;""4x4 BLD"",C93&lt;&gt;""5x5 BLD"",C93&lt;&gt;""4x4 / 5x5 BLD"",OR(E93=2,E93=3,E93="&amp;"""Final""),H93&lt;&gt;""""),CONCATENATE(E93&amp;""-rundor brukar ej ha c.t.l.""),
AND(OR(E93=2,E93=3,E93=""Final""),I93&lt;&gt;""""),CONCATENATE(E93&amp;""-rundor brukar ej ha cutoff""),
AND(OR(C93=""3x3 FMC"",C93=""3x3 MBLD""),OR(E93=1,E93=2,E93=3,E93=""Final"")),CONCATENAT"&amp;"E(C93&amp;""s omgång är Rx - Ax""),
AND(C93&lt;&gt;""3x3 MBLD"",C93&lt;&gt;""3x3 FMC"",FILTER(Info!$D$2:D93, Info!$A$2:A93 = C93)&lt;&gt;F93),CONCATENATE(C93&amp;"" måste ha formatet ""&amp;FILTER(Info!$D$2:D93, Info!$A$2:A93 = C93)),
AND(C93=""3x3 MBLD"",OR(F93=""Avg of 5"",F93=""Mea"&amp;"n of 3"")),CONCATENATE(""Ogiltigt format för ""&amp;C93),
AND(C93=""3x3 FMC"",OR(F93=""Avg of 5"",F93=""Best of 3"")),CONCATENATE(""Ogiltigt format för ""&amp;C93),
AND(OR(F93=""Best of 1"",F93=""Best of 2"",F93=""Best of 3""),I93&lt;&gt;""""),CONCATENATE(F93&amp;""-rundor"&amp;" får ej ha cutoff""),
AND(OR(C93=""3x3 FMC"",C93=""3x3 MBLD""),G93&lt;&gt;60),CONCATENATE(C93&amp;"" måste ha time limit: 60""),
AND(OR(C93=""3x3 FMC"",C93=""3x3 MBLD""),H93&lt;&gt;""""),CONCATENATE(C93&amp;"" kan inte ha c.t.l.""),
AND(G93&lt;&gt;"""",H93&lt;&gt;""""),""Välj time limit"&amp;" ELLER c.t.l"",
AND(C93=""6x6 / 7x7"",G93="""",H93=""""),""Sätt time limit (x / y) eller c.t.l (z)"",
AND(G93="""",H93=""""),""Sätt en time limit eller c.t.l"",
AND(OR(C93=""6x6 / 7x7"",C93=""4x4 / 5x5 BLD""),G93&lt;&gt;"""",REGEXMATCH(TO_TEXT(G93),"" / "")=FAL"&amp;"SE),CONCATENATE(""Time limit måste vara x / y""),
AND(H93&lt;&gt;"""",I93&lt;&gt;""""),CONCATENATE(C93&amp;"" brukar ej ha cutoff OCH c.t.l""),
AND(E93=1,H93="""",I93="""",OR(FILTER(Info!$E$2:E93, Info!$A$2:A93 = C93) = ""Yes"",FILTER(Info!$F$2:F93, Info!$A$2:A93 = C93) "&amp;"= ""Yes""),OR(F93=""Avg of 5"",F93=""Mean of 3"")),CONCATENATE(C93&amp;"" bör ha cutoff eller c.t.l""),
AND(C93=""6x6 / 7x7"",I93&lt;&gt;"""",REGEXMATCH(TO_TEXT(I93),"" / "")=FALSE),CONCATENATE(""Cutoff måste vara x / y""),
AND(H93&lt;&gt;"""",ISNUMBER(H93)=FALSE),""C.t."&amp;"l. måste vara positivt tal (x)"",
AND(C93&lt;&gt;""6x6 / 7x7"",I93&lt;&gt;"""",ISNUMBER(I93)=FALSE),""Cutoff måste vara positivt tal (x)"",
AND(H93&lt;&gt;"""",FILTER(Info!$E$2:E93, Info!$A$2:A93 = C93) = ""No"",FILTER(Info!$F$2:F93, Info!$A$2:A93 = C93) = ""No""),CONCATEN"&amp;"ATE(C93&amp;"" brukar inte ha c.t.l.""),
AND(I93&lt;&gt;"""",FILTER(Info!$E$2:E93, Info!$A$2:A93 = C93) = ""No"",FILTER(Info!$F$2:F93, Info!$A$2:A93 = C93) = ""No""),CONCATENATE(C93&amp;"" brukar inte ha cutoff""),
AND(H93="""",FILTER(Info!$F$2:F93, Info!$A$2:A93 = C93"&amp;") = ""Yes""),CONCATENATE(C93&amp;"" brukar ha c.t.l.""),
AND(C93&lt;&gt;""6x6 / 7x7"",C93&lt;&gt;""4x4 / 5x5 BLD"",G93&lt;&gt;"""",ISNUMBER(G93)=FALSE),""Time limit måste vara positivt tal (x)"",
J93=""J - Error"",CONCATENATE(""För få deltagare i R1 för ""&amp;COUNTIF($C$7:$C$102,"&amp;"indirect(""C""&amp;row()))&amp;"" rundor""),
J93=""K2 - Error"",CONCATENATE(C93&amp;"" är mer populär - byt i K2!""),
AND(C93&lt;&gt;""6x6 / 7x7"",C93&lt;&gt;""4x4 / 5x5 BLD"",G93&lt;&gt;"""",I93&lt;&gt;"""",G93&lt;=I93),""Time limit måste vara &gt; cutoff"",
AND(C93&lt;&gt;""6x6 / 7x7"",C93&lt;&gt;""4x4 / 5"&amp;"x5 BLD"",H93&lt;&gt;"""",I93&lt;&gt;"""",H93&lt;=I93),""C.t.l. måste vara &gt; cutoff"",
AND(C93&lt;&gt;""3x3 FMC"",C93&lt;&gt;""3x3 MBLD"",J93=""""),CONCATENATE(""Fyll i antal deltagare i J""&amp;row()),
AND(C93="""",OR(E93&lt;&gt;"""",F93&lt;&gt;"""",G93&lt;&gt;"""",H93&lt;&gt;"""",I93&lt;&gt;"""",J93&lt;&gt;"""")),""Skri"&amp;"v ALLTID gren / aktivitet först"",
AND(I93="""",H93="""",J93&lt;&gt;""""),J93,
OR(""3x3 FMC""=C93,""3x3 MBLD""=C93),J93,
AND(I93&lt;&gt;"""",""6x6 / 7x7""=C93),
IFS(ArrayFormula(SUM(IFERROR(SPLIT(I93,"" / ""))))&lt;(Info!$J$6+Info!$J$7)*2/3,CONCATENATE(""Höj helst cutof"&amp;"fs i ""&amp;C93),
ArrayFormula(SUM(IFERROR(SPLIT(I93,"" / ""))))&lt;=(Info!$J$6+Info!$J$7),ROUNDUP(J93*Info!$J$22),
ArrayFormula(SUM(IFERROR(SPLIT(I93,"" / ""))))&lt;=Info!$J$6+Info!$J$7,ROUNDUP(J93*Info!$K$22),
ArrayFormula(SUM(IFERROR(SPLIT(I93,"" / ""))))&lt;=Info!"&amp;"$K$6+Info!$K$7,ROUNDUP(J93*Info!L$22),
ArrayFormula(SUM(IFERROR(SPLIT(I93,"" / ""))))&lt;=Info!$L$6+Info!$L$7,ROUNDUP(J93*Info!$M$22),
ArrayFormula(SUM(IFERROR(SPLIT(I93,"" / ""))))&lt;=Info!$M$6+Info!$M$7,ROUNDUP(J93*Info!$N$22),
ArrayFormula(SUM(IFERROR(SPLIT"&amp;"(I93,"" / ""))))&lt;=(Info!$N$6+Info!$N$7)*3/2,ROUNDUP(J93*Info!$J$26),
ArrayFormula(SUM(IFERROR(SPLIT(I93,"" / ""))))&gt;(Info!$N$6+Info!$N$7)*3/2,CONCATENATE(""Sänk helst cutoffs i ""&amp;C93)),
AND(I93&lt;&gt;"""",FILTER(Info!$E$2:E93, Info!$A$2:A93 = C93) = ""Yes""),"&amp;"
IFS(I93&lt;FILTER(Info!$J$2:J93, Info!$A$2:A93 = C93)*2/3,CONCATENATE(""Höj helst cutoff i ""&amp;C93),
I93&lt;=FILTER(Info!$J$2:J93, Info!$A$2:A93 = C93),ROUNDUP(J93*Info!$J$22),
I93&lt;=FILTER(Info!$K$2:K93, Info!$A$2:A93 = C93),ROUNDUP(J93*Info!$K$22),
I93&lt;=FILTER"&amp;"(Info!$L$2:L93, Info!$A$2:A93 = C93),ROUNDUP(J93*Info!L$22),
I93&lt;=FILTER(Info!$M$2:M93, Info!$A$2:A93 = C93),ROUNDUP(J93*Info!$M$22),
I93&lt;=FILTER(Info!$N$2:N93, Info!$A$2:A93 = C93),ROUNDUP(J93*Info!$N$22),
I93&lt;=FILTER(Info!$N$2:N93, Info!$A$2:A93 = C93)*"&amp;"3/2,ROUNDUP(J93*Info!$J$26),
I93&gt;FILTER(Info!$N$2:N93, Info!$A$2:A93 = C93)*3/2,CONCATENATE(""Sänk helst cutoff i ""&amp;C93)),
AND(H93&lt;&gt;"""",""6x6 / 7x7""=C93),
IFS(H93/3&lt;=(Info!$J$6+Info!$J$7)*2/3,""Höj helst cumulative time limit"",
H93/3&lt;=Info!$J$6+Info!$"&amp;"J$7,ROUNDUP(J93*Info!$J$24),
H93/3&lt;=Info!$K$6+Info!$K$7,ROUNDUP(J93*Info!$K$24),
H93/3&lt;=Info!$L$6+Info!$L$7,ROUNDUP(J93*Info!L$24),
H93/3&lt;=Info!$M$6+Info!$M$7,ROUNDUP(J93*Info!$M$24),
H93/3&lt;=Info!$N$6+Info!$N$7,ROUNDUP(J93*Info!$N$24),
H93/3&lt;=(Info!$N$6+I"&amp;"nfo!$N$7)*3/2,ROUNDUP(J93*Info!$L$26),
H93/3&gt;(Info!$J$6+Info!$J$7)*3/2,""Sänk helst cumulative time limit""),
AND(H93&lt;&gt;"""",FILTER(Info!$F$2:F93, Info!$A$2:A93 = C93) = ""Yes""),
IFS(H93&lt;=FILTER(Info!$J$2:J93, Info!$A$2:A93 = C93)*2/3,CONCATENATE(""Höj he"&amp;"lst c.t.l. i ""&amp;C93),
H93&lt;=FILTER(Info!$J$2:J93, Info!$A$2:A93 = C93),ROUNDUP(J93*Info!$J$24),
H93&lt;=FILTER(Info!$K$2:K93, Info!$A$2:A93 = C93),ROUNDUP(J93*Info!$K$24),
H93&lt;=FILTER(Info!$L$2:L93, Info!$A$2:A93 = C93),ROUNDUP(J93*Info!L$24),
H93&lt;=FILTER(Inf"&amp;"o!$M$2:M93, Info!$A$2:A93 = C93),ROUNDUP(J93*Info!$M$24),
H93&lt;=FILTER(Info!$N$2:N93, Info!$A$2:A93 = C93),ROUNDUP(J93*Info!$N$24),
H93&lt;=FILTER(Info!$N$2:N93, Info!$A$2:A93 = C93)*3/2,ROUNDUP(J93*Info!$L$26),
H93&gt;FILTER(Info!$N$2:N93, Info!$A$2:A93 = C93)*"&amp;"3/2,CONCATENATE(""Sänk helst c.t.l. i ""&amp;C93)),
AND(H93&lt;&gt;"""",FILTER(Info!$F$2:F93, Info!$A$2:A93 = C93) = ""No""),
IFS(H93/AA93&lt;=FILTER(Info!$J$2:J93, Info!$A$2:A93 = C93)*2/3,CONCATENATE(""Höj helst c.t.l. i ""&amp;C93),
H93/AA93&lt;=FILTER(Info!$J$2:J93, Info"&amp;"!$A$2:A93 = C93),ROUNDUP(J93*Info!$J$24),
H93/AA93&lt;=FILTER(Info!$K$2:K93, Info!$A$2:A93 = C93),ROUNDUP(J93*Info!$K$24),
H93/AA93&lt;=FILTER(Info!$L$2:L93, Info!$A$2:A93 = C93),ROUNDUP(J93*Info!L$24),
H93/AA93&lt;=FILTER(Info!$M$2:M93, Info!$A$2:A93 = C93),ROUND"&amp;"UP(J93*Info!$M$24),
H93/AA93&lt;=FILTER(Info!$N$2:N93, Info!$A$2:A93 = C93),ROUNDUP(J93*Info!$N$24),
H93/AA93&lt;=FILTER(Info!$N$2:N93, Info!$A$2:A93 = C93)*3/2,ROUNDUP(J93*Info!$L$26),
H93/AA93&gt;FILTER(Info!$N$2:N93, Info!$A$2:A93 = C93)*3/2,CONCATENATE(""Sänk "&amp;"helst c.t.l. i ""&amp;C93)),
AND(I93="""",H93&lt;&gt;"""",J93&lt;&gt;""""),ROUNDUP(J93*Info!$T$29),
AND(I93&lt;&gt;"""",H93="""",J93&lt;&gt;""""),ROUNDUP(J93*Info!$T$26))"),"")</f>
        <v/>
      </c>
      <c r="L93" s="42">
        <f>IFERROR(__xludf.DUMMYFUNCTION("IFS(C93="""",0,
C93=""3x3 FMC"",Info!$B$9*N93+M93, C93=""3x3 MBLD"",Info!$B$18*N93+M93,
COUNTIF(Info!$A$22:A93,C93)&gt;0,FILTER(Info!$B$22:B93,Info!$A$22:A93=C93)+M93,
AND(C93&lt;&gt;"""",E93=""""),CONCATENATE(""Fyll i E""&amp;row()),
AND(C93&lt;&gt;"""",E93&lt;&gt;"""",E93&lt;&gt;1,E9"&amp;"3&lt;&gt;2,E93&lt;&gt;3,E93&lt;&gt;""Final""),CONCATENATE(""Fel format på E""&amp;row()),
K93=CONCATENATE(""Runda ""&amp;E93&amp;"" i ""&amp;C93&amp;"" finns redan""),CONCATENATE(""Fel i E""&amp;row()),
AND(C93&lt;&gt;"""",F93=""""),CONCATENATE(""Fyll i F""&amp;row()),
K93=CONCATENATE(C93&amp;"" måste ha forma"&amp;"tet ""&amp;FILTER(Info!$D$2:D93, Info!$A$2:A93 = C93)),CONCATENATE(""Fel format på F""&amp;row()),
AND(C93&lt;&gt;"""",D93=1,H93="""",FILTER(Info!$F$2:F93, Info!$A$2:A93 = C93) = ""Yes""),CONCATENATE(""Fyll i H""&amp;row()),
AND(C93&lt;&gt;"""",D93=1,I93="""",FILTER(Info!$E$2:E9"&amp;"3, Info!$A$2:A93 = C93) = ""Yes""),CONCATENATE(""Fyll i I""&amp;row()),
AND(C93&lt;&gt;"""",J93=""""),CONCATENATE(""Fyll i J""&amp;row()),
AND(C93&lt;&gt;"""",K93="""",OR(H93&lt;&gt;"""",I93&lt;&gt;"""")),CONCATENATE(""Fyll i K""&amp;row()),
AND(C93&lt;&gt;"""",K93=""""),CONCATENATE(""Skriv samma"&amp;" i K""&amp;row()&amp;"" som i J""&amp;row()),
AND(OR(C93=""4x4 BLD"",C93=""5x5 BLD"",C93=""4x4 / 5x5 BLD"")=TRUE,V93&lt;=P93),
MROUND(H93*(Info!$T$20-((Info!$T$20-1)/2)*(1-V93/P93))*(1+((J93/K93)-1)*(1-Info!$J$24))*N93+(Info!$T$11/2)+(N93*Info!$T$11)+(N93*Info!$T$14*(O9"&amp;"3-1)),0.01)+M93,
AND(OR(C93=""4x4 BLD"",C93=""5x5 BLD"",C93=""4x4 / 5x5 BLD"")=TRUE,V93&gt;P93),
MROUND((((J93*Z93+K93*(AA93-Z93))*(H93*Info!$T$20/AA93))/X93)*(1+((J93/K93)-1)*(1-Info!$J$24))*(1+(X93-Info!$T$8)/100)+(Info!$T$11/2)+(N93*Info!$T$11)+(N93*Info!"&amp;"$T$14*(O93-1)),0.01)+M93,
AND(C93=""3x3 BLD"",V93&lt;=P93),
MROUND(H93*(Info!$T$23-((Info!$T$23-1)/2)*(1-V93/P93))*(1+((J93/K93)-1)*(1-Info!$J$24))*N93+(Info!$T$11/2)+(N93*Info!$T$11)+(N93*Info!$T$14*(O93-1)),0.01)+M93,
AND(C93=""3x3 BLD"",V93&gt;P93),
MROUND(("&amp;"((J93*Z93+K93*(AA93-Z93))*(H93*Info!$T$23/AA93))/X93)*(1+((J93/K93)-1)*(1-Info!$J$24))*(1+(X93-Info!$T$8)/100)+(Info!$T$11/2)+(N93*Info!$T$11)+(N93*Info!$T$14*(O93-1)),0.01)+M93,
E93=1,MROUND((((J93*Z93+K93*(AA93-Z93))*Y93)/X93)*(1+(X93-Info!$T$8)/100)+(N"&amp;"93*Info!$T$11)+(N93*Info!$T$14*(O93-1)),0.01)+M93,
AND(E93=""Final"",N93=1,FILTER(Info!$G$2:$G$20,Info!$A$2:$A$20=C93)=""Mycket svår""),
MROUND((((J93*Z93+K93*(AA93-Z93))*(Y93*Info!$T$38))/X93)*(1+(X93-Info!$T$8)/100)+(N93*Info!$T$11)+(N93*Info!$T$14*(O93"&amp;"-1)),0.01)+M93,
AND(E93=""Final"",N93=1,FILTER(Info!$G$2:$G$20,Info!$A$2:$A$20=C93)=""Svår""),
MROUND((((J93*Z93+K93*(AA93-Z93))*(Y93*Info!$T$35))/X93)*(1+(X93-Info!$T$8)/100)+(N93*Info!$T$11)+(N93*Info!$T$14*(O93-1)),0.01)+M93,
E93=""Final"",MROUND((((J9"&amp;"3*Z93+K93*(AA93-Z93))*(Y93*Info!$T$5))/X93)*(1+(X93-Info!$T$8)/100)+(N93*Info!$T$11)+(N93*Info!$T$14*(O93-1)),0.01)+M93,
OR(E93=2,E93=3),MROUND((((J93*Z93+K93*(AA93-Z93))*(Y93*Info!$T$2))/X93)*(1+(X93-Info!$T$8)/100)+(N93*Info!$T$11)+(N93*Info!$T$14*(O93-"&amp;"1)),0.01)+M93)"),0.0)</f>
        <v>0</v>
      </c>
      <c r="M93" s="43">
        <f t="shared" si="9"/>
        <v>0</v>
      </c>
      <c r="N93" s="43" t="str">
        <f>IFS(OR(COUNTIF(Info!$A$22:A93,C93)&gt;0,C93=""),"",
OR(C93="4x4 BLD",C93="5x5 BLD",C93="3x3 MBLD",C93="3x3 FMC",C93="4x4 / 5x5 BLD"),1,
AND(E93="Final",Q93="Yes",MAX(1,ROUNDUP(J93/P93))&gt;1),MAX(2,ROUNDUP(J93/P93)),
AND(E93="Final",Q93="No",MAX(1,ROUNDUP(J93/((P93*2)+2.625-Y93*1.5)))&gt;1),MAX(2,ROUNDUP(J93/((P93*2)+2.625-Y93*1.5))),
E93="Final",1,
Q93="Yes",MAX(2,ROUNDUP(J93/P93)),
TRUE,MAX(2,ROUNDUP(J93/((P93*2)+2.625-Y93*1.5))))</f>
        <v/>
      </c>
      <c r="O93" s="43" t="str">
        <f>IFS(OR(COUNTIF(Info!$A$22:A93,C93)&gt;0,C93=""),"",
OR("3x3 MBLD"=C93,"3x3 FMC"=C93)=TRUE,"",
D93=$E$4,$G$6,D93=$K$4,$M$6,D93=$Q$4,$S$6,D93=$W$4,$Y$6,
TRUE,$S$2)</f>
        <v/>
      </c>
      <c r="P93" s="43" t="str">
        <f>IFS(OR(COUNTIF(Info!$A$22:A93,C93)&gt;0,C93=""),"",
OR("3x3 MBLD"=C93,"3x3 FMC"=C93)=TRUE,"",
D93=$E$4,$E$6,D93=$K$4,$K$6,D93=$Q$4,$Q$6,D93=$W$4,$W$6,
TRUE,$Q$2)</f>
        <v/>
      </c>
      <c r="Q93" s="44" t="str">
        <f>IFS(OR(COUNTIF(Info!$A$22:A93,C93)&gt;0,C93=""),"",
OR("3x3 MBLD"=C93,"3x3 FMC"=C93)=TRUE,"",
D93=$E$4,$I$6,D93=$K$4,$O$6,D93=$Q$4,$U$6,D93=$W$4,$AA$6,
TRUE,$U$2)</f>
        <v/>
      </c>
      <c r="R93" s="65" t="str">
        <f>IFERROR(__xludf.DUMMYFUNCTION("IF(C93="""","""",IFERROR(FILTER(Info!$B$22:B93,Info!$A$22:A93=C93)+M93,""?""))"),"")</f>
        <v/>
      </c>
      <c r="S93" s="66" t="str">
        <f>IFS(OR(COUNTIF(Info!$A$22:A93,C93)&gt;0,C93=""),"",
AND(H93="",I93=""),J93,
TRUE,"?")</f>
        <v/>
      </c>
      <c r="T93" s="65" t="str">
        <f>IFS(OR(COUNTIF(Info!$A$22:A93,C93)&gt;0,C93=""),"",
AND(L93&lt;&gt;0,OR(R93="?",R93="")),"Fyll i R-kolumnen",
OR(C93="3x3 FMC",C93="3x3 MBLD"),R93,
AND(L93&lt;&gt;0,OR(S93="?",S93="")),"Fyll i S-kolumnen",
OR(COUNTIF(Info!$A$22:A93,C93)&gt;0,C93=""),"",
TRUE,Y93*R93/L93)</f>
        <v/>
      </c>
      <c r="U93" s="65"/>
      <c r="V93" s="67" t="str">
        <f>IFS(OR(COUNTIF(Info!$A$22:A93,C93)&gt;0,C93=""),"",
OR("3x3 MBLD"=C93,"3x3 FMC"=C93)=TRUE,"",
TRUE,MROUND((J93/N93),0.01))</f>
        <v/>
      </c>
      <c r="W93" s="68" t="str">
        <f>IFS(OR(COUNTIF(Info!$A$22:A93,C93)&gt;0,C93=""),"",
TRUE,L93/N93)</f>
        <v/>
      </c>
      <c r="X93" s="67" t="str">
        <f>IFS(OR(COUNTIF(Info!$A$22:A93,C93)&gt;0,C93=""),"",
OR("3x3 MBLD"=C93,"3x3 FMC"=C93)=TRUE,"",
OR(C93="4x4 BLD",C93="5x5 BLD",C93="4x4 / 5x5 BLD",AND(C93="3x3 BLD",H93&lt;&gt;""))=TRUE,MIN(V93,P93),
TRUE,MIN(P93,V93,MROUND(((V93*2/3)+((Y93-1.625)/2)),0.01)))</f>
        <v/>
      </c>
      <c r="Y93" s="68" t="str">
        <f>IFERROR(__xludf.DUMMYFUNCTION("IFS(OR(COUNTIF(Info!$A$22:A93,C93)&gt;0,C93=""""),"""",
FILTER(Info!$F$2:F93, Info!$A$2:A93 = C93) = ""Yes"",H93/AA93,
""3x3 FMC""=C93,Info!$B$9,""3x3 MBLD""=C93,Info!$B$18,
AND(E93=1,I93="""",H93="""",Q93=""No"",G93&gt;SUMIF(Info!$A$2:A93,C93,Info!$B$2:B93)*1."&amp;"5),
MIN(SUMIF(Info!$A$2:A93,C93,Info!$B$2:B93)*1.1,SUMIF(Info!$A$2:A93,C93,Info!$B$2:B93)*(1.15-(0.15*(SUMIF(Info!$A$2:A93,C93,Info!$B$2:B93)*1.5)/G93))),
AND(E93=1,I93="""",H93="""",Q93=""Yes"",G93&gt;SUMIF(Info!$A$2:A93,C93,Info!$C$2:C93)*1.5),
MIN(SUMIF(I"&amp;"nfo!$A$2:A93,C93,Info!$C$2:C93)*1.1,SUMIF(Info!$A$2:A93,C93,Info!$C$2:C93)*(1.15-(0.15*(SUMIF(Info!$A$2:A93,C93,Info!$C$2:C93)*1.5)/G93))),
Q93=""No"",SUMIF(Info!$A$2:A93,C93,Info!$B$2:B93),
Q93=""Yes"",SUMIF(Info!$A$2:A93,C93,Info!$C$2:C93))"),"")</f>
        <v/>
      </c>
      <c r="Z93" s="67" t="str">
        <f>IFS(OR(COUNTIF(Info!$A$22:A93,C93)&gt;0,C93=""),"",
AND(OR("3x3 FMC"=C93,"3x3 MBLD"=C93),I93&lt;&gt;""),1,
AND(OR(H93&lt;&gt;"",I93&lt;&gt;""),F93="Avg of 5"),2,
F93="Avg of 5",AA93,
AND(OR(H93&lt;&gt;"",I93&lt;&gt;""),F93="Mean of 3",C93="6x6 / 7x7"),2,
AND(OR(H93&lt;&gt;"",I93&lt;&gt;""),F93="Mean of 3"),1,
F93="Mean of 3",AA93,
AND(OR(H93&lt;&gt;"",I93&lt;&gt;""),F93="Best of 3",C93="4x4 / 5x5 BLD"),2,
AND(OR(H93&lt;&gt;"",I93&lt;&gt;""),F93="Best of 3"),1,
F93="Best of 2",AA93,
F93="Best of 1",AA93)</f>
        <v/>
      </c>
      <c r="AA93" s="67" t="str">
        <f>IFS(OR(COUNTIF(Info!$A$22:A93,C93)&gt;0,C93=""),"",
AND(OR("3x3 MBLD"=C93,"3x3 FMC"=C93),F93="Best of 1"=TRUE),1,
AND(OR("3x3 MBLD"=C93,"3x3 FMC"=C93),F93="Best of 2"=TRUE),2,
AND(OR("3x3 MBLD"=C93,"3x3 FMC"=C93),OR(F93="Best of 3",F93="Mean of 3")=TRUE),3,
AND(F93="Mean of 3",C93="6x6 / 7x7"),6,
AND(F93="Best of 3",C93="4x4 / 5x5 BLD"),6,
F93="Avg of 5",5,F93="Mean of 3",3,F93="Best of 3",3,F93="Best of 2",2,F93="Best of 1",1)</f>
        <v/>
      </c>
      <c r="AB93" s="69"/>
    </row>
    <row r="94" ht="15.75" customHeight="1">
      <c r="A94" s="62">
        <f>IFERROR(__xludf.DUMMYFUNCTION("IFS(indirect(""A""&amp;row()-1)=""Start"",TIME(indirect(""A""&amp;row()-2),indirect(""B""&amp;row()-2),0),
$O$2=""No"",TIME(0,($A$6*60+$B$6)+CEILING(SUM($L$7:indirect(""L""&amp;row()-1)),5),0),
D94=$E$2,TIME(0,($A$6*60+$B$6)+CEILING(SUM(IFERROR(FILTER($L$7:indirect(""L"""&amp;"&amp;row()-1),REGEXMATCH($D$7:indirect(""D""&amp;row()-1),$E$2)),0)),5),0),
TRUE,""=time(hh;mm;ss)"")"),0.3541666666666665)</f>
        <v>0.3541666667</v>
      </c>
      <c r="B94" s="63">
        <f>IFERROR(__xludf.DUMMYFUNCTION("IFS($O$2=""No"",TIME(0,($A$6*60+$B$6)+CEILING(SUM($L$7:indirect(""L""&amp;row())),5),0),
D94=$E$2,TIME(0,($A$6*60+$B$6)+CEILING(SUM(FILTER($L$7:indirect(""L""&amp;row()),REGEXMATCH($D$7:indirect(""D""&amp;row()),$E$2))),5),0),
A94=""=time(hh;mm;ss)"",CONCATENATE(""Sk"&amp;"riv tid i A""&amp;row()),
AND(A94&lt;&gt;"""",A94&lt;&gt;""=time(hh;mm;ss)""),A94+TIME(0,CEILING(indirect(""L""&amp;row()),5),0))"),0.3541666666666665)</f>
        <v>0.3541666667</v>
      </c>
      <c r="C94" s="37"/>
      <c r="D94" s="64" t="str">
        <f t="shared" si="10"/>
        <v>Stora salen</v>
      </c>
      <c r="E94" s="64" t="str">
        <f>IFERROR(__xludf.DUMMYFUNCTION("IFS(COUNTIF(Info!$A$22:A94,C94)&gt;0,"""",
AND(OR(""3x3 FMC""=C94,""3x3 MBLD""=C94),COUNTIF($C$7:indirect(""C""&amp;row()),indirect(""C""&amp;row()))&gt;=13),""E - Error"",
AND(OR(""3x3 FMC""=C94,""3x3 MBLD""=C94),COUNTIF($C$7:indirect(""C""&amp;row()),indirect(""C""&amp;row()"&amp;"))=12),""Final - A3"",
AND(OR(""3x3 FMC""=C94,""3x3 MBLD""=C94),COUNTIF($C$7:indirect(""C""&amp;row()),indirect(""C""&amp;row()))=11),""Final - A2"",
AND(OR(""3x3 FMC""=C94,""3x3 MBLD""=C94),COUNTIF($C$7:indirect(""C""&amp;row()),indirect(""C""&amp;row()))=10),""Final - "&amp;"A1"",
AND(OR(""3x3 FMC""=C94,""3x3 MBLD""=C94),COUNTIF($C$7:indirect(""C""&amp;row()),indirect(""C""&amp;row()))=9,
COUNTIF($C$7:$C$102,indirect(""C""&amp;row()))&gt;9),""R3 - A3"",
AND(OR(""3x3 FMC""=C94,""3x3 MBLD""=C94),COUNTIF($C$7:indirect(""C""&amp;row()),indirect(""C"&amp;"""&amp;row()))=9,
COUNTIF($C$7:$C$102,indirect(""C""&amp;row()))&lt;=9),""Final - A3"",
AND(OR(""3x3 FMC""=C94,""3x3 MBLD""=C94),COUNTIF($C$7:indirect(""C""&amp;row()),indirect(""C""&amp;row()))=8,
COUNTIF($C$7:$C$102,indirect(""C""&amp;row()))&gt;9),""R3 - A2"",
AND(OR(""3x3 FMC"&amp;"""=C94,""3x3 MBLD""=C94),COUNTIF($C$7:indirect(""C""&amp;row()),indirect(""C""&amp;row()))=8,
COUNTIF($C$7:$C$102,indirect(""C""&amp;row()))&lt;=9),""Final - A2"",
AND(OR(""3x3 FMC""=C94,""3x3 MBLD""=C94),COUNTIF($C$7:indirect(""C""&amp;row()),indirect(""C""&amp;row()))=7,
COUN"&amp;"TIF($C$7:$C$102,indirect(""C""&amp;row()))&gt;9),""R3 - A1"",
AND(OR(""3x3 FMC""=C94,""3x3 MBLD""=C94),COUNTIF($C$7:indirect(""C""&amp;row()),indirect(""C""&amp;row()))=7,
COUNTIF($C$7:$C$102,indirect(""C""&amp;row()))&lt;=9),""Final - A1"",
AND(OR(""3x3 FMC""=C94,""3x3 MBLD"""&amp;"=C94),COUNTIF($C$7:indirect(""C""&amp;row()),indirect(""C""&amp;row()))=6,
COUNTIF($C$7:$C$102,indirect(""C""&amp;row()))&gt;6),""R2 - A3"",
AND(OR(""3x3 FMC""=C94,""3x3 MBLD""=C94),COUNTIF($C$7:indirect(""C""&amp;row()),indirect(""C""&amp;row()))=6,
COUNTIF($C$7:$C$102,indirec"&amp;"t(""C""&amp;row()))&lt;=6),""Final - A3"",
AND(OR(""3x3 FMC""=C94,""3x3 MBLD""=C94),COUNTIF($C$7:indirect(""C""&amp;row()),indirect(""C""&amp;row()))=5,
COUNTIF($C$7:$C$102,indirect(""C""&amp;row()))&gt;6),""R2 - A2"",
AND(OR(""3x3 FMC""=C94,""3x3 MBLD""=C94),COUNTIF($C$7:indi"&amp;"rect(""C""&amp;row()),indirect(""C""&amp;row()))=5,
COUNTIF($C$7:$C$102,indirect(""C""&amp;row()))&lt;=6),""Final - A2"",
AND(OR(""3x3 FMC""=C94,""3x3 MBLD""=C94),COUNTIF($C$7:indirect(""C""&amp;row()),indirect(""C""&amp;row()))=4,
COUNTIF($C$7:$C$102,indirect(""C""&amp;row()))&gt;6),"&amp;"""R2 - A1"",
AND(OR(""3x3 FMC""=C94,""3x3 MBLD""=C94),COUNTIF($C$7:indirect(""C""&amp;row()),indirect(""C""&amp;row()))=4,
COUNTIF($C$7:$C$102,indirect(""C""&amp;row()))&lt;=6),""Final - A1"",
AND(OR(""3x3 FMC""=C94,""3x3 MBLD""=C94),COUNTIF($C$7:indirect(""C""&amp;row()),i"&amp;"ndirect(""C""&amp;row()))=3),""R1 - A3"",
AND(OR(""3x3 FMC""=C94,""3x3 MBLD""=C94),COUNTIF($C$7:indirect(""C""&amp;row()),indirect(""C""&amp;row()))=2),""R1 - A2"",
AND(OR(""3x3 FMC""=C94,""3x3 MBLD""=C94),COUNTIF($C$7:indirect(""C""&amp;row()),indirect(""C""&amp;row()))=1),"&amp;"""R1 -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94, Info!$A$2:A94 = C94),ROUNDUP((FILTER(Info!$H$2:H94,Info!$A$2:A94=C94)/FILTER(Info!$H$2:H94,Info!$A$2:A94=$K$2))*$I$2)&gt;99),3,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94, Info!$A$2:A94 = C94),ROUNDUP((FILTER(Info!$H$2:H94,Info!$A$2:A94=C94)/FILTER(Info!$H$2:H94,Info!$A$2:A94=$K$2))*$I$2)&gt;15),2,
AND(COUNTIF($C$7:indirect(""C""&amp;row()),indirect(""C""&amp;row()))=2,COUNTIF($C$7:$C$102,indirect(""C""&amp;row()))=COUNTIF($"&amp;"C$7:indirect(""C""&amp;row()),indirect(""C""&amp;row()))),""Final"",
COUNTIF($C$7:indirect(""C""&amp;row()),indirect(""C""&amp;row()))=1,1,
COUNTIF($C$7:indirect(""C""&amp;row()),indirect(""C""&amp;row()))=0,"""")"),"")</f>
        <v/>
      </c>
      <c r="F94" s="64" t="str">
        <f>IFERROR(__xludf.DUMMYFUNCTION("IFS(C94="""","""",
AND(C94=""3x3 FMC"",MOD(COUNTIF($C$7:indirect(""C""&amp;row()),indirect(""C""&amp;row())),3)=0),""Mean of 3"",
AND(C94=""3x3 MBLD"",MOD(COUNTIF($C$7:indirect(""C""&amp;row()),indirect(""C""&amp;row())),3)=0),""Best of 3"",
AND(C94=""3x3 FMC"",MOD(COUNT"&amp;"IF($C$7:indirect(""C""&amp;row()),indirect(""C""&amp;row())),3)=2,
COUNTIF($C$7:$C$102,indirect(""C""&amp;row()))&lt;=COUNTIF($C$7:indirect(""C""&amp;row()),indirect(""C""&amp;row()))),""Best of 2"",
AND(C94=""3x3 FMC"",MOD(COUNTIF($C$7:indirect(""C""&amp;row()),indirect(""C""&amp;row("&amp;"))),3)=2,
COUNTIF($C$7:$C$102,indirect(""C""&amp;row()))&gt;COUNTIF($C$7:indirect(""C""&amp;row()),indirect(""C""&amp;row()))),""Mean of 3"",
AND(C94=""3x3 MBLD"",MOD(COUNTIF($C$7:indirect(""C""&amp;row()),indirect(""C""&amp;row())),3)=2,
COUNTIF($C$7:$C$102,indirect(""C""&amp;row("&amp;")))&lt;=COUNTIF($C$7:indirect(""C""&amp;row()),indirect(""C""&amp;row()))),""Best of 2"",
AND(C94=""3x3 MBLD"",MOD(COUNTIF($C$7:indirect(""C""&amp;row()),indirect(""C""&amp;row())),3)=2,
COUNTIF($C$7:$C$102,indirect(""C""&amp;row()))&gt;COUNTIF($C$7:indirect(""C""&amp;row()),indirect("&amp;"""C""&amp;row()))),""Best of 3"",
AND(C94=""3x3 FMC"",MOD(COUNTIF($C$7:indirect(""C""&amp;row()),indirect(""C""&amp;row())),3)=1,
COUNTIF($C$7:$C$102,indirect(""C""&amp;row()))&lt;=COUNTIF($C$7:indirect(""C""&amp;row()),indirect(""C""&amp;row()))),""Best of 1"",
AND(C94=""3x3 FMC"""&amp;",MOD(COUNTIF($C$7:indirect(""C""&amp;row()),indirect(""C""&amp;row())),3)=1,
COUNTIF($C$7:$C$102,indirect(""C""&amp;row()))=COUNTIF($C$7:indirect(""C""&amp;row()),indirect(""C""&amp;row()))+1),""Best of 2"",
AND(C94=""3x3 FMC"",MOD(COUNTIF($C$7:indirect(""C""&amp;row()),indirect"&amp;"(""C""&amp;row())),3)=1,
COUNTIF($C$7:$C$102,indirect(""C""&amp;row()))&gt;COUNTIF($C$7:indirect(""C""&amp;row()),indirect(""C""&amp;row()))),""Mean of 3"",
AND(C94=""3x3 MBLD"",MOD(COUNTIF($C$7:indirect(""C""&amp;row()),indirect(""C""&amp;row())),3)=1,
COUNTIF($C$7:$C$102,indirect"&amp;"(""C""&amp;row()))&lt;=COUNTIF($C$7:indirect(""C""&amp;row()),indirect(""C""&amp;row()))),""Best of 1"",
AND(C94=""3x3 MBLD"",MOD(COUNTIF($C$7:indirect(""C""&amp;row()),indirect(""C""&amp;row())),3)=1,
COUNTIF($C$7:$C$102,indirect(""C""&amp;row()))=COUNTIF($C$7:indirect(""C""&amp;row()"&amp;"),indirect(""C""&amp;row()))+1),""Best of 2"",
AND(C94=""3x3 MBLD"",MOD(COUNTIF($C$7:indirect(""C""&amp;row()),indirect(""C""&amp;row())),3)=1,
COUNTIF($C$7:$C$102,indirect(""C""&amp;row()))&gt;COUNTIF($C$7:indirect(""C""&amp;row()),indirect(""C""&amp;row()))),""Best of 3"",
TRUE,("&amp;"IFERROR(FILTER(Info!$D$2:D94, Info!$A$2:A94 = C94), """")))"),"")</f>
        <v/>
      </c>
      <c r="G94" s="64" t="str">
        <f>IFERROR(__xludf.DUMMYFUNCTION("IFS(OR(COUNTIF(Info!$A$22:A94,C94)&gt;0,C94=""""),"""",
OR(""3x3 MBLD""=C94,""3x3 FMC""=C94),60,
AND(E94=1,FILTER(Info!$F$2:F94, Info!$A$2:A94 = C94) = ""No""),FILTER(Info!$P$2:P94, Info!$A$2:A94 = C94),
AND(E94=2,FILTER(Info!$F$2:F94, Info!$A$2:A94 = C94) ="&amp;" ""No""),FILTER(Info!$Q$2:Q94, Info!$A$2:A94 = C94),
AND(E94=3,FILTER(Info!$F$2:F94, Info!$A$2:A94 = C94) = ""No""),FILTER(Info!$R$2:R94, Info!$A$2:A94 = C94),
AND(E94=""Final"",FILTER(Info!$F$2:F94, Info!$A$2:A94 = C94) = ""No""),FILTER(Info!$S$2:S94, In"&amp;"fo!$A$2:A94 = C94),
FILTER(Info!$F$2:F94, Info!$A$2:A94 = C94) = ""Yes"","""")"),"")</f>
        <v/>
      </c>
      <c r="H94" s="64" t="str">
        <f>IFERROR(__xludf.DUMMYFUNCTION("IFS(OR(COUNTIF(Info!$A$22:A94,C94)&gt;0,C94=""""),"""",
OR(""3x3 MBLD""=C94,""3x3 FMC""=C94)=TRUE,"""",
FILTER(Info!$F$2:F94, Info!$A$2:A94 = C94) = ""Yes"",FILTER(Info!$O$2:O94, Info!$A$2:A94 = C94),
FILTER(Info!$F$2:F94, Info!$A$2:A94 = C94) = ""No"",IF(G9"&amp;"4="""",FILTER(Info!$O$2:O94, Info!$A$2:A94 = C94),""""))"),"")</f>
        <v/>
      </c>
      <c r="I94" s="64" t="str">
        <f>IFERROR(__xludf.DUMMYFUNCTION("IFS(OR(COUNTIF(Info!$A$22:A94,C94)&gt;0,C94="""",H94&lt;&gt;""""),"""",
AND(E94&lt;&gt;1,E94&lt;&gt;""R1 - A1"",E94&lt;&gt;""R1 - A2"",E94&lt;&gt;""R1 - A3""),"""",
FILTER(Info!$E$2:E94, Info!$A$2:A94 = C94) = ""Yes"",IF(H94="""",FILTER(Info!$L$2:L94, Info!$A$2:A94 = C94),""""),
FILTER(I"&amp;"nfo!$E$2:E94, Info!$A$2:A94 = C94) = ""No"","""")"),"")</f>
        <v/>
      </c>
      <c r="J94" s="64" t="str">
        <f>IFERROR(__xludf.DUMMYFUNCTION("IFS(OR(COUNTIF(Info!$A$22:A94,C94)&gt;0,C94="""",""3x3 MBLD""=C94,""3x3 FMC""=C94),"""",
AND(E94=1,FILTER(Info!$H$2:H94,Info!$A$2:A94 = C94)&lt;=FILTER(Info!$H$2:H94,Info!$A$2:A94=$K$2)),
ROUNDUP((FILTER(Info!$H$2:H94,Info!$A$2:A94 = C94)/FILTER(Info!$H$2:H94,I"&amp;"nfo!$A$2:A94=$K$2))*$I$2),
AND(E94=1,FILTER(Info!$H$2:H94,Info!$A$2:A94 = C94)&gt;FILTER(Info!$H$2:H94,Info!$A$2:A94=$K$2)),""K2 - Error"",
AND(E94=2,FILTER($J$7:indirect(""J""&amp;row()-1),$C$7:indirect(""C""&amp;row()-1)=C94)&lt;=7),""J - Error"",
E94=2,FLOOR(FILTER("&amp;"$J$7:indirect(""J""&amp;row()-1),$C$7:indirect(""C""&amp;row()-1)=C94)*Info!$T$32),
AND(E94=3,FILTER($J$7:indirect(""J""&amp;row()-1),$C$7:indirect(""C""&amp;row()-1)=C94)&lt;=15),""J - Error"",
E94=3,FLOOR(Info!$T$32*FLOOR(FILTER($J$7:indirect(""J""&amp;row()-1),$C$7:indirect("&amp;"""C""&amp;row()-1)=C94)*Info!$T$32)),
AND(E94=""Final"",COUNTIF($C$7:$C$102,C94)=2,FILTER($J$7:indirect(""J""&amp;row()-1),$C$7:indirect(""C""&amp;row()-1)=C94)&lt;=7),""J - Error"",
AND(E94=""Final"",COUNTIF($C$7:$C$102,C94)=2),
MIN(P94,FLOOR(FILTER($J$7:indirect(""J"""&amp;"&amp;row()-1),$C$7:indirect(""C""&amp;row()-1)=C94)*Info!$T$32)),
AND(E94=""Final"",COUNTIF($C$7:$C$102,C94)=3,FILTER($J$7:indirect(""J""&amp;row()-1),$C$7:indirect(""C""&amp;row()-1)=C94)&lt;=15),""J - Error"",
AND(E94=""Final"",COUNTIF($C$7:$C$102,C94)=3),
MIN(P94,FLOOR(I"&amp;"nfo!$T$32*FLOOR(FILTER($J$7:indirect(""J""&amp;row()-1),$C$7:indirect(""C""&amp;row()-1)=C94)*Info!$T$32))),
AND(E94=""Final"",COUNTIF($C$7:$C$102,C94)&gt;=4,FILTER($J$7:indirect(""J""&amp;row()-1),$C$7:indirect(""C""&amp;row()-1)=C94)&lt;=99),""J - Error"",
AND(E94=""Final"","&amp;"COUNTIF($C$7:$C$102,C94)&gt;=4),
MIN(P94,FLOOR(Info!$T$32*FLOOR(Info!$T$32*FLOOR(FILTER($J$7:indirect(""J""&amp;row()-1),$C$7:indirect(""C""&amp;row()-1)=C94)*Info!$T$32)))))"),"")</f>
        <v/>
      </c>
      <c r="K94" s="41" t="str">
        <f>IFERROR(__xludf.DUMMYFUNCTION("IFS(AND(indirect(""D""&amp;row()+2)&lt;&gt;$E$2,indirect(""D""&amp;row()+1)=""""),CONCATENATE(""Tom rad! Kopiera hela rad ""&amp;row()&amp;"" dit""),
AND(indirect(""D""&amp;row()-1)&lt;&gt;""Rum"",indirect(""D""&amp;row()-1)=""""),CONCATENATE(""Tom rad! Kopiera hela rad ""&amp;row()&amp;"" dit""),
"&amp;"C94="""","""",
COUNTIF(Info!$A$22:A94,$K$2)&gt;0,""Det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OR(AND(D94&lt;&gt;$E$2,D94&lt;&gt;$E$4,D94&lt;&gt;$K$4,D94&lt;&gt;$Q$4),D94="&amp;"""""),CONCATENATE(""Rum: ""&amp;D94&amp;"" finns ej, byt i D""&amp;row()),
AND(indirect(""D""&amp;row()-1)=""Rum"",C94=""""),CONCATENATE(""För att börja: skriv i cell C""&amp;row()),
AND(C94=""Paus"",M94&lt;=0),CONCATENATE(""Skriv pausens längd i M""&amp;row()),
OR(COUNTIF(Info!$A$"&amp;"22:A94,C94)&gt;0,C94=""""),"""",
AND(D94&lt;&gt;$E$2,$O$2=""Yes"",A94=""=time(hh;mm;ss)""),CONCATENATE(""Skriv starttid för ""&amp;C94&amp;"" i A""&amp;row()),
E94=""E - Error"",CONCATENATE(""För många ""&amp;C94&amp;"" rundor!""),
AND(C94&lt;&gt;""3x3 FMC"",C94&lt;&gt;""3x3 MBLD"",E94&lt;&gt;1,E94&lt;&gt;"&amp;"""Final"",IFERROR(FILTER($E$7:indirect(""E""&amp;row()-1),
$E$7:indirect(""E""&amp;row()-1)=E94-1,$C$7:indirect(""C""&amp;row()-1)=C94))=FALSE),CONCATENATE(""Kan ej vara R""&amp;E94&amp;"", saknar R""&amp;(E94-1)),
AND(indirect(""E""&amp;row()-1)&lt;&gt;""Omgång"",IFERROR(FILTER($E$7:indi"&amp;"rect(""E""&amp;row()-1),
$E$7:indirect(""E""&amp;row()-1)=E94,$C$7:indirect(""C""&amp;row()-1)=C94)=E94)=TRUE),CONCATENATE(""Runda ""&amp;E94&amp;"" i ""&amp;C94&amp;"" finns redan""),
AND(C94&lt;&gt;""3x3 BLD"",C94&lt;&gt;""4x4 BLD"",C94&lt;&gt;""5x5 BLD"",C94&lt;&gt;""4x4 / 5x5 BLD"",OR(E94=2,E94=3,E94="&amp;"""Final""),H94&lt;&gt;""""),CONCATENATE(E94&amp;""-rundor brukar ej ha c.t.l.""),
AND(OR(E94=2,E94=3,E94=""Final""),I94&lt;&gt;""""),CONCATENATE(E94&amp;""-rundor brukar ej ha cutoff""),
AND(OR(C94=""3x3 FMC"",C94=""3x3 MBLD""),OR(E94=1,E94=2,E94=3,E94=""Final"")),CONCATENAT"&amp;"E(C94&amp;""s omgång är Rx - Ax""),
AND(C94&lt;&gt;""3x3 MBLD"",C94&lt;&gt;""3x3 FMC"",FILTER(Info!$D$2:D94, Info!$A$2:A94 = C94)&lt;&gt;F94),CONCATENATE(C94&amp;"" måste ha formatet ""&amp;FILTER(Info!$D$2:D94, Info!$A$2:A94 = C94)),
AND(C94=""3x3 MBLD"",OR(F94=""Avg of 5"",F94=""Mea"&amp;"n of 3"")),CONCATENATE(""Ogiltigt format för ""&amp;C94),
AND(C94=""3x3 FMC"",OR(F94=""Avg of 5"",F94=""Best of 3"")),CONCATENATE(""Ogiltigt format för ""&amp;C94),
AND(OR(F94=""Best of 1"",F94=""Best of 2"",F94=""Best of 3""),I94&lt;&gt;""""),CONCATENATE(F94&amp;""-rundor"&amp;" får ej ha cutoff""),
AND(OR(C94=""3x3 FMC"",C94=""3x3 MBLD""),G94&lt;&gt;60),CONCATENATE(C94&amp;"" måste ha time limit: 60""),
AND(OR(C94=""3x3 FMC"",C94=""3x3 MBLD""),H94&lt;&gt;""""),CONCATENATE(C94&amp;"" kan inte ha c.t.l.""),
AND(G94&lt;&gt;"""",H94&lt;&gt;""""),""Välj time limit"&amp;" ELLER c.t.l"",
AND(C94=""6x6 / 7x7"",G94="""",H94=""""),""Sätt time limit (x / y) eller c.t.l (z)"",
AND(G94="""",H94=""""),""Sätt en time limit eller c.t.l"",
AND(OR(C94=""6x6 / 7x7"",C94=""4x4 / 5x5 BLD""),G94&lt;&gt;"""",REGEXMATCH(TO_TEXT(G94),"" / "")=FAL"&amp;"SE),CONCATENATE(""Time limit måste vara x / y""),
AND(H94&lt;&gt;"""",I94&lt;&gt;""""),CONCATENATE(C94&amp;"" brukar ej ha cutoff OCH c.t.l""),
AND(E94=1,H94="""",I94="""",OR(FILTER(Info!$E$2:E94, Info!$A$2:A94 = C94) = ""Yes"",FILTER(Info!$F$2:F94, Info!$A$2:A94 = C94) "&amp;"= ""Yes""),OR(F94=""Avg of 5"",F94=""Mean of 3"")),CONCATENATE(C94&amp;"" bör ha cutoff eller c.t.l""),
AND(C94=""6x6 / 7x7"",I94&lt;&gt;"""",REGEXMATCH(TO_TEXT(I94),"" / "")=FALSE),CONCATENATE(""Cutoff måste vara x / y""),
AND(H94&lt;&gt;"""",ISNUMBER(H94)=FALSE),""C.t."&amp;"l. måste vara positivt tal (x)"",
AND(C94&lt;&gt;""6x6 / 7x7"",I94&lt;&gt;"""",ISNUMBER(I94)=FALSE),""Cutoff måste vara positivt tal (x)"",
AND(H94&lt;&gt;"""",FILTER(Info!$E$2:E94, Info!$A$2:A94 = C94) = ""No"",FILTER(Info!$F$2:F94, Info!$A$2:A94 = C94) = ""No""),CONCATEN"&amp;"ATE(C94&amp;"" brukar inte ha c.t.l.""),
AND(I94&lt;&gt;"""",FILTER(Info!$E$2:E94, Info!$A$2:A94 = C94) = ""No"",FILTER(Info!$F$2:F94, Info!$A$2:A94 = C94) = ""No""),CONCATENATE(C94&amp;"" brukar inte ha cutoff""),
AND(H94="""",FILTER(Info!$F$2:F94, Info!$A$2:A94 = C94"&amp;") = ""Yes""),CONCATENATE(C94&amp;"" brukar ha c.t.l.""),
AND(C94&lt;&gt;""6x6 / 7x7"",C94&lt;&gt;""4x4 / 5x5 BLD"",G94&lt;&gt;"""",ISNUMBER(G94)=FALSE),""Time limit måste vara positivt tal (x)"",
J94=""J - Error"",CONCATENATE(""För få deltagare i R1 för ""&amp;COUNTIF($C$7:$C$102,"&amp;"indirect(""C""&amp;row()))&amp;"" rundor""),
J94=""K2 - Error"",CONCATENATE(C94&amp;"" är mer populär - byt i K2!""),
AND(C94&lt;&gt;""6x6 / 7x7"",C94&lt;&gt;""4x4 / 5x5 BLD"",G94&lt;&gt;"""",I94&lt;&gt;"""",G94&lt;=I94),""Time limit måste vara &gt; cutoff"",
AND(C94&lt;&gt;""6x6 / 7x7"",C94&lt;&gt;""4x4 / 5"&amp;"x5 BLD"",H94&lt;&gt;"""",I94&lt;&gt;"""",H94&lt;=I94),""C.t.l. måste vara &gt; cutoff"",
AND(C94&lt;&gt;""3x3 FMC"",C94&lt;&gt;""3x3 MBLD"",J94=""""),CONCATENATE(""Fyll i antal deltagare i J""&amp;row()),
AND(C94="""",OR(E94&lt;&gt;"""",F94&lt;&gt;"""",G94&lt;&gt;"""",H94&lt;&gt;"""",I94&lt;&gt;"""",J94&lt;&gt;"""")),""Skri"&amp;"v ALLTID gren / aktivitet först"",
AND(I94="""",H94="""",J94&lt;&gt;""""),J94,
OR(""3x3 FMC""=C94,""3x3 MBLD""=C94),J94,
AND(I94&lt;&gt;"""",""6x6 / 7x7""=C94),
IFS(ArrayFormula(SUM(IFERROR(SPLIT(I94,"" / ""))))&lt;(Info!$J$6+Info!$J$7)*2/3,CONCATENATE(""Höj helst cutof"&amp;"fs i ""&amp;C94),
ArrayFormula(SUM(IFERROR(SPLIT(I94,"" / ""))))&lt;=(Info!$J$6+Info!$J$7),ROUNDUP(J94*Info!$J$22),
ArrayFormula(SUM(IFERROR(SPLIT(I94,"" / ""))))&lt;=Info!$J$6+Info!$J$7,ROUNDUP(J94*Info!$K$22),
ArrayFormula(SUM(IFERROR(SPLIT(I94,"" / ""))))&lt;=Info!"&amp;"$K$6+Info!$K$7,ROUNDUP(J94*Info!L$22),
ArrayFormula(SUM(IFERROR(SPLIT(I94,"" / ""))))&lt;=Info!$L$6+Info!$L$7,ROUNDUP(J94*Info!$M$22),
ArrayFormula(SUM(IFERROR(SPLIT(I94,"" / ""))))&lt;=Info!$M$6+Info!$M$7,ROUNDUP(J94*Info!$N$22),
ArrayFormula(SUM(IFERROR(SPLIT"&amp;"(I94,"" / ""))))&lt;=(Info!$N$6+Info!$N$7)*3/2,ROUNDUP(J94*Info!$J$26),
ArrayFormula(SUM(IFERROR(SPLIT(I94,"" / ""))))&gt;(Info!$N$6+Info!$N$7)*3/2,CONCATENATE(""Sänk helst cutoffs i ""&amp;C94)),
AND(I94&lt;&gt;"""",FILTER(Info!$E$2:E94, Info!$A$2:A94 = C94) = ""Yes""),"&amp;"
IFS(I94&lt;FILTER(Info!$J$2:J94, Info!$A$2:A94 = C94)*2/3,CONCATENATE(""Höj helst cutoff i ""&amp;C94),
I94&lt;=FILTER(Info!$J$2:J94, Info!$A$2:A94 = C94),ROUNDUP(J94*Info!$J$22),
I94&lt;=FILTER(Info!$K$2:K94, Info!$A$2:A94 = C94),ROUNDUP(J94*Info!$K$22),
I94&lt;=FILTER"&amp;"(Info!$L$2:L94, Info!$A$2:A94 = C94),ROUNDUP(J94*Info!L$22),
I94&lt;=FILTER(Info!$M$2:M94, Info!$A$2:A94 = C94),ROUNDUP(J94*Info!$M$22),
I94&lt;=FILTER(Info!$N$2:N94, Info!$A$2:A94 = C94),ROUNDUP(J94*Info!$N$22),
I94&lt;=FILTER(Info!$N$2:N94, Info!$A$2:A94 = C94)*"&amp;"3/2,ROUNDUP(J94*Info!$J$26),
I94&gt;FILTER(Info!$N$2:N94, Info!$A$2:A94 = C94)*3/2,CONCATENATE(""Sänk helst cutoff i ""&amp;C94)),
AND(H94&lt;&gt;"""",""6x6 / 7x7""=C94),
IFS(H94/3&lt;=(Info!$J$6+Info!$J$7)*2/3,""Höj helst cumulative time limit"",
H94/3&lt;=Info!$J$6+Info!$"&amp;"J$7,ROUNDUP(J94*Info!$J$24),
H94/3&lt;=Info!$K$6+Info!$K$7,ROUNDUP(J94*Info!$K$24),
H94/3&lt;=Info!$L$6+Info!$L$7,ROUNDUP(J94*Info!L$24),
H94/3&lt;=Info!$M$6+Info!$M$7,ROUNDUP(J94*Info!$M$24),
H94/3&lt;=Info!$N$6+Info!$N$7,ROUNDUP(J94*Info!$N$24),
H94/3&lt;=(Info!$N$6+I"&amp;"nfo!$N$7)*3/2,ROUNDUP(J94*Info!$L$26),
H94/3&gt;(Info!$J$6+Info!$J$7)*3/2,""Sänk helst cumulative time limit""),
AND(H94&lt;&gt;"""",FILTER(Info!$F$2:F94, Info!$A$2:A94 = C94) = ""Yes""),
IFS(H94&lt;=FILTER(Info!$J$2:J94, Info!$A$2:A94 = C94)*2/3,CONCATENATE(""Höj he"&amp;"lst c.t.l. i ""&amp;C94),
H94&lt;=FILTER(Info!$J$2:J94, Info!$A$2:A94 = C94),ROUNDUP(J94*Info!$J$24),
H94&lt;=FILTER(Info!$K$2:K94, Info!$A$2:A94 = C94),ROUNDUP(J94*Info!$K$24),
H94&lt;=FILTER(Info!$L$2:L94, Info!$A$2:A94 = C94),ROUNDUP(J94*Info!L$24),
H94&lt;=FILTER(Inf"&amp;"o!$M$2:M94, Info!$A$2:A94 = C94),ROUNDUP(J94*Info!$M$24),
H94&lt;=FILTER(Info!$N$2:N94, Info!$A$2:A94 = C94),ROUNDUP(J94*Info!$N$24),
H94&lt;=FILTER(Info!$N$2:N94, Info!$A$2:A94 = C94)*3/2,ROUNDUP(J94*Info!$L$26),
H94&gt;FILTER(Info!$N$2:N94, Info!$A$2:A94 = C94)*"&amp;"3/2,CONCATENATE(""Sänk helst c.t.l. i ""&amp;C94)),
AND(H94&lt;&gt;"""",FILTER(Info!$F$2:F94, Info!$A$2:A94 = C94) = ""No""),
IFS(H94/AA94&lt;=FILTER(Info!$J$2:J94, Info!$A$2:A94 = C94)*2/3,CONCATENATE(""Höj helst c.t.l. i ""&amp;C94),
H94/AA94&lt;=FILTER(Info!$J$2:J94, Info"&amp;"!$A$2:A94 = C94),ROUNDUP(J94*Info!$J$24),
H94/AA94&lt;=FILTER(Info!$K$2:K94, Info!$A$2:A94 = C94),ROUNDUP(J94*Info!$K$24),
H94/AA94&lt;=FILTER(Info!$L$2:L94, Info!$A$2:A94 = C94),ROUNDUP(J94*Info!L$24),
H94/AA94&lt;=FILTER(Info!$M$2:M94, Info!$A$2:A94 = C94),ROUND"&amp;"UP(J94*Info!$M$24),
H94/AA94&lt;=FILTER(Info!$N$2:N94, Info!$A$2:A94 = C94),ROUNDUP(J94*Info!$N$24),
H94/AA94&lt;=FILTER(Info!$N$2:N94, Info!$A$2:A94 = C94)*3/2,ROUNDUP(J94*Info!$L$26),
H94/AA94&gt;FILTER(Info!$N$2:N94, Info!$A$2:A94 = C94)*3/2,CONCATENATE(""Sänk "&amp;"helst c.t.l. i ""&amp;C94)),
AND(I94="""",H94&lt;&gt;"""",J94&lt;&gt;""""),ROUNDUP(J94*Info!$T$29),
AND(I94&lt;&gt;"""",H94="""",J94&lt;&gt;""""),ROUNDUP(J94*Info!$T$26))"),"")</f>
        <v/>
      </c>
      <c r="L94" s="42">
        <f>IFERROR(__xludf.DUMMYFUNCTION("IFS(C94="""",0,
C94=""3x3 FMC"",Info!$B$9*N94+M94, C94=""3x3 MBLD"",Info!$B$18*N94+M94,
COUNTIF(Info!$A$22:A94,C94)&gt;0,FILTER(Info!$B$22:B94,Info!$A$22:A94=C94)+M94,
AND(C94&lt;&gt;"""",E94=""""),CONCATENATE(""Fyll i E""&amp;row()),
AND(C94&lt;&gt;"""",E94&lt;&gt;"""",E94&lt;&gt;1,E9"&amp;"4&lt;&gt;2,E94&lt;&gt;3,E94&lt;&gt;""Final""),CONCATENATE(""Fel format på E""&amp;row()),
K94=CONCATENATE(""Runda ""&amp;E94&amp;"" i ""&amp;C94&amp;"" finns redan""),CONCATENATE(""Fel i E""&amp;row()),
AND(C94&lt;&gt;"""",F94=""""),CONCATENATE(""Fyll i F""&amp;row()),
K94=CONCATENATE(C94&amp;"" måste ha forma"&amp;"tet ""&amp;FILTER(Info!$D$2:D94, Info!$A$2:A94 = C94)),CONCATENATE(""Fel format på F""&amp;row()),
AND(C94&lt;&gt;"""",D94=1,H94="""",FILTER(Info!$F$2:F94, Info!$A$2:A94 = C94) = ""Yes""),CONCATENATE(""Fyll i H""&amp;row()),
AND(C94&lt;&gt;"""",D94=1,I94="""",FILTER(Info!$E$2:E9"&amp;"4, Info!$A$2:A94 = C94) = ""Yes""),CONCATENATE(""Fyll i I""&amp;row()),
AND(C94&lt;&gt;"""",J94=""""),CONCATENATE(""Fyll i J""&amp;row()),
AND(C94&lt;&gt;"""",K94="""",OR(H94&lt;&gt;"""",I94&lt;&gt;"""")),CONCATENATE(""Fyll i K""&amp;row()),
AND(C94&lt;&gt;"""",K94=""""),CONCATENATE(""Skriv samma"&amp;" i K""&amp;row()&amp;"" som i J""&amp;row()),
AND(OR(C94=""4x4 BLD"",C94=""5x5 BLD"",C94=""4x4 / 5x5 BLD"")=TRUE,V94&lt;=P94),
MROUND(H94*(Info!$T$20-((Info!$T$20-1)/2)*(1-V94/P94))*(1+((J94/K94)-1)*(1-Info!$J$24))*N94+(Info!$T$11/2)+(N94*Info!$T$11)+(N94*Info!$T$14*(O9"&amp;"4-1)),0.01)+M94,
AND(OR(C94=""4x4 BLD"",C94=""5x5 BLD"",C94=""4x4 / 5x5 BLD"")=TRUE,V94&gt;P94),
MROUND((((J94*Z94+K94*(AA94-Z94))*(H94*Info!$T$20/AA94))/X94)*(1+((J94/K94)-1)*(1-Info!$J$24))*(1+(X94-Info!$T$8)/100)+(Info!$T$11/2)+(N94*Info!$T$11)+(N94*Info!"&amp;"$T$14*(O94-1)),0.01)+M94,
AND(C94=""3x3 BLD"",V94&lt;=P94),
MROUND(H94*(Info!$T$23-((Info!$T$23-1)/2)*(1-V94/P94))*(1+((J94/K94)-1)*(1-Info!$J$24))*N94+(Info!$T$11/2)+(N94*Info!$T$11)+(N94*Info!$T$14*(O94-1)),0.01)+M94,
AND(C94=""3x3 BLD"",V94&gt;P94),
MROUND(("&amp;"((J94*Z94+K94*(AA94-Z94))*(H94*Info!$T$23/AA94))/X94)*(1+((J94/K94)-1)*(1-Info!$J$24))*(1+(X94-Info!$T$8)/100)+(Info!$T$11/2)+(N94*Info!$T$11)+(N94*Info!$T$14*(O94-1)),0.01)+M94,
E94=1,MROUND((((J94*Z94+K94*(AA94-Z94))*Y94)/X94)*(1+(X94-Info!$T$8)/100)+(N"&amp;"94*Info!$T$11)+(N94*Info!$T$14*(O94-1)),0.01)+M94,
AND(E94=""Final"",N94=1,FILTER(Info!$G$2:$G$20,Info!$A$2:$A$20=C94)=""Mycket svår""),
MROUND((((J94*Z94+K94*(AA94-Z94))*(Y94*Info!$T$38))/X94)*(1+(X94-Info!$T$8)/100)+(N94*Info!$T$11)+(N94*Info!$T$14*(O94"&amp;"-1)),0.01)+M94,
AND(E94=""Final"",N94=1,FILTER(Info!$G$2:$G$20,Info!$A$2:$A$20=C94)=""Svår""),
MROUND((((J94*Z94+K94*(AA94-Z94))*(Y94*Info!$T$35))/X94)*(1+(X94-Info!$T$8)/100)+(N94*Info!$T$11)+(N94*Info!$T$14*(O94-1)),0.01)+M94,
E94=""Final"",MROUND((((J9"&amp;"4*Z94+K94*(AA94-Z94))*(Y94*Info!$T$5))/X94)*(1+(X94-Info!$T$8)/100)+(N94*Info!$T$11)+(N94*Info!$T$14*(O94-1)),0.01)+M94,
OR(E94=2,E94=3),MROUND((((J94*Z94+K94*(AA94-Z94))*(Y94*Info!$T$2))/X94)*(1+(X94-Info!$T$8)/100)+(N94*Info!$T$11)+(N94*Info!$T$14*(O94-"&amp;"1)),0.01)+M94)"),0.0)</f>
        <v>0</v>
      </c>
      <c r="M94" s="43">
        <f t="shared" si="9"/>
        <v>0</v>
      </c>
      <c r="N94" s="43" t="str">
        <f>IFS(OR(COUNTIF(Info!$A$22:A94,C94)&gt;0,C94=""),"",
OR(C94="4x4 BLD",C94="5x5 BLD",C94="3x3 MBLD",C94="3x3 FMC",C94="4x4 / 5x5 BLD"),1,
AND(E94="Final",Q94="Yes",MAX(1,ROUNDUP(J94/P94))&gt;1),MAX(2,ROUNDUP(J94/P94)),
AND(E94="Final",Q94="No",MAX(1,ROUNDUP(J94/((P94*2)+2.625-Y94*1.5)))&gt;1),MAX(2,ROUNDUP(J94/((P94*2)+2.625-Y94*1.5))),
E94="Final",1,
Q94="Yes",MAX(2,ROUNDUP(J94/P94)),
TRUE,MAX(2,ROUNDUP(J94/((P94*2)+2.625-Y94*1.5))))</f>
        <v/>
      </c>
      <c r="O94" s="43" t="str">
        <f>IFS(OR(COUNTIF(Info!$A$22:A94,C94)&gt;0,C94=""),"",
OR("3x3 MBLD"=C94,"3x3 FMC"=C94)=TRUE,"",
D94=$E$4,$G$6,D94=$K$4,$M$6,D94=$Q$4,$S$6,D94=$W$4,$Y$6,
TRUE,$S$2)</f>
        <v/>
      </c>
      <c r="P94" s="43" t="str">
        <f>IFS(OR(COUNTIF(Info!$A$22:A94,C94)&gt;0,C94=""),"",
OR("3x3 MBLD"=C94,"3x3 FMC"=C94)=TRUE,"",
D94=$E$4,$E$6,D94=$K$4,$K$6,D94=$Q$4,$Q$6,D94=$W$4,$W$6,
TRUE,$Q$2)</f>
        <v/>
      </c>
      <c r="Q94" s="44" t="str">
        <f>IFS(OR(COUNTIF(Info!$A$22:A94,C94)&gt;0,C94=""),"",
OR("3x3 MBLD"=C94,"3x3 FMC"=C94)=TRUE,"",
D94=$E$4,$I$6,D94=$K$4,$O$6,D94=$Q$4,$U$6,D94=$W$4,$AA$6,
TRUE,$U$2)</f>
        <v/>
      </c>
      <c r="R94" s="65" t="str">
        <f>IFERROR(__xludf.DUMMYFUNCTION("IF(C94="""","""",IFERROR(FILTER(Info!$B$22:B94,Info!$A$22:A94=C94)+M94,""?""))"),"")</f>
        <v/>
      </c>
      <c r="S94" s="66" t="str">
        <f>IFS(OR(COUNTIF(Info!$A$22:A94,C94)&gt;0,C94=""),"",
AND(H94="",I94=""),J94,
TRUE,"?")</f>
        <v/>
      </c>
      <c r="T94" s="65" t="str">
        <f>IFS(OR(COUNTIF(Info!$A$22:A94,C94)&gt;0,C94=""),"",
AND(L94&lt;&gt;0,OR(R94="?",R94="")),"Fyll i R-kolumnen",
OR(C94="3x3 FMC",C94="3x3 MBLD"),R94,
AND(L94&lt;&gt;0,OR(S94="?",S94="")),"Fyll i S-kolumnen",
OR(COUNTIF(Info!$A$22:A94,C94)&gt;0,C94=""),"",
TRUE,Y94*R94/L94)</f>
        <v/>
      </c>
      <c r="U94" s="65"/>
      <c r="V94" s="67" t="str">
        <f>IFS(OR(COUNTIF(Info!$A$22:A94,C94)&gt;0,C94=""),"",
OR("3x3 MBLD"=C94,"3x3 FMC"=C94)=TRUE,"",
TRUE,MROUND((J94/N94),0.01))</f>
        <v/>
      </c>
      <c r="W94" s="68" t="str">
        <f>IFS(OR(COUNTIF(Info!$A$22:A94,C94)&gt;0,C94=""),"",
TRUE,L94/N94)</f>
        <v/>
      </c>
      <c r="X94" s="67" t="str">
        <f>IFS(OR(COUNTIF(Info!$A$22:A94,C94)&gt;0,C94=""),"",
OR("3x3 MBLD"=C94,"3x3 FMC"=C94)=TRUE,"",
OR(C94="4x4 BLD",C94="5x5 BLD",C94="4x4 / 5x5 BLD",AND(C94="3x3 BLD",H94&lt;&gt;""))=TRUE,MIN(V94,P94),
TRUE,MIN(P94,V94,MROUND(((V94*2/3)+((Y94-1.625)/2)),0.01)))</f>
        <v/>
      </c>
      <c r="Y94" s="68" t="str">
        <f>IFERROR(__xludf.DUMMYFUNCTION("IFS(OR(COUNTIF(Info!$A$22:A94,C94)&gt;0,C94=""""),"""",
FILTER(Info!$F$2:F94, Info!$A$2:A94 = C94) = ""Yes"",H94/AA94,
""3x3 FMC""=C94,Info!$B$9,""3x3 MBLD""=C94,Info!$B$18,
AND(E94=1,I94="""",H94="""",Q94=""No"",G94&gt;SUMIF(Info!$A$2:A94,C94,Info!$B$2:B94)*1."&amp;"5),
MIN(SUMIF(Info!$A$2:A94,C94,Info!$B$2:B94)*1.1,SUMIF(Info!$A$2:A94,C94,Info!$B$2:B94)*(1.15-(0.15*(SUMIF(Info!$A$2:A94,C94,Info!$B$2:B94)*1.5)/G94))),
AND(E94=1,I94="""",H94="""",Q94=""Yes"",G94&gt;SUMIF(Info!$A$2:A94,C94,Info!$C$2:C94)*1.5),
MIN(SUMIF(I"&amp;"nfo!$A$2:A94,C94,Info!$C$2:C94)*1.1,SUMIF(Info!$A$2:A94,C94,Info!$C$2:C94)*(1.15-(0.15*(SUMIF(Info!$A$2:A94,C94,Info!$C$2:C94)*1.5)/G94))),
Q94=""No"",SUMIF(Info!$A$2:A94,C94,Info!$B$2:B94),
Q94=""Yes"",SUMIF(Info!$A$2:A94,C94,Info!$C$2:C94))"),"")</f>
        <v/>
      </c>
      <c r="Z94" s="67" t="str">
        <f>IFS(OR(COUNTIF(Info!$A$22:A94,C94)&gt;0,C94=""),"",
AND(OR("3x3 FMC"=C94,"3x3 MBLD"=C94),I94&lt;&gt;""),1,
AND(OR(H94&lt;&gt;"",I94&lt;&gt;""),F94="Avg of 5"),2,
F94="Avg of 5",AA94,
AND(OR(H94&lt;&gt;"",I94&lt;&gt;""),F94="Mean of 3",C94="6x6 / 7x7"),2,
AND(OR(H94&lt;&gt;"",I94&lt;&gt;""),F94="Mean of 3"),1,
F94="Mean of 3",AA94,
AND(OR(H94&lt;&gt;"",I94&lt;&gt;""),F94="Best of 3",C94="4x4 / 5x5 BLD"),2,
AND(OR(H94&lt;&gt;"",I94&lt;&gt;""),F94="Best of 3"),1,
F94="Best of 2",AA94,
F94="Best of 1",AA94)</f>
        <v/>
      </c>
      <c r="AA94" s="67" t="str">
        <f>IFS(OR(COUNTIF(Info!$A$22:A94,C94)&gt;0,C94=""),"",
AND(OR("3x3 MBLD"=C94,"3x3 FMC"=C94),F94="Best of 1"=TRUE),1,
AND(OR("3x3 MBLD"=C94,"3x3 FMC"=C94),F94="Best of 2"=TRUE),2,
AND(OR("3x3 MBLD"=C94,"3x3 FMC"=C94),OR(F94="Best of 3",F94="Mean of 3")=TRUE),3,
AND(F94="Mean of 3",C94="6x6 / 7x7"),6,
AND(F94="Best of 3",C94="4x4 / 5x5 BLD"),6,
F94="Avg of 5",5,F94="Mean of 3",3,F94="Best of 3",3,F94="Best of 2",2,F94="Best of 1",1)</f>
        <v/>
      </c>
      <c r="AB94" s="69"/>
    </row>
    <row r="95" ht="15.75" customHeight="1">
      <c r="A95" s="62">
        <f>IFERROR(__xludf.DUMMYFUNCTION("IFS(indirect(""A""&amp;row()-1)=""Start"",TIME(indirect(""A""&amp;row()-2),indirect(""B""&amp;row()-2),0),
$O$2=""No"",TIME(0,($A$6*60+$B$6)+CEILING(SUM($L$7:indirect(""L""&amp;row()-1)),5),0),
D95=$E$2,TIME(0,($A$6*60+$B$6)+CEILING(SUM(IFERROR(FILTER($L$7:indirect(""L"""&amp;"&amp;row()-1),REGEXMATCH($D$7:indirect(""D""&amp;row()-1),$E$2)),0)),5),0),
TRUE,""=time(hh;mm;ss)"")"),0.3541666666666665)</f>
        <v>0.3541666667</v>
      </c>
      <c r="B95" s="63">
        <f>IFERROR(__xludf.DUMMYFUNCTION("IFS($O$2=""No"",TIME(0,($A$6*60+$B$6)+CEILING(SUM($L$7:indirect(""L""&amp;row())),5),0),
D95=$E$2,TIME(0,($A$6*60+$B$6)+CEILING(SUM(FILTER($L$7:indirect(""L""&amp;row()),REGEXMATCH($D$7:indirect(""D""&amp;row()),$E$2))),5),0),
A95=""=time(hh;mm;ss)"",CONCATENATE(""Sk"&amp;"riv tid i A""&amp;row()),
AND(A95&lt;&gt;"""",A95&lt;&gt;""=time(hh;mm;ss)""),A95+TIME(0,CEILING(indirect(""L""&amp;row()),5),0))"),0.3541666666666665)</f>
        <v>0.3541666667</v>
      </c>
      <c r="C95" s="37"/>
      <c r="D95" s="64" t="str">
        <f t="shared" si="10"/>
        <v>Stora salen</v>
      </c>
      <c r="E95" s="64" t="str">
        <f>IFERROR(__xludf.DUMMYFUNCTION("IFS(COUNTIF(Info!$A$22:A95,C95)&gt;0,"""",
AND(OR(""3x3 FMC""=C95,""3x3 MBLD""=C95),COUNTIF($C$7:indirect(""C""&amp;row()),indirect(""C""&amp;row()))&gt;=13),""E - Error"",
AND(OR(""3x3 FMC""=C95,""3x3 MBLD""=C95),COUNTIF($C$7:indirect(""C""&amp;row()),indirect(""C""&amp;row()"&amp;"))=12),""Final - A3"",
AND(OR(""3x3 FMC""=C95,""3x3 MBLD""=C95),COUNTIF($C$7:indirect(""C""&amp;row()),indirect(""C""&amp;row()))=11),""Final - A2"",
AND(OR(""3x3 FMC""=C95,""3x3 MBLD""=C95),COUNTIF($C$7:indirect(""C""&amp;row()),indirect(""C""&amp;row()))=10),""Final - "&amp;"A1"",
AND(OR(""3x3 FMC""=C95,""3x3 MBLD""=C95),COUNTIF($C$7:indirect(""C""&amp;row()),indirect(""C""&amp;row()))=9,
COUNTIF($C$7:$C$102,indirect(""C""&amp;row()))&gt;9),""R3 - A3"",
AND(OR(""3x3 FMC""=C95,""3x3 MBLD""=C95),COUNTIF($C$7:indirect(""C""&amp;row()),indirect(""C"&amp;"""&amp;row()))=9,
COUNTIF($C$7:$C$102,indirect(""C""&amp;row()))&lt;=9),""Final - A3"",
AND(OR(""3x3 FMC""=C95,""3x3 MBLD""=C95),COUNTIF($C$7:indirect(""C""&amp;row()),indirect(""C""&amp;row()))=8,
COUNTIF($C$7:$C$102,indirect(""C""&amp;row()))&gt;9),""R3 - A2"",
AND(OR(""3x3 FMC"&amp;"""=C95,""3x3 MBLD""=C95),COUNTIF($C$7:indirect(""C""&amp;row()),indirect(""C""&amp;row()))=8,
COUNTIF($C$7:$C$102,indirect(""C""&amp;row()))&lt;=9),""Final - A2"",
AND(OR(""3x3 FMC""=C95,""3x3 MBLD""=C95),COUNTIF($C$7:indirect(""C""&amp;row()),indirect(""C""&amp;row()))=7,
COUN"&amp;"TIF($C$7:$C$102,indirect(""C""&amp;row()))&gt;9),""R3 - A1"",
AND(OR(""3x3 FMC""=C95,""3x3 MBLD""=C95),COUNTIF($C$7:indirect(""C""&amp;row()),indirect(""C""&amp;row()))=7,
COUNTIF($C$7:$C$102,indirect(""C""&amp;row()))&lt;=9),""Final - A1"",
AND(OR(""3x3 FMC""=C95,""3x3 MBLD"""&amp;"=C95),COUNTIF($C$7:indirect(""C""&amp;row()),indirect(""C""&amp;row()))=6,
COUNTIF($C$7:$C$102,indirect(""C""&amp;row()))&gt;6),""R2 - A3"",
AND(OR(""3x3 FMC""=C95,""3x3 MBLD""=C95),COUNTIF($C$7:indirect(""C""&amp;row()),indirect(""C""&amp;row()))=6,
COUNTIF($C$7:$C$102,indirec"&amp;"t(""C""&amp;row()))&lt;=6),""Final - A3"",
AND(OR(""3x3 FMC""=C95,""3x3 MBLD""=C95),COUNTIF($C$7:indirect(""C""&amp;row()),indirect(""C""&amp;row()))=5,
COUNTIF($C$7:$C$102,indirect(""C""&amp;row()))&gt;6),""R2 - A2"",
AND(OR(""3x3 FMC""=C95,""3x3 MBLD""=C95),COUNTIF($C$7:indi"&amp;"rect(""C""&amp;row()),indirect(""C""&amp;row()))=5,
COUNTIF($C$7:$C$102,indirect(""C""&amp;row()))&lt;=6),""Final - A2"",
AND(OR(""3x3 FMC""=C95,""3x3 MBLD""=C95),COUNTIF($C$7:indirect(""C""&amp;row()),indirect(""C""&amp;row()))=4,
COUNTIF($C$7:$C$102,indirect(""C""&amp;row()))&gt;6),"&amp;"""R2 - A1"",
AND(OR(""3x3 FMC""=C95,""3x3 MBLD""=C95),COUNTIF($C$7:indirect(""C""&amp;row()),indirect(""C""&amp;row()))=4,
COUNTIF($C$7:$C$102,indirect(""C""&amp;row()))&lt;=6),""Final - A1"",
AND(OR(""3x3 FMC""=C95,""3x3 MBLD""=C95),COUNTIF($C$7:indirect(""C""&amp;row()),i"&amp;"ndirect(""C""&amp;row()))=3),""R1 - A3"",
AND(OR(""3x3 FMC""=C95,""3x3 MBLD""=C95),COUNTIF($C$7:indirect(""C""&amp;row()),indirect(""C""&amp;row()))=2),""R1 - A2"",
AND(OR(""3x3 FMC""=C95,""3x3 MBLD""=C95),COUNTIF($C$7:indirect(""C""&amp;row()),indirect(""C""&amp;row()))=1),"&amp;"""R1 -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95, Info!$A$2:A95 = C95),ROUNDUP((FILTER(Info!$H$2:H95,Info!$A$2:A95=C95)/FILTER(Info!$H$2:H95,Info!$A$2:A95=$K$2))*$I$2)&gt;99),3,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95, Info!$A$2:A95 = C95),ROUNDUP((FILTER(Info!$H$2:H95,Info!$A$2:A95=C95)/FILTER(Info!$H$2:H95,Info!$A$2:A95=$K$2))*$I$2)&gt;15),2,
AND(COUNTIF($C$7:indirect(""C""&amp;row()),indirect(""C""&amp;row()))=2,COUNTIF($C$7:$C$102,indirect(""C""&amp;row()))=COUNTIF($"&amp;"C$7:indirect(""C""&amp;row()),indirect(""C""&amp;row()))),""Final"",
COUNTIF($C$7:indirect(""C""&amp;row()),indirect(""C""&amp;row()))=1,1,
COUNTIF($C$7:indirect(""C""&amp;row()),indirect(""C""&amp;row()))=0,"""")"),"")</f>
        <v/>
      </c>
      <c r="F95" s="64" t="str">
        <f>IFERROR(__xludf.DUMMYFUNCTION("IFS(C95="""","""",
AND(C95=""3x3 FMC"",MOD(COUNTIF($C$7:indirect(""C""&amp;row()),indirect(""C""&amp;row())),3)=0),""Mean of 3"",
AND(C95=""3x3 MBLD"",MOD(COUNTIF($C$7:indirect(""C""&amp;row()),indirect(""C""&amp;row())),3)=0),""Best of 3"",
AND(C95=""3x3 FMC"",MOD(COUNT"&amp;"IF($C$7:indirect(""C""&amp;row()),indirect(""C""&amp;row())),3)=2,
COUNTIF($C$7:$C$102,indirect(""C""&amp;row()))&lt;=COUNTIF($C$7:indirect(""C""&amp;row()),indirect(""C""&amp;row()))),""Best of 2"",
AND(C95=""3x3 FMC"",MOD(COUNTIF($C$7:indirect(""C""&amp;row()),indirect(""C""&amp;row("&amp;"))),3)=2,
COUNTIF($C$7:$C$102,indirect(""C""&amp;row()))&gt;COUNTIF($C$7:indirect(""C""&amp;row()),indirect(""C""&amp;row()))),""Mean of 3"",
AND(C95=""3x3 MBLD"",MOD(COUNTIF($C$7:indirect(""C""&amp;row()),indirect(""C""&amp;row())),3)=2,
COUNTIF($C$7:$C$102,indirect(""C""&amp;row("&amp;")))&lt;=COUNTIF($C$7:indirect(""C""&amp;row()),indirect(""C""&amp;row()))),""Best of 2"",
AND(C95=""3x3 MBLD"",MOD(COUNTIF($C$7:indirect(""C""&amp;row()),indirect(""C""&amp;row())),3)=2,
COUNTIF($C$7:$C$102,indirect(""C""&amp;row()))&gt;COUNTIF($C$7:indirect(""C""&amp;row()),indirect("&amp;"""C""&amp;row()))),""Best of 3"",
AND(C95=""3x3 FMC"",MOD(COUNTIF($C$7:indirect(""C""&amp;row()),indirect(""C""&amp;row())),3)=1,
COUNTIF($C$7:$C$102,indirect(""C""&amp;row()))&lt;=COUNTIF($C$7:indirect(""C""&amp;row()),indirect(""C""&amp;row()))),""Best of 1"",
AND(C95=""3x3 FMC"""&amp;",MOD(COUNTIF($C$7:indirect(""C""&amp;row()),indirect(""C""&amp;row())),3)=1,
COUNTIF($C$7:$C$102,indirect(""C""&amp;row()))=COUNTIF($C$7:indirect(""C""&amp;row()),indirect(""C""&amp;row()))+1),""Best of 2"",
AND(C95=""3x3 FMC"",MOD(COUNTIF($C$7:indirect(""C""&amp;row()),indirect"&amp;"(""C""&amp;row())),3)=1,
COUNTIF($C$7:$C$102,indirect(""C""&amp;row()))&gt;COUNTIF($C$7:indirect(""C""&amp;row()),indirect(""C""&amp;row()))),""Mean of 3"",
AND(C95=""3x3 MBLD"",MOD(COUNTIF($C$7:indirect(""C""&amp;row()),indirect(""C""&amp;row())),3)=1,
COUNTIF($C$7:$C$102,indirect"&amp;"(""C""&amp;row()))&lt;=COUNTIF($C$7:indirect(""C""&amp;row()),indirect(""C""&amp;row()))),""Best of 1"",
AND(C95=""3x3 MBLD"",MOD(COUNTIF($C$7:indirect(""C""&amp;row()),indirect(""C""&amp;row())),3)=1,
COUNTIF($C$7:$C$102,indirect(""C""&amp;row()))=COUNTIF($C$7:indirect(""C""&amp;row()"&amp;"),indirect(""C""&amp;row()))+1),""Best of 2"",
AND(C95=""3x3 MBLD"",MOD(COUNTIF($C$7:indirect(""C""&amp;row()),indirect(""C""&amp;row())),3)=1,
COUNTIF($C$7:$C$102,indirect(""C""&amp;row()))&gt;COUNTIF($C$7:indirect(""C""&amp;row()),indirect(""C""&amp;row()))),""Best of 3"",
TRUE,("&amp;"IFERROR(FILTER(Info!$D$2:D95, Info!$A$2:A95 = C95), """")))"),"")</f>
        <v/>
      </c>
      <c r="G95" s="64" t="str">
        <f>IFERROR(__xludf.DUMMYFUNCTION("IFS(OR(COUNTIF(Info!$A$22:A95,C95)&gt;0,C95=""""),"""",
OR(""3x3 MBLD""=C95,""3x3 FMC""=C95),60,
AND(E95=1,FILTER(Info!$F$2:F95, Info!$A$2:A95 = C95) = ""No""),FILTER(Info!$P$2:P95, Info!$A$2:A95 = C95),
AND(E95=2,FILTER(Info!$F$2:F95, Info!$A$2:A95 = C95) ="&amp;" ""No""),FILTER(Info!$Q$2:Q95, Info!$A$2:A95 = C95),
AND(E95=3,FILTER(Info!$F$2:F95, Info!$A$2:A95 = C95) = ""No""),FILTER(Info!$R$2:R95, Info!$A$2:A95 = C95),
AND(E95=""Final"",FILTER(Info!$F$2:F95, Info!$A$2:A95 = C95) = ""No""),FILTER(Info!$S$2:S95, In"&amp;"fo!$A$2:A95 = C95),
FILTER(Info!$F$2:F95, Info!$A$2:A95 = C95) = ""Yes"","""")"),"")</f>
        <v/>
      </c>
      <c r="H95" s="64" t="str">
        <f>IFERROR(__xludf.DUMMYFUNCTION("IFS(OR(COUNTIF(Info!$A$22:A95,C95)&gt;0,C95=""""),"""",
OR(""3x3 MBLD""=C95,""3x3 FMC""=C95)=TRUE,"""",
FILTER(Info!$F$2:F95, Info!$A$2:A95 = C95) = ""Yes"",FILTER(Info!$O$2:O95, Info!$A$2:A95 = C95),
FILTER(Info!$F$2:F95, Info!$A$2:A95 = C95) = ""No"",IF(G9"&amp;"5="""",FILTER(Info!$O$2:O95, Info!$A$2:A95 = C95),""""))"),"")</f>
        <v/>
      </c>
      <c r="I95" s="64" t="str">
        <f>IFERROR(__xludf.DUMMYFUNCTION("IFS(OR(COUNTIF(Info!$A$22:A95,C95)&gt;0,C95="""",H95&lt;&gt;""""),"""",
AND(E95&lt;&gt;1,E95&lt;&gt;""R1 - A1"",E95&lt;&gt;""R1 - A2"",E95&lt;&gt;""R1 - A3""),"""",
FILTER(Info!$E$2:E95, Info!$A$2:A95 = C95) = ""Yes"",IF(H95="""",FILTER(Info!$L$2:L95, Info!$A$2:A95 = C95),""""),
FILTER(I"&amp;"nfo!$E$2:E95, Info!$A$2:A95 = C95) = ""No"","""")"),"")</f>
        <v/>
      </c>
      <c r="J95" s="64" t="str">
        <f>IFERROR(__xludf.DUMMYFUNCTION("IFS(OR(COUNTIF(Info!$A$22:A95,C95)&gt;0,C95="""",""3x3 MBLD""=C95,""3x3 FMC""=C95),"""",
AND(E95=1,FILTER(Info!$H$2:H95,Info!$A$2:A95 = C95)&lt;=FILTER(Info!$H$2:H95,Info!$A$2:A95=$K$2)),
ROUNDUP((FILTER(Info!$H$2:H95,Info!$A$2:A95 = C95)/FILTER(Info!$H$2:H95,I"&amp;"nfo!$A$2:A95=$K$2))*$I$2),
AND(E95=1,FILTER(Info!$H$2:H95,Info!$A$2:A95 = C95)&gt;FILTER(Info!$H$2:H95,Info!$A$2:A95=$K$2)),""K2 - Error"",
AND(E95=2,FILTER($J$7:indirect(""J""&amp;row()-1),$C$7:indirect(""C""&amp;row()-1)=C95)&lt;=7),""J - Error"",
E95=2,FLOOR(FILTER("&amp;"$J$7:indirect(""J""&amp;row()-1),$C$7:indirect(""C""&amp;row()-1)=C95)*Info!$T$32),
AND(E95=3,FILTER($J$7:indirect(""J""&amp;row()-1),$C$7:indirect(""C""&amp;row()-1)=C95)&lt;=15),""J - Error"",
E95=3,FLOOR(Info!$T$32*FLOOR(FILTER($J$7:indirect(""J""&amp;row()-1),$C$7:indirect("&amp;"""C""&amp;row()-1)=C95)*Info!$T$32)),
AND(E95=""Final"",COUNTIF($C$7:$C$102,C95)=2,FILTER($J$7:indirect(""J""&amp;row()-1),$C$7:indirect(""C""&amp;row()-1)=C95)&lt;=7),""J - Error"",
AND(E95=""Final"",COUNTIF($C$7:$C$102,C95)=2),
MIN(P95,FLOOR(FILTER($J$7:indirect(""J"""&amp;"&amp;row()-1),$C$7:indirect(""C""&amp;row()-1)=C95)*Info!$T$32)),
AND(E95=""Final"",COUNTIF($C$7:$C$102,C95)=3,FILTER($J$7:indirect(""J""&amp;row()-1),$C$7:indirect(""C""&amp;row()-1)=C95)&lt;=15),""J - Error"",
AND(E95=""Final"",COUNTIF($C$7:$C$102,C95)=3),
MIN(P95,FLOOR(I"&amp;"nfo!$T$32*FLOOR(FILTER($J$7:indirect(""J""&amp;row()-1),$C$7:indirect(""C""&amp;row()-1)=C95)*Info!$T$32))),
AND(E95=""Final"",COUNTIF($C$7:$C$102,C95)&gt;=4,FILTER($J$7:indirect(""J""&amp;row()-1),$C$7:indirect(""C""&amp;row()-1)=C95)&lt;=99),""J - Error"",
AND(E95=""Final"","&amp;"COUNTIF($C$7:$C$102,C95)&gt;=4),
MIN(P95,FLOOR(Info!$T$32*FLOOR(Info!$T$32*FLOOR(FILTER($J$7:indirect(""J""&amp;row()-1),$C$7:indirect(""C""&amp;row()-1)=C95)*Info!$T$32)))))"),"")</f>
        <v/>
      </c>
      <c r="K95" s="41" t="str">
        <f>IFERROR(__xludf.DUMMYFUNCTION("IFS(AND(indirect(""D""&amp;row()+2)&lt;&gt;$E$2,indirect(""D""&amp;row()+1)=""""),CONCATENATE(""Tom rad! Kopiera hela rad ""&amp;row()&amp;"" dit""),
AND(indirect(""D""&amp;row()-1)&lt;&gt;""Rum"",indirect(""D""&amp;row()-1)=""""),CONCATENATE(""Tom rad! Kopiera hela rad ""&amp;row()&amp;"" dit""),
"&amp;"C95="""","""",
COUNTIF(Info!$A$22:A95,$K$2)&gt;0,""Det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OR(AND(D95&lt;&gt;$E$2,D95&lt;&gt;$E$4,D95&lt;&gt;$K$4,D95&lt;&gt;$Q$4),D95="&amp;"""""),CONCATENATE(""Rum: ""&amp;D95&amp;"" finns ej, byt i D""&amp;row()),
AND(indirect(""D""&amp;row()-1)=""Rum"",C95=""""),CONCATENATE(""För att börja: skriv i cell C""&amp;row()),
AND(C95=""Paus"",M95&lt;=0),CONCATENATE(""Skriv pausens längd i M""&amp;row()),
OR(COUNTIF(Info!$A$"&amp;"22:A95,C95)&gt;0,C95=""""),"""",
AND(D95&lt;&gt;$E$2,$O$2=""Yes"",A95=""=time(hh;mm;ss)""),CONCATENATE(""Skriv starttid för ""&amp;C95&amp;"" i A""&amp;row()),
E95=""E - Error"",CONCATENATE(""För många ""&amp;C95&amp;"" rundor!""),
AND(C95&lt;&gt;""3x3 FMC"",C95&lt;&gt;""3x3 MBLD"",E95&lt;&gt;1,E95&lt;&gt;"&amp;"""Final"",IFERROR(FILTER($E$7:indirect(""E""&amp;row()-1),
$E$7:indirect(""E""&amp;row()-1)=E95-1,$C$7:indirect(""C""&amp;row()-1)=C95))=FALSE),CONCATENATE(""Kan ej vara R""&amp;E95&amp;"", saknar R""&amp;(E95-1)),
AND(indirect(""E""&amp;row()-1)&lt;&gt;""Omgång"",IFERROR(FILTER($E$7:indi"&amp;"rect(""E""&amp;row()-1),
$E$7:indirect(""E""&amp;row()-1)=E95,$C$7:indirect(""C""&amp;row()-1)=C95)=E95)=TRUE),CONCATENATE(""Runda ""&amp;E95&amp;"" i ""&amp;C95&amp;"" finns redan""),
AND(C95&lt;&gt;""3x3 BLD"",C95&lt;&gt;""4x4 BLD"",C95&lt;&gt;""5x5 BLD"",C95&lt;&gt;""4x4 / 5x5 BLD"",OR(E95=2,E95=3,E95="&amp;"""Final""),H95&lt;&gt;""""),CONCATENATE(E95&amp;""-rundor brukar ej ha c.t.l.""),
AND(OR(E95=2,E95=3,E95=""Final""),I95&lt;&gt;""""),CONCATENATE(E95&amp;""-rundor brukar ej ha cutoff""),
AND(OR(C95=""3x3 FMC"",C95=""3x3 MBLD""),OR(E95=1,E95=2,E95=3,E95=""Final"")),CONCATENAT"&amp;"E(C95&amp;""s omgång är Rx - Ax""),
AND(C95&lt;&gt;""3x3 MBLD"",C95&lt;&gt;""3x3 FMC"",FILTER(Info!$D$2:D95, Info!$A$2:A95 = C95)&lt;&gt;F95),CONCATENATE(C95&amp;"" måste ha formatet ""&amp;FILTER(Info!$D$2:D95, Info!$A$2:A95 = C95)),
AND(C95=""3x3 MBLD"",OR(F95=""Avg of 5"",F95=""Mea"&amp;"n of 3"")),CONCATENATE(""Ogiltigt format för ""&amp;C95),
AND(C95=""3x3 FMC"",OR(F95=""Avg of 5"",F95=""Best of 3"")),CONCATENATE(""Ogiltigt format för ""&amp;C95),
AND(OR(F95=""Best of 1"",F95=""Best of 2"",F95=""Best of 3""),I95&lt;&gt;""""),CONCATENATE(F95&amp;""-rundor"&amp;" får ej ha cutoff""),
AND(OR(C95=""3x3 FMC"",C95=""3x3 MBLD""),G95&lt;&gt;60),CONCATENATE(C95&amp;"" måste ha time limit: 60""),
AND(OR(C95=""3x3 FMC"",C95=""3x3 MBLD""),H95&lt;&gt;""""),CONCATENATE(C95&amp;"" kan inte ha c.t.l.""),
AND(G95&lt;&gt;"""",H95&lt;&gt;""""),""Välj time limit"&amp;" ELLER c.t.l"",
AND(C95=""6x6 / 7x7"",G95="""",H95=""""),""Sätt time limit (x / y) eller c.t.l (z)"",
AND(G95="""",H95=""""),""Sätt en time limit eller c.t.l"",
AND(OR(C95=""6x6 / 7x7"",C95=""4x4 / 5x5 BLD""),G95&lt;&gt;"""",REGEXMATCH(TO_TEXT(G95),"" / "")=FAL"&amp;"SE),CONCATENATE(""Time limit måste vara x / y""),
AND(H95&lt;&gt;"""",I95&lt;&gt;""""),CONCATENATE(C95&amp;"" brukar ej ha cutoff OCH c.t.l""),
AND(E95=1,H95="""",I95="""",OR(FILTER(Info!$E$2:E95, Info!$A$2:A95 = C95) = ""Yes"",FILTER(Info!$F$2:F95, Info!$A$2:A95 = C95) "&amp;"= ""Yes""),OR(F95=""Avg of 5"",F95=""Mean of 3"")),CONCATENATE(C95&amp;"" bör ha cutoff eller c.t.l""),
AND(C95=""6x6 / 7x7"",I95&lt;&gt;"""",REGEXMATCH(TO_TEXT(I95),"" / "")=FALSE),CONCATENATE(""Cutoff måste vara x / y""),
AND(H95&lt;&gt;"""",ISNUMBER(H95)=FALSE),""C.t."&amp;"l. måste vara positivt tal (x)"",
AND(C95&lt;&gt;""6x6 / 7x7"",I95&lt;&gt;"""",ISNUMBER(I95)=FALSE),""Cutoff måste vara positivt tal (x)"",
AND(H95&lt;&gt;"""",FILTER(Info!$E$2:E95, Info!$A$2:A95 = C95) = ""No"",FILTER(Info!$F$2:F95, Info!$A$2:A95 = C95) = ""No""),CONCATEN"&amp;"ATE(C95&amp;"" brukar inte ha c.t.l.""),
AND(I95&lt;&gt;"""",FILTER(Info!$E$2:E95, Info!$A$2:A95 = C95) = ""No"",FILTER(Info!$F$2:F95, Info!$A$2:A95 = C95) = ""No""),CONCATENATE(C95&amp;"" brukar inte ha cutoff""),
AND(H95="""",FILTER(Info!$F$2:F95, Info!$A$2:A95 = C95"&amp;") = ""Yes""),CONCATENATE(C95&amp;"" brukar ha c.t.l.""),
AND(C95&lt;&gt;""6x6 / 7x7"",C95&lt;&gt;""4x4 / 5x5 BLD"",G95&lt;&gt;"""",ISNUMBER(G95)=FALSE),""Time limit måste vara positivt tal (x)"",
J95=""J - Error"",CONCATENATE(""För få deltagare i R1 för ""&amp;COUNTIF($C$7:$C$102,"&amp;"indirect(""C""&amp;row()))&amp;"" rundor""),
J95=""K2 - Error"",CONCATENATE(C95&amp;"" är mer populär - byt i K2!""),
AND(C95&lt;&gt;""6x6 / 7x7"",C95&lt;&gt;""4x4 / 5x5 BLD"",G95&lt;&gt;"""",I95&lt;&gt;"""",G95&lt;=I95),""Time limit måste vara &gt; cutoff"",
AND(C95&lt;&gt;""6x6 / 7x7"",C95&lt;&gt;""4x4 / 5"&amp;"x5 BLD"",H95&lt;&gt;"""",I95&lt;&gt;"""",H95&lt;=I95),""C.t.l. måste vara &gt; cutoff"",
AND(C95&lt;&gt;""3x3 FMC"",C95&lt;&gt;""3x3 MBLD"",J95=""""),CONCATENATE(""Fyll i antal deltagare i J""&amp;row()),
AND(C95="""",OR(E95&lt;&gt;"""",F95&lt;&gt;"""",G95&lt;&gt;"""",H95&lt;&gt;"""",I95&lt;&gt;"""",J95&lt;&gt;"""")),""Skri"&amp;"v ALLTID gren / aktivitet först"",
AND(I95="""",H95="""",J95&lt;&gt;""""),J95,
OR(""3x3 FMC""=C95,""3x3 MBLD""=C95),J95,
AND(I95&lt;&gt;"""",""6x6 / 7x7""=C95),
IFS(ArrayFormula(SUM(IFERROR(SPLIT(I95,"" / ""))))&lt;(Info!$J$6+Info!$J$7)*2/3,CONCATENATE(""Höj helst cutof"&amp;"fs i ""&amp;C95),
ArrayFormula(SUM(IFERROR(SPLIT(I95,"" / ""))))&lt;=(Info!$J$6+Info!$J$7),ROUNDUP(J95*Info!$J$22),
ArrayFormula(SUM(IFERROR(SPLIT(I95,"" / ""))))&lt;=Info!$J$6+Info!$J$7,ROUNDUP(J95*Info!$K$22),
ArrayFormula(SUM(IFERROR(SPLIT(I95,"" / ""))))&lt;=Info!"&amp;"$K$6+Info!$K$7,ROUNDUP(J95*Info!L$22),
ArrayFormula(SUM(IFERROR(SPLIT(I95,"" / ""))))&lt;=Info!$L$6+Info!$L$7,ROUNDUP(J95*Info!$M$22),
ArrayFormula(SUM(IFERROR(SPLIT(I95,"" / ""))))&lt;=Info!$M$6+Info!$M$7,ROUNDUP(J95*Info!$N$22),
ArrayFormula(SUM(IFERROR(SPLIT"&amp;"(I95,"" / ""))))&lt;=(Info!$N$6+Info!$N$7)*3/2,ROUNDUP(J95*Info!$J$26),
ArrayFormula(SUM(IFERROR(SPLIT(I95,"" / ""))))&gt;(Info!$N$6+Info!$N$7)*3/2,CONCATENATE(""Sänk helst cutoffs i ""&amp;C95)),
AND(I95&lt;&gt;"""",FILTER(Info!$E$2:E95, Info!$A$2:A95 = C95) = ""Yes""),"&amp;"
IFS(I95&lt;FILTER(Info!$J$2:J95, Info!$A$2:A95 = C95)*2/3,CONCATENATE(""Höj helst cutoff i ""&amp;C95),
I95&lt;=FILTER(Info!$J$2:J95, Info!$A$2:A95 = C95),ROUNDUP(J95*Info!$J$22),
I95&lt;=FILTER(Info!$K$2:K95, Info!$A$2:A95 = C95),ROUNDUP(J95*Info!$K$22),
I95&lt;=FILTER"&amp;"(Info!$L$2:L95, Info!$A$2:A95 = C95),ROUNDUP(J95*Info!L$22),
I95&lt;=FILTER(Info!$M$2:M95, Info!$A$2:A95 = C95),ROUNDUP(J95*Info!$M$22),
I95&lt;=FILTER(Info!$N$2:N95, Info!$A$2:A95 = C95),ROUNDUP(J95*Info!$N$22),
I95&lt;=FILTER(Info!$N$2:N95, Info!$A$2:A95 = C95)*"&amp;"3/2,ROUNDUP(J95*Info!$J$26),
I95&gt;FILTER(Info!$N$2:N95, Info!$A$2:A95 = C95)*3/2,CONCATENATE(""Sänk helst cutoff i ""&amp;C95)),
AND(H95&lt;&gt;"""",""6x6 / 7x7""=C95),
IFS(H95/3&lt;=(Info!$J$6+Info!$J$7)*2/3,""Höj helst cumulative time limit"",
H95/3&lt;=Info!$J$6+Info!$"&amp;"J$7,ROUNDUP(J95*Info!$J$24),
H95/3&lt;=Info!$K$6+Info!$K$7,ROUNDUP(J95*Info!$K$24),
H95/3&lt;=Info!$L$6+Info!$L$7,ROUNDUP(J95*Info!L$24),
H95/3&lt;=Info!$M$6+Info!$M$7,ROUNDUP(J95*Info!$M$24),
H95/3&lt;=Info!$N$6+Info!$N$7,ROUNDUP(J95*Info!$N$24),
H95/3&lt;=(Info!$N$6+I"&amp;"nfo!$N$7)*3/2,ROUNDUP(J95*Info!$L$26),
H95/3&gt;(Info!$J$6+Info!$J$7)*3/2,""Sänk helst cumulative time limit""),
AND(H95&lt;&gt;"""",FILTER(Info!$F$2:F95, Info!$A$2:A95 = C95) = ""Yes""),
IFS(H95&lt;=FILTER(Info!$J$2:J95, Info!$A$2:A95 = C95)*2/3,CONCATENATE(""Höj he"&amp;"lst c.t.l. i ""&amp;C95),
H95&lt;=FILTER(Info!$J$2:J95, Info!$A$2:A95 = C95),ROUNDUP(J95*Info!$J$24),
H95&lt;=FILTER(Info!$K$2:K95, Info!$A$2:A95 = C95),ROUNDUP(J95*Info!$K$24),
H95&lt;=FILTER(Info!$L$2:L95, Info!$A$2:A95 = C95),ROUNDUP(J95*Info!L$24),
H95&lt;=FILTER(Inf"&amp;"o!$M$2:M95, Info!$A$2:A95 = C95),ROUNDUP(J95*Info!$M$24),
H95&lt;=FILTER(Info!$N$2:N95, Info!$A$2:A95 = C95),ROUNDUP(J95*Info!$N$24),
H95&lt;=FILTER(Info!$N$2:N95, Info!$A$2:A95 = C95)*3/2,ROUNDUP(J95*Info!$L$26),
H95&gt;FILTER(Info!$N$2:N95, Info!$A$2:A95 = C95)*"&amp;"3/2,CONCATENATE(""Sänk helst c.t.l. i ""&amp;C95)),
AND(H95&lt;&gt;"""",FILTER(Info!$F$2:F95, Info!$A$2:A95 = C95) = ""No""),
IFS(H95/AA95&lt;=FILTER(Info!$J$2:J95, Info!$A$2:A95 = C95)*2/3,CONCATENATE(""Höj helst c.t.l. i ""&amp;C95),
H95/AA95&lt;=FILTER(Info!$J$2:J95, Info"&amp;"!$A$2:A95 = C95),ROUNDUP(J95*Info!$J$24),
H95/AA95&lt;=FILTER(Info!$K$2:K95, Info!$A$2:A95 = C95),ROUNDUP(J95*Info!$K$24),
H95/AA95&lt;=FILTER(Info!$L$2:L95, Info!$A$2:A95 = C95),ROUNDUP(J95*Info!L$24),
H95/AA95&lt;=FILTER(Info!$M$2:M95, Info!$A$2:A95 = C95),ROUND"&amp;"UP(J95*Info!$M$24),
H95/AA95&lt;=FILTER(Info!$N$2:N95, Info!$A$2:A95 = C95),ROUNDUP(J95*Info!$N$24),
H95/AA95&lt;=FILTER(Info!$N$2:N95, Info!$A$2:A95 = C95)*3/2,ROUNDUP(J95*Info!$L$26),
H95/AA95&gt;FILTER(Info!$N$2:N95, Info!$A$2:A95 = C95)*3/2,CONCATENATE(""Sänk "&amp;"helst c.t.l. i ""&amp;C95)),
AND(I95="""",H95&lt;&gt;"""",J95&lt;&gt;""""),ROUNDUP(J95*Info!$T$29),
AND(I95&lt;&gt;"""",H95="""",J95&lt;&gt;""""),ROUNDUP(J95*Info!$T$26))"),"")</f>
        <v/>
      </c>
      <c r="L95" s="42">
        <f>IFERROR(__xludf.DUMMYFUNCTION("IFS(C95="""",0,
C95=""3x3 FMC"",Info!$B$9*N95+M95, C95=""3x3 MBLD"",Info!$B$18*N95+M95,
COUNTIF(Info!$A$22:A95,C95)&gt;0,FILTER(Info!$B$22:B95,Info!$A$22:A95=C95)+M95,
AND(C95&lt;&gt;"""",E95=""""),CONCATENATE(""Fyll i E""&amp;row()),
AND(C95&lt;&gt;"""",E95&lt;&gt;"""",E95&lt;&gt;1,E9"&amp;"5&lt;&gt;2,E95&lt;&gt;3,E95&lt;&gt;""Final""),CONCATENATE(""Fel format på E""&amp;row()),
K95=CONCATENATE(""Runda ""&amp;E95&amp;"" i ""&amp;C95&amp;"" finns redan""),CONCATENATE(""Fel i E""&amp;row()),
AND(C95&lt;&gt;"""",F95=""""),CONCATENATE(""Fyll i F""&amp;row()),
K95=CONCATENATE(C95&amp;"" måste ha forma"&amp;"tet ""&amp;FILTER(Info!$D$2:D95, Info!$A$2:A95 = C95)),CONCATENATE(""Fel format på F""&amp;row()),
AND(C95&lt;&gt;"""",D95=1,H95="""",FILTER(Info!$F$2:F95, Info!$A$2:A95 = C95) = ""Yes""),CONCATENATE(""Fyll i H""&amp;row()),
AND(C95&lt;&gt;"""",D95=1,I95="""",FILTER(Info!$E$2:E9"&amp;"5, Info!$A$2:A95 = C95) = ""Yes""),CONCATENATE(""Fyll i I""&amp;row()),
AND(C95&lt;&gt;"""",J95=""""),CONCATENATE(""Fyll i J""&amp;row()),
AND(C95&lt;&gt;"""",K95="""",OR(H95&lt;&gt;"""",I95&lt;&gt;"""")),CONCATENATE(""Fyll i K""&amp;row()),
AND(C95&lt;&gt;"""",K95=""""),CONCATENATE(""Skriv samma"&amp;" i K""&amp;row()&amp;"" som i J""&amp;row()),
AND(OR(C95=""4x4 BLD"",C95=""5x5 BLD"",C95=""4x4 / 5x5 BLD"")=TRUE,V95&lt;=P95),
MROUND(H95*(Info!$T$20-((Info!$T$20-1)/2)*(1-V95/P95))*(1+((J95/K95)-1)*(1-Info!$J$24))*N95+(Info!$T$11/2)+(N95*Info!$T$11)+(N95*Info!$T$14*(O9"&amp;"5-1)),0.01)+M95,
AND(OR(C95=""4x4 BLD"",C95=""5x5 BLD"",C95=""4x4 / 5x5 BLD"")=TRUE,V95&gt;P95),
MROUND((((J95*Z95+K95*(AA95-Z95))*(H95*Info!$T$20/AA95))/X95)*(1+((J95/K95)-1)*(1-Info!$J$24))*(1+(X95-Info!$T$8)/100)+(Info!$T$11/2)+(N95*Info!$T$11)+(N95*Info!"&amp;"$T$14*(O95-1)),0.01)+M95,
AND(C95=""3x3 BLD"",V95&lt;=P95),
MROUND(H95*(Info!$T$23-((Info!$T$23-1)/2)*(1-V95/P95))*(1+((J95/K95)-1)*(1-Info!$J$24))*N95+(Info!$T$11/2)+(N95*Info!$T$11)+(N95*Info!$T$14*(O95-1)),0.01)+M95,
AND(C95=""3x3 BLD"",V95&gt;P95),
MROUND(("&amp;"((J95*Z95+K95*(AA95-Z95))*(H95*Info!$T$23/AA95))/X95)*(1+((J95/K95)-1)*(1-Info!$J$24))*(1+(X95-Info!$T$8)/100)+(Info!$T$11/2)+(N95*Info!$T$11)+(N95*Info!$T$14*(O95-1)),0.01)+M95,
E95=1,MROUND((((J95*Z95+K95*(AA95-Z95))*Y95)/X95)*(1+(X95-Info!$T$8)/100)+(N"&amp;"95*Info!$T$11)+(N95*Info!$T$14*(O95-1)),0.01)+M95,
AND(E95=""Final"",N95=1,FILTER(Info!$G$2:$G$20,Info!$A$2:$A$20=C95)=""Mycket svår""),
MROUND((((J95*Z95+K95*(AA95-Z95))*(Y95*Info!$T$38))/X95)*(1+(X95-Info!$T$8)/100)+(N95*Info!$T$11)+(N95*Info!$T$14*(O95"&amp;"-1)),0.01)+M95,
AND(E95=""Final"",N95=1,FILTER(Info!$G$2:$G$20,Info!$A$2:$A$20=C95)=""Svår""),
MROUND((((J95*Z95+K95*(AA95-Z95))*(Y95*Info!$T$35))/X95)*(1+(X95-Info!$T$8)/100)+(N95*Info!$T$11)+(N95*Info!$T$14*(O95-1)),0.01)+M95,
E95=""Final"",MROUND((((J9"&amp;"5*Z95+K95*(AA95-Z95))*(Y95*Info!$T$5))/X95)*(1+(X95-Info!$T$8)/100)+(N95*Info!$T$11)+(N95*Info!$T$14*(O95-1)),0.01)+M95,
OR(E95=2,E95=3),MROUND((((J95*Z95+K95*(AA95-Z95))*(Y95*Info!$T$2))/X95)*(1+(X95-Info!$T$8)/100)+(N95*Info!$T$11)+(N95*Info!$T$14*(O95-"&amp;"1)),0.01)+M95)"),0.0)</f>
        <v>0</v>
      </c>
      <c r="M95" s="43">
        <f t="shared" si="9"/>
        <v>0</v>
      </c>
      <c r="N95" s="43" t="str">
        <f>IFS(OR(COUNTIF(Info!$A$22:A95,C95)&gt;0,C95=""),"",
OR(C95="4x4 BLD",C95="5x5 BLD",C95="3x3 MBLD",C95="3x3 FMC",C95="4x4 / 5x5 BLD"),1,
AND(E95="Final",Q95="Yes",MAX(1,ROUNDUP(J95/P95))&gt;1),MAX(2,ROUNDUP(J95/P95)),
AND(E95="Final",Q95="No",MAX(1,ROUNDUP(J95/((P95*2)+2.625-Y95*1.5)))&gt;1),MAX(2,ROUNDUP(J95/((P95*2)+2.625-Y95*1.5))),
E95="Final",1,
Q95="Yes",MAX(2,ROUNDUP(J95/P95)),
TRUE,MAX(2,ROUNDUP(J95/((P95*2)+2.625-Y95*1.5))))</f>
        <v/>
      </c>
      <c r="O95" s="43" t="str">
        <f>IFS(OR(COUNTIF(Info!$A$22:A95,C95)&gt;0,C95=""),"",
OR("3x3 MBLD"=C95,"3x3 FMC"=C95)=TRUE,"",
D95=$E$4,$G$6,D95=$K$4,$M$6,D95=$Q$4,$S$6,D95=$W$4,$Y$6,
TRUE,$S$2)</f>
        <v/>
      </c>
      <c r="P95" s="43" t="str">
        <f>IFS(OR(COUNTIF(Info!$A$22:A95,C95)&gt;0,C95=""),"",
OR("3x3 MBLD"=C95,"3x3 FMC"=C95)=TRUE,"",
D95=$E$4,$E$6,D95=$K$4,$K$6,D95=$Q$4,$Q$6,D95=$W$4,$W$6,
TRUE,$Q$2)</f>
        <v/>
      </c>
      <c r="Q95" s="44" t="str">
        <f>IFS(OR(COUNTIF(Info!$A$22:A95,C95)&gt;0,C95=""),"",
OR("3x3 MBLD"=C95,"3x3 FMC"=C95)=TRUE,"",
D95=$E$4,$I$6,D95=$K$4,$O$6,D95=$Q$4,$U$6,D95=$W$4,$AA$6,
TRUE,$U$2)</f>
        <v/>
      </c>
      <c r="R95" s="65" t="str">
        <f>IFERROR(__xludf.DUMMYFUNCTION("IF(C95="""","""",IFERROR(FILTER(Info!$B$22:B95,Info!$A$22:A95=C95)+M95,""?""))"),"")</f>
        <v/>
      </c>
      <c r="S95" s="66" t="str">
        <f>IFS(OR(COUNTIF(Info!$A$22:A95,C95)&gt;0,C95=""),"",
AND(H95="",I95=""),J95,
TRUE,"?")</f>
        <v/>
      </c>
      <c r="T95" s="65" t="str">
        <f>IFS(OR(COUNTIF(Info!$A$22:A95,C95)&gt;0,C95=""),"",
AND(L95&lt;&gt;0,OR(R95="?",R95="")),"Fyll i R-kolumnen",
OR(C95="3x3 FMC",C95="3x3 MBLD"),R95,
AND(L95&lt;&gt;0,OR(S95="?",S95="")),"Fyll i S-kolumnen",
OR(COUNTIF(Info!$A$22:A95,C95)&gt;0,C95=""),"",
TRUE,Y95*R95/L95)</f>
        <v/>
      </c>
      <c r="U95" s="65"/>
      <c r="V95" s="67" t="str">
        <f>IFS(OR(COUNTIF(Info!$A$22:A95,C95)&gt;0,C95=""),"",
OR("3x3 MBLD"=C95,"3x3 FMC"=C95)=TRUE,"",
TRUE,MROUND((J95/N95),0.01))</f>
        <v/>
      </c>
      <c r="W95" s="68" t="str">
        <f>IFS(OR(COUNTIF(Info!$A$22:A95,C95)&gt;0,C95=""),"",
TRUE,L95/N95)</f>
        <v/>
      </c>
      <c r="X95" s="67" t="str">
        <f>IFS(OR(COUNTIF(Info!$A$22:A95,C95)&gt;0,C95=""),"",
OR("3x3 MBLD"=C95,"3x3 FMC"=C95)=TRUE,"",
OR(C95="4x4 BLD",C95="5x5 BLD",C95="4x4 / 5x5 BLD",AND(C95="3x3 BLD",H95&lt;&gt;""))=TRUE,MIN(V95,P95),
TRUE,MIN(P95,V95,MROUND(((V95*2/3)+((Y95-1.625)/2)),0.01)))</f>
        <v/>
      </c>
      <c r="Y95" s="68" t="str">
        <f>IFERROR(__xludf.DUMMYFUNCTION("IFS(OR(COUNTIF(Info!$A$22:A95,C95)&gt;0,C95=""""),"""",
FILTER(Info!$F$2:F95, Info!$A$2:A95 = C95) = ""Yes"",H95/AA95,
""3x3 FMC""=C95,Info!$B$9,""3x3 MBLD""=C95,Info!$B$18,
AND(E95=1,I95="""",H95="""",Q95=""No"",G95&gt;SUMIF(Info!$A$2:A95,C95,Info!$B$2:B95)*1."&amp;"5),
MIN(SUMIF(Info!$A$2:A95,C95,Info!$B$2:B95)*1.1,SUMIF(Info!$A$2:A95,C95,Info!$B$2:B95)*(1.15-(0.15*(SUMIF(Info!$A$2:A95,C95,Info!$B$2:B95)*1.5)/G95))),
AND(E95=1,I95="""",H95="""",Q95=""Yes"",G95&gt;SUMIF(Info!$A$2:A95,C95,Info!$C$2:C95)*1.5),
MIN(SUMIF(I"&amp;"nfo!$A$2:A95,C95,Info!$C$2:C95)*1.1,SUMIF(Info!$A$2:A95,C95,Info!$C$2:C95)*(1.15-(0.15*(SUMIF(Info!$A$2:A95,C95,Info!$C$2:C95)*1.5)/G95))),
Q95=""No"",SUMIF(Info!$A$2:A95,C95,Info!$B$2:B95),
Q95=""Yes"",SUMIF(Info!$A$2:A95,C95,Info!$C$2:C95))"),"")</f>
        <v/>
      </c>
      <c r="Z95" s="67" t="str">
        <f>IFS(OR(COUNTIF(Info!$A$22:A95,C95)&gt;0,C95=""),"",
AND(OR("3x3 FMC"=C95,"3x3 MBLD"=C95),I95&lt;&gt;""),1,
AND(OR(H95&lt;&gt;"",I95&lt;&gt;""),F95="Avg of 5"),2,
F95="Avg of 5",AA95,
AND(OR(H95&lt;&gt;"",I95&lt;&gt;""),F95="Mean of 3",C95="6x6 / 7x7"),2,
AND(OR(H95&lt;&gt;"",I95&lt;&gt;""),F95="Mean of 3"),1,
F95="Mean of 3",AA95,
AND(OR(H95&lt;&gt;"",I95&lt;&gt;""),F95="Best of 3",C95="4x4 / 5x5 BLD"),2,
AND(OR(H95&lt;&gt;"",I95&lt;&gt;""),F95="Best of 3"),1,
F95="Best of 2",AA95,
F95="Best of 1",AA95)</f>
        <v/>
      </c>
      <c r="AA95" s="67" t="str">
        <f>IFS(OR(COUNTIF(Info!$A$22:A95,C95)&gt;0,C95=""),"",
AND(OR("3x3 MBLD"=C95,"3x3 FMC"=C95),F95="Best of 1"=TRUE),1,
AND(OR("3x3 MBLD"=C95,"3x3 FMC"=C95),F95="Best of 2"=TRUE),2,
AND(OR("3x3 MBLD"=C95,"3x3 FMC"=C95),OR(F95="Best of 3",F95="Mean of 3")=TRUE),3,
AND(F95="Mean of 3",C95="6x6 / 7x7"),6,
AND(F95="Best of 3",C95="4x4 / 5x5 BLD"),6,
F95="Avg of 5",5,F95="Mean of 3",3,F95="Best of 3",3,F95="Best of 2",2,F95="Best of 1",1)</f>
        <v/>
      </c>
      <c r="AB95" s="69"/>
    </row>
    <row r="96" ht="15.75" customHeight="1">
      <c r="A96" s="62">
        <f>IFERROR(__xludf.DUMMYFUNCTION("IFS(indirect(""A""&amp;row()-1)=""Start"",TIME(indirect(""A""&amp;row()-2),indirect(""B""&amp;row()-2),0),
$O$2=""No"",TIME(0,($A$6*60+$B$6)+CEILING(SUM($L$7:indirect(""L""&amp;row()-1)),5),0),
D96=$E$2,TIME(0,($A$6*60+$B$6)+CEILING(SUM(IFERROR(FILTER($L$7:indirect(""L"""&amp;"&amp;row()-1),REGEXMATCH($D$7:indirect(""D""&amp;row()-1),$E$2)),0)),5),0),
TRUE,""=time(hh;mm;ss)"")"),0.3541666666666665)</f>
        <v>0.3541666667</v>
      </c>
      <c r="B96" s="63">
        <f>IFERROR(__xludf.DUMMYFUNCTION("IFS($O$2=""No"",TIME(0,($A$6*60+$B$6)+CEILING(SUM($L$7:indirect(""L""&amp;row())),5),0),
D96=$E$2,TIME(0,($A$6*60+$B$6)+CEILING(SUM(FILTER($L$7:indirect(""L""&amp;row()),REGEXMATCH($D$7:indirect(""D""&amp;row()),$E$2))),5),0),
A96=""=time(hh;mm;ss)"",CONCATENATE(""Sk"&amp;"riv tid i A""&amp;row()),
AND(A96&lt;&gt;"""",A96&lt;&gt;""=time(hh;mm;ss)""),A96+TIME(0,CEILING(indirect(""L""&amp;row()),5),0))"),0.3541666666666665)</f>
        <v>0.3541666667</v>
      </c>
      <c r="C96" s="37"/>
      <c r="D96" s="64" t="str">
        <f t="shared" si="10"/>
        <v>Stora salen</v>
      </c>
      <c r="E96" s="64" t="str">
        <f>IFERROR(__xludf.DUMMYFUNCTION("IFS(COUNTIF(Info!$A$22:A96,C96)&gt;0,"""",
AND(OR(""3x3 FMC""=C96,""3x3 MBLD""=C96),COUNTIF($C$7:indirect(""C""&amp;row()),indirect(""C""&amp;row()))&gt;=13),""E - Error"",
AND(OR(""3x3 FMC""=C96,""3x3 MBLD""=C96),COUNTIF($C$7:indirect(""C""&amp;row()),indirect(""C""&amp;row()"&amp;"))=12),""Final - A3"",
AND(OR(""3x3 FMC""=C96,""3x3 MBLD""=C96),COUNTIF($C$7:indirect(""C""&amp;row()),indirect(""C""&amp;row()))=11),""Final - A2"",
AND(OR(""3x3 FMC""=C96,""3x3 MBLD""=C96),COUNTIF($C$7:indirect(""C""&amp;row()),indirect(""C""&amp;row()))=10),""Final - "&amp;"A1"",
AND(OR(""3x3 FMC""=C96,""3x3 MBLD""=C96),COUNTIF($C$7:indirect(""C""&amp;row()),indirect(""C""&amp;row()))=9,
COUNTIF($C$7:$C$102,indirect(""C""&amp;row()))&gt;9),""R3 - A3"",
AND(OR(""3x3 FMC""=C96,""3x3 MBLD""=C96),COUNTIF($C$7:indirect(""C""&amp;row()),indirect(""C"&amp;"""&amp;row()))=9,
COUNTIF($C$7:$C$102,indirect(""C""&amp;row()))&lt;=9),""Final - A3"",
AND(OR(""3x3 FMC""=C96,""3x3 MBLD""=C96),COUNTIF($C$7:indirect(""C""&amp;row()),indirect(""C""&amp;row()))=8,
COUNTIF($C$7:$C$102,indirect(""C""&amp;row()))&gt;9),""R3 - A2"",
AND(OR(""3x3 FMC"&amp;"""=C96,""3x3 MBLD""=C96),COUNTIF($C$7:indirect(""C""&amp;row()),indirect(""C""&amp;row()))=8,
COUNTIF($C$7:$C$102,indirect(""C""&amp;row()))&lt;=9),""Final - A2"",
AND(OR(""3x3 FMC""=C96,""3x3 MBLD""=C96),COUNTIF($C$7:indirect(""C""&amp;row()),indirect(""C""&amp;row()))=7,
COUN"&amp;"TIF($C$7:$C$102,indirect(""C""&amp;row()))&gt;9),""R3 - A1"",
AND(OR(""3x3 FMC""=C96,""3x3 MBLD""=C96),COUNTIF($C$7:indirect(""C""&amp;row()),indirect(""C""&amp;row()))=7,
COUNTIF($C$7:$C$102,indirect(""C""&amp;row()))&lt;=9),""Final - A1"",
AND(OR(""3x3 FMC""=C96,""3x3 MBLD"""&amp;"=C96),COUNTIF($C$7:indirect(""C""&amp;row()),indirect(""C""&amp;row()))=6,
COUNTIF($C$7:$C$102,indirect(""C""&amp;row()))&gt;6),""R2 - A3"",
AND(OR(""3x3 FMC""=C96,""3x3 MBLD""=C96),COUNTIF($C$7:indirect(""C""&amp;row()),indirect(""C""&amp;row()))=6,
COUNTIF($C$7:$C$102,indirec"&amp;"t(""C""&amp;row()))&lt;=6),""Final - A3"",
AND(OR(""3x3 FMC""=C96,""3x3 MBLD""=C96),COUNTIF($C$7:indirect(""C""&amp;row()),indirect(""C""&amp;row()))=5,
COUNTIF($C$7:$C$102,indirect(""C""&amp;row()))&gt;6),""R2 - A2"",
AND(OR(""3x3 FMC""=C96,""3x3 MBLD""=C96),COUNTIF($C$7:indi"&amp;"rect(""C""&amp;row()),indirect(""C""&amp;row()))=5,
COUNTIF($C$7:$C$102,indirect(""C""&amp;row()))&lt;=6),""Final - A2"",
AND(OR(""3x3 FMC""=C96,""3x3 MBLD""=C96),COUNTIF($C$7:indirect(""C""&amp;row()),indirect(""C""&amp;row()))=4,
COUNTIF($C$7:$C$102,indirect(""C""&amp;row()))&gt;6),"&amp;"""R2 - A1"",
AND(OR(""3x3 FMC""=C96,""3x3 MBLD""=C96),COUNTIF($C$7:indirect(""C""&amp;row()),indirect(""C""&amp;row()))=4,
COUNTIF($C$7:$C$102,indirect(""C""&amp;row()))&lt;=6),""Final - A1"",
AND(OR(""3x3 FMC""=C96,""3x3 MBLD""=C96),COUNTIF($C$7:indirect(""C""&amp;row()),i"&amp;"ndirect(""C""&amp;row()))=3),""R1 - A3"",
AND(OR(""3x3 FMC""=C96,""3x3 MBLD""=C96),COUNTIF($C$7:indirect(""C""&amp;row()),indirect(""C""&amp;row()))=2),""R1 - A2"",
AND(OR(""3x3 FMC""=C96,""3x3 MBLD""=C96),COUNTIF($C$7:indirect(""C""&amp;row()),indirect(""C""&amp;row()))=1),"&amp;"""R1 -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96, Info!$A$2:A96 = C96),ROUNDUP((FILTER(Info!$H$2:H96,Info!$A$2:A96=C96)/FILTER(Info!$H$2:H96,Info!$A$2:A96=$K$2))*$I$2)&gt;99),3,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96, Info!$A$2:A96 = C96),ROUNDUP((FILTER(Info!$H$2:H96,Info!$A$2:A96=C96)/FILTER(Info!$H$2:H96,Info!$A$2:A96=$K$2))*$I$2)&gt;15),2,
AND(COUNTIF($C$7:indirect(""C""&amp;row()),indirect(""C""&amp;row()))=2,COUNTIF($C$7:$C$102,indirect(""C""&amp;row()))=COUNTIF($"&amp;"C$7:indirect(""C""&amp;row()),indirect(""C""&amp;row()))),""Final"",
COUNTIF($C$7:indirect(""C""&amp;row()),indirect(""C""&amp;row()))=1,1,
COUNTIF($C$7:indirect(""C""&amp;row()),indirect(""C""&amp;row()))=0,"""")"),"")</f>
        <v/>
      </c>
      <c r="F96" s="64" t="str">
        <f>IFERROR(__xludf.DUMMYFUNCTION("IFS(C96="""","""",
AND(C96=""3x3 FMC"",MOD(COUNTIF($C$7:indirect(""C""&amp;row()),indirect(""C""&amp;row())),3)=0),""Mean of 3"",
AND(C96=""3x3 MBLD"",MOD(COUNTIF($C$7:indirect(""C""&amp;row()),indirect(""C""&amp;row())),3)=0),""Best of 3"",
AND(C96=""3x3 FMC"",MOD(COUNT"&amp;"IF($C$7:indirect(""C""&amp;row()),indirect(""C""&amp;row())),3)=2,
COUNTIF($C$7:$C$102,indirect(""C""&amp;row()))&lt;=COUNTIF($C$7:indirect(""C""&amp;row()),indirect(""C""&amp;row()))),""Best of 2"",
AND(C96=""3x3 FMC"",MOD(COUNTIF($C$7:indirect(""C""&amp;row()),indirect(""C""&amp;row("&amp;"))),3)=2,
COUNTIF($C$7:$C$102,indirect(""C""&amp;row()))&gt;COUNTIF($C$7:indirect(""C""&amp;row()),indirect(""C""&amp;row()))),""Mean of 3"",
AND(C96=""3x3 MBLD"",MOD(COUNTIF($C$7:indirect(""C""&amp;row()),indirect(""C""&amp;row())),3)=2,
COUNTIF($C$7:$C$102,indirect(""C""&amp;row("&amp;")))&lt;=COUNTIF($C$7:indirect(""C""&amp;row()),indirect(""C""&amp;row()))),""Best of 2"",
AND(C96=""3x3 MBLD"",MOD(COUNTIF($C$7:indirect(""C""&amp;row()),indirect(""C""&amp;row())),3)=2,
COUNTIF($C$7:$C$102,indirect(""C""&amp;row()))&gt;COUNTIF($C$7:indirect(""C""&amp;row()),indirect("&amp;"""C""&amp;row()))),""Best of 3"",
AND(C96=""3x3 FMC"",MOD(COUNTIF($C$7:indirect(""C""&amp;row()),indirect(""C""&amp;row())),3)=1,
COUNTIF($C$7:$C$102,indirect(""C""&amp;row()))&lt;=COUNTIF($C$7:indirect(""C""&amp;row()),indirect(""C""&amp;row()))),""Best of 1"",
AND(C96=""3x3 FMC"""&amp;",MOD(COUNTIF($C$7:indirect(""C""&amp;row()),indirect(""C""&amp;row())),3)=1,
COUNTIF($C$7:$C$102,indirect(""C""&amp;row()))=COUNTIF($C$7:indirect(""C""&amp;row()),indirect(""C""&amp;row()))+1),""Best of 2"",
AND(C96=""3x3 FMC"",MOD(COUNTIF($C$7:indirect(""C""&amp;row()),indirect"&amp;"(""C""&amp;row())),3)=1,
COUNTIF($C$7:$C$102,indirect(""C""&amp;row()))&gt;COUNTIF($C$7:indirect(""C""&amp;row()),indirect(""C""&amp;row()))),""Mean of 3"",
AND(C96=""3x3 MBLD"",MOD(COUNTIF($C$7:indirect(""C""&amp;row()),indirect(""C""&amp;row())),3)=1,
COUNTIF($C$7:$C$102,indirect"&amp;"(""C""&amp;row()))&lt;=COUNTIF($C$7:indirect(""C""&amp;row()),indirect(""C""&amp;row()))),""Best of 1"",
AND(C96=""3x3 MBLD"",MOD(COUNTIF($C$7:indirect(""C""&amp;row()),indirect(""C""&amp;row())),3)=1,
COUNTIF($C$7:$C$102,indirect(""C""&amp;row()))=COUNTIF($C$7:indirect(""C""&amp;row()"&amp;"),indirect(""C""&amp;row()))+1),""Best of 2"",
AND(C96=""3x3 MBLD"",MOD(COUNTIF($C$7:indirect(""C""&amp;row()),indirect(""C""&amp;row())),3)=1,
COUNTIF($C$7:$C$102,indirect(""C""&amp;row()))&gt;COUNTIF($C$7:indirect(""C""&amp;row()),indirect(""C""&amp;row()))),""Best of 3"",
TRUE,("&amp;"IFERROR(FILTER(Info!$D$2:D96, Info!$A$2:A96 = C96), """")))"),"")</f>
        <v/>
      </c>
      <c r="G96" s="64" t="str">
        <f>IFERROR(__xludf.DUMMYFUNCTION("IFS(OR(COUNTIF(Info!$A$22:A96,C96)&gt;0,C96=""""),"""",
OR(""3x3 MBLD""=C96,""3x3 FMC""=C96),60,
AND(E96=1,FILTER(Info!$F$2:F96, Info!$A$2:A96 = C96) = ""No""),FILTER(Info!$P$2:P96, Info!$A$2:A96 = C96),
AND(E96=2,FILTER(Info!$F$2:F96, Info!$A$2:A96 = C96) ="&amp;" ""No""),FILTER(Info!$Q$2:Q96, Info!$A$2:A96 = C96),
AND(E96=3,FILTER(Info!$F$2:F96, Info!$A$2:A96 = C96) = ""No""),FILTER(Info!$R$2:R96, Info!$A$2:A96 = C96),
AND(E96=""Final"",FILTER(Info!$F$2:F96, Info!$A$2:A96 = C96) = ""No""),FILTER(Info!$S$2:S96, In"&amp;"fo!$A$2:A96 = C96),
FILTER(Info!$F$2:F96, Info!$A$2:A96 = C96) = ""Yes"","""")"),"")</f>
        <v/>
      </c>
      <c r="H96" s="64" t="str">
        <f>IFERROR(__xludf.DUMMYFUNCTION("IFS(OR(COUNTIF(Info!$A$22:A96,C96)&gt;0,C96=""""),"""",
OR(""3x3 MBLD""=C96,""3x3 FMC""=C96)=TRUE,"""",
FILTER(Info!$F$2:F96, Info!$A$2:A96 = C96) = ""Yes"",FILTER(Info!$O$2:O96, Info!$A$2:A96 = C96),
FILTER(Info!$F$2:F96, Info!$A$2:A96 = C96) = ""No"",IF(G9"&amp;"6="""",FILTER(Info!$O$2:O96, Info!$A$2:A96 = C96),""""))"),"")</f>
        <v/>
      </c>
      <c r="I96" s="64" t="str">
        <f>IFERROR(__xludf.DUMMYFUNCTION("IFS(OR(COUNTIF(Info!$A$22:A96,C96)&gt;0,C96="""",H96&lt;&gt;""""),"""",
AND(E96&lt;&gt;1,E96&lt;&gt;""R1 - A1"",E96&lt;&gt;""R1 - A2"",E96&lt;&gt;""R1 - A3""),"""",
FILTER(Info!$E$2:E96, Info!$A$2:A96 = C96) = ""Yes"",IF(H96="""",FILTER(Info!$L$2:L96, Info!$A$2:A96 = C96),""""),
FILTER(I"&amp;"nfo!$E$2:E96, Info!$A$2:A96 = C96) = ""No"","""")"),"")</f>
        <v/>
      </c>
      <c r="J96" s="64" t="str">
        <f>IFERROR(__xludf.DUMMYFUNCTION("IFS(OR(COUNTIF(Info!$A$22:A96,C96)&gt;0,C96="""",""3x3 MBLD""=C96,""3x3 FMC""=C96),"""",
AND(E96=1,FILTER(Info!$H$2:H96,Info!$A$2:A96 = C96)&lt;=FILTER(Info!$H$2:H96,Info!$A$2:A96=$K$2)),
ROUNDUP((FILTER(Info!$H$2:H96,Info!$A$2:A96 = C96)/FILTER(Info!$H$2:H96,I"&amp;"nfo!$A$2:A96=$K$2))*$I$2),
AND(E96=1,FILTER(Info!$H$2:H96,Info!$A$2:A96 = C96)&gt;FILTER(Info!$H$2:H96,Info!$A$2:A96=$K$2)),""K2 - Error"",
AND(E96=2,FILTER($J$7:indirect(""J""&amp;row()-1),$C$7:indirect(""C""&amp;row()-1)=C96)&lt;=7),""J - Error"",
E96=2,FLOOR(FILTER("&amp;"$J$7:indirect(""J""&amp;row()-1),$C$7:indirect(""C""&amp;row()-1)=C96)*Info!$T$32),
AND(E96=3,FILTER($J$7:indirect(""J""&amp;row()-1),$C$7:indirect(""C""&amp;row()-1)=C96)&lt;=15),""J - Error"",
E96=3,FLOOR(Info!$T$32*FLOOR(FILTER($J$7:indirect(""J""&amp;row()-1),$C$7:indirect("&amp;"""C""&amp;row()-1)=C96)*Info!$T$32)),
AND(E96=""Final"",COUNTIF($C$7:$C$102,C96)=2,FILTER($J$7:indirect(""J""&amp;row()-1),$C$7:indirect(""C""&amp;row()-1)=C96)&lt;=7),""J - Error"",
AND(E96=""Final"",COUNTIF($C$7:$C$102,C96)=2),
MIN(P96,FLOOR(FILTER($J$7:indirect(""J"""&amp;"&amp;row()-1),$C$7:indirect(""C""&amp;row()-1)=C96)*Info!$T$32)),
AND(E96=""Final"",COUNTIF($C$7:$C$102,C96)=3,FILTER($J$7:indirect(""J""&amp;row()-1),$C$7:indirect(""C""&amp;row()-1)=C96)&lt;=15),""J - Error"",
AND(E96=""Final"",COUNTIF($C$7:$C$102,C96)=3),
MIN(P96,FLOOR(I"&amp;"nfo!$T$32*FLOOR(FILTER($J$7:indirect(""J""&amp;row()-1),$C$7:indirect(""C""&amp;row()-1)=C96)*Info!$T$32))),
AND(E96=""Final"",COUNTIF($C$7:$C$102,C96)&gt;=4,FILTER($J$7:indirect(""J""&amp;row()-1),$C$7:indirect(""C""&amp;row()-1)=C96)&lt;=99),""J - Error"",
AND(E96=""Final"","&amp;"COUNTIF($C$7:$C$102,C96)&gt;=4),
MIN(P96,FLOOR(Info!$T$32*FLOOR(Info!$T$32*FLOOR(FILTER($J$7:indirect(""J""&amp;row()-1),$C$7:indirect(""C""&amp;row()-1)=C96)*Info!$T$32)))))"),"")</f>
        <v/>
      </c>
      <c r="K96" s="41" t="str">
        <f>IFERROR(__xludf.DUMMYFUNCTION("IFS(AND(indirect(""D""&amp;row()+2)&lt;&gt;$E$2,indirect(""D""&amp;row()+1)=""""),CONCATENATE(""Tom rad! Kopiera hela rad ""&amp;row()&amp;"" dit""),
AND(indirect(""D""&amp;row()-1)&lt;&gt;""Rum"",indirect(""D""&amp;row()-1)=""""),CONCATENATE(""Tom rad! Kopiera hela rad ""&amp;row()&amp;"" dit""),
"&amp;"C96="""","""",
COUNTIF(Info!$A$22:A96,$K$2)&gt;0,""Det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OR(AND(D96&lt;&gt;$E$2,D96&lt;&gt;$E$4,D96&lt;&gt;$K$4,D96&lt;&gt;$Q$4),D96="&amp;"""""),CONCATENATE(""Rum: ""&amp;D96&amp;"" finns ej, byt i D""&amp;row()),
AND(indirect(""D""&amp;row()-1)=""Rum"",C96=""""),CONCATENATE(""För att börja: skriv i cell C""&amp;row()),
AND(C96=""Paus"",M96&lt;=0),CONCATENATE(""Skriv pausens längd i M""&amp;row()),
OR(COUNTIF(Info!$A$"&amp;"22:A96,C96)&gt;0,C96=""""),"""",
AND(D96&lt;&gt;$E$2,$O$2=""Yes"",A96=""=time(hh;mm;ss)""),CONCATENATE(""Skriv starttid för ""&amp;C96&amp;"" i A""&amp;row()),
E96=""E - Error"",CONCATENATE(""För många ""&amp;C96&amp;"" rundor!""),
AND(C96&lt;&gt;""3x3 FMC"",C96&lt;&gt;""3x3 MBLD"",E96&lt;&gt;1,E96&lt;&gt;"&amp;"""Final"",IFERROR(FILTER($E$7:indirect(""E""&amp;row()-1),
$E$7:indirect(""E""&amp;row()-1)=E96-1,$C$7:indirect(""C""&amp;row()-1)=C96))=FALSE),CONCATENATE(""Kan ej vara R""&amp;E96&amp;"", saknar R""&amp;(E96-1)),
AND(indirect(""E""&amp;row()-1)&lt;&gt;""Omgång"",IFERROR(FILTER($E$7:indi"&amp;"rect(""E""&amp;row()-1),
$E$7:indirect(""E""&amp;row()-1)=E96,$C$7:indirect(""C""&amp;row()-1)=C96)=E96)=TRUE),CONCATENATE(""Runda ""&amp;E96&amp;"" i ""&amp;C96&amp;"" finns redan""),
AND(C96&lt;&gt;""3x3 BLD"",C96&lt;&gt;""4x4 BLD"",C96&lt;&gt;""5x5 BLD"",C96&lt;&gt;""4x4 / 5x5 BLD"",OR(E96=2,E96=3,E96="&amp;"""Final""),H96&lt;&gt;""""),CONCATENATE(E96&amp;""-rundor brukar ej ha c.t.l.""),
AND(OR(E96=2,E96=3,E96=""Final""),I96&lt;&gt;""""),CONCATENATE(E96&amp;""-rundor brukar ej ha cutoff""),
AND(OR(C96=""3x3 FMC"",C96=""3x3 MBLD""),OR(E96=1,E96=2,E96=3,E96=""Final"")),CONCATENAT"&amp;"E(C96&amp;""s omgång är Rx - Ax""),
AND(C96&lt;&gt;""3x3 MBLD"",C96&lt;&gt;""3x3 FMC"",FILTER(Info!$D$2:D96, Info!$A$2:A96 = C96)&lt;&gt;F96),CONCATENATE(C96&amp;"" måste ha formatet ""&amp;FILTER(Info!$D$2:D96, Info!$A$2:A96 = C96)),
AND(C96=""3x3 MBLD"",OR(F96=""Avg of 5"",F96=""Mea"&amp;"n of 3"")),CONCATENATE(""Ogiltigt format för ""&amp;C96),
AND(C96=""3x3 FMC"",OR(F96=""Avg of 5"",F96=""Best of 3"")),CONCATENATE(""Ogiltigt format för ""&amp;C96),
AND(OR(F96=""Best of 1"",F96=""Best of 2"",F96=""Best of 3""),I96&lt;&gt;""""),CONCATENATE(F96&amp;""-rundor"&amp;" får ej ha cutoff""),
AND(OR(C96=""3x3 FMC"",C96=""3x3 MBLD""),G96&lt;&gt;60),CONCATENATE(C96&amp;"" måste ha time limit: 60""),
AND(OR(C96=""3x3 FMC"",C96=""3x3 MBLD""),H96&lt;&gt;""""),CONCATENATE(C96&amp;"" kan inte ha c.t.l.""),
AND(G96&lt;&gt;"""",H96&lt;&gt;""""),""Välj time limit"&amp;" ELLER c.t.l"",
AND(C96=""6x6 / 7x7"",G96="""",H96=""""),""Sätt time limit (x / y) eller c.t.l (z)"",
AND(G96="""",H96=""""),""Sätt en time limit eller c.t.l"",
AND(OR(C96=""6x6 / 7x7"",C96=""4x4 / 5x5 BLD""),G96&lt;&gt;"""",REGEXMATCH(TO_TEXT(G96),"" / "")=FAL"&amp;"SE),CONCATENATE(""Time limit måste vara x / y""),
AND(H96&lt;&gt;"""",I96&lt;&gt;""""),CONCATENATE(C96&amp;"" brukar ej ha cutoff OCH c.t.l""),
AND(E96=1,H96="""",I96="""",OR(FILTER(Info!$E$2:E96, Info!$A$2:A96 = C96) = ""Yes"",FILTER(Info!$F$2:F96, Info!$A$2:A96 = C96) "&amp;"= ""Yes""),OR(F96=""Avg of 5"",F96=""Mean of 3"")),CONCATENATE(C96&amp;"" bör ha cutoff eller c.t.l""),
AND(C96=""6x6 / 7x7"",I96&lt;&gt;"""",REGEXMATCH(TO_TEXT(I96),"" / "")=FALSE),CONCATENATE(""Cutoff måste vara x / y""),
AND(H96&lt;&gt;"""",ISNUMBER(H96)=FALSE),""C.t."&amp;"l. måste vara positivt tal (x)"",
AND(C96&lt;&gt;""6x6 / 7x7"",I96&lt;&gt;"""",ISNUMBER(I96)=FALSE),""Cutoff måste vara positivt tal (x)"",
AND(H96&lt;&gt;"""",FILTER(Info!$E$2:E96, Info!$A$2:A96 = C96) = ""No"",FILTER(Info!$F$2:F96, Info!$A$2:A96 = C96) = ""No""),CONCATEN"&amp;"ATE(C96&amp;"" brukar inte ha c.t.l.""),
AND(I96&lt;&gt;"""",FILTER(Info!$E$2:E96, Info!$A$2:A96 = C96) = ""No"",FILTER(Info!$F$2:F96, Info!$A$2:A96 = C96) = ""No""),CONCATENATE(C96&amp;"" brukar inte ha cutoff""),
AND(H96="""",FILTER(Info!$F$2:F96, Info!$A$2:A96 = C96"&amp;") = ""Yes""),CONCATENATE(C96&amp;"" brukar ha c.t.l.""),
AND(C96&lt;&gt;""6x6 / 7x7"",C96&lt;&gt;""4x4 / 5x5 BLD"",G96&lt;&gt;"""",ISNUMBER(G96)=FALSE),""Time limit måste vara positivt tal (x)"",
J96=""J - Error"",CONCATENATE(""För få deltagare i R1 för ""&amp;COUNTIF($C$7:$C$102,"&amp;"indirect(""C""&amp;row()))&amp;"" rundor""),
J96=""K2 - Error"",CONCATENATE(C96&amp;"" är mer populär - byt i K2!""),
AND(C96&lt;&gt;""6x6 / 7x7"",C96&lt;&gt;""4x4 / 5x5 BLD"",G96&lt;&gt;"""",I96&lt;&gt;"""",G96&lt;=I96),""Time limit måste vara &gt; cutoff"",
AND(C96&lt;&gt;""6x6 / 7x7"",C96&lt;&gt;""4x4 / 5"&amp;"x5 BLD"",H96&lt;&gt;"""",I96&lt;&gt;"""",H96&lt;=I96),""C.t.l. måste vara &gt; cutoff"",
AND(C96&lt;&gt;""3x3 FMC"",C96&lt;&gt;""3x3 MBLD"",J96=""""),CONCATENATE(""Fyll i antal deltagare i J""&amp;row()),
AND(C96="""",OR(E96&lt;&gt;"""",F96&lt;&gt;"""",G96&lt;&gt;"""",H96&lt;&gt;"""",I96&lt;&gt;"""",J96&lt;&gt;"""")),""Skri"&amp;"v ALLTID gren / aktivitet först"",
AND(I96="""",H96="""",J96&lt;&gt;""""),J96,
OR(""3x3 FMC""=C96,""3x3 MBLD""=C96),J96,
AND(I96&lt;&gt;"""",""6x6 / 7x7""=C96),
IFS(ArrayFormula(SUM(IFERROR(SPLIT(I96,"" / ""))))&lt;(Info!$J$6+Info!$J$7)*2/3,CONCATENATE(""Höj helst cutof"&amp;"fs i ""&amp;C96),
ArrayFormula(SUM(IFERROR(SPLIT(I96,"" / ""))))&lt;=(Info!$J$6+Info!$J$7),ROUNDUP(J96*Info!$J$22),
ArrayFormula(SUM(IFERROR(SPLIT(I96,"" / ""))))&lt;=Info!$J$6+Info!$J$7,ROUNDUP(J96*Info!$K$22),
ArrayFormula(SUM(IFERROR(SPLIT(I96,"" / ""))))&lt;=Info!"&amp;"$K$6+Info!$K$7,ROUNDUP(J96*Info!L$22),
ArrayFormula(SUM(IFERROR(SPLIT(I96,"" / ""))))&lt;=Info!$L$6+Info!$L$7,ROUNDUP(J96*Info!$M$22),
ArrayFormula(SUM(IFERROR(SPLIT(I96,"" / ""))))&lt;=Info!$M$6+Info!$M$7,ROUNDUP(J96*Info!$N$22),
ArrayFormula(SUM(IFERROR(SPLIT"&amp;"(I96,"" / ""))))&lt;=(Info!$N$6+Info!$N$7)*3/2,ROUNDUP(J96*Info!$J$26),
ArrayFormula(SUM(IFERROR(SPLIT(I96,"" / ""))))&gt;(Info!$N$6+Info!$N$7)*3/2,CONCATENATE(""Sänk helst cutoffs i ""&amp;C96)),
AND(I96&lt;&gt;"""",FILTER(Info!$E$2:E96, Info!$A$2:A96 = C96) = ""Yes""),"&amp;"
IFS(I96&lt;FILTER(Info!$J$2:J96, Info!$A$2:A96 = C96)*2/3,CONCATENATE(""Höj helst cutoff i ""&amp;C96),
I96&lt;=FILTER(Info!$J$2:J96, Info!$A$2:A96 = C96),ROUNDUP(J96*Info!$J$22),
I96&lt;=FILTER(Info!$K$2:K96, Info!$A$2:A96 = C96),ROUNDUP(J96*Info!$K$22),
I96&lt;=FILTER"&amp;"(Info!$L$2:L96, Info!$A$2:A96 = C96),ROUNDUP(J96*Info!L$22),
I96&lt;=FILTER(Info!$M$2:M96, Info!$A$2:A96 = C96),ROUNDUP(J96*Info!$M$22),
I96&lt;=FILTER(Info!$N$2:N96, Info!$A$2:A96 = C96),ROUNDUP(J96*Info!$N$22),
I96&lt;=FILTER(Info!$N$2:N96, Info!$A$2:A96 = C96)*"&amp;"3/2,ROUNDUP(J96*Info!$J$26),
I96&gt;FILTER(Info!$N$2:N96, Info!$A$2:A96 = C96)*3/2,CONCATENATE(""Sänk helst cutoff i ""&amp;C96)),
AND(H96&lt;&gt;"""",""6x6 / 7x7""=C96),
IFS(H96/3&lt;=(Info!$J$6+Info!$J$7)*2/3,""Höj helst cumulative time limit"",
H96/3&lt;=Info!$J$6+Info!$"&amp;"J$7,ROUNDUP(J96*Info!$J$24),
H96/3&lt;=Info!$K$6+Info!$K$7,ROUNDUP(J96*Info!$K$24),
H96/3&lt;=Info!$L$6+Info!$L$7,ROUNDUP(J96*Info!L$24),
H96/3&lt;=Info!$M$6+Info!$M$7,ROUNDUP(J96*Info!$M$24),
H96/3&lt;=Info!$N$6+Info!$N$7,ROUNDUP(J96*Info!$N$24),
H96/3&lt;=(Info!$N$6+I"&amp;"nfo!$N$7)*3/2,ROUNDUP(J96*Info!$L$26),
H96/3&gt;(Info!$J$6+Info!$J$7)*3/2,""Sänk helst cumulative time limit""),
AND(H96&lt;&gt;"""",FILTER(Info!$F$2:F96, Info!$A$2:A96 = C96) = ""Yes""),
IFS(H96&lt;=FILTER(Info!$J$2:J96, Info!$A$2:A96 = C96)*2/3,CONCATENATE(""Höj he"&amp;"lst c.t.l. i ""&amp;C96),
H96&lt;=FILTER(Info!$J$2:J96, Info!$A$2:A96 = C96),ROUNDUP(J96*Info!$J$24),
H96&lt;=FILTER(Info!$K$2:K96, Info!$A$2:A96 = C96),ROUNDUP(J96*Info!$K$24),
H96&lt;=FILTER(Info!$L$2:L96, Info!$A$2:A96 = C96),ROUNDUP(J96*Info!L$24),
H96&lt;=FILTER(Inf"&amp;"o!$M$2:M96, Info!$A$2:A96 = C96),ROUNDUP(J96*Info!$M$24),
H96&lt;=FILTER(Info!$N$2:N96, Info!$A$2:A96 = C96),ROUNDUP(J96*Info!$N$24),
H96&lt;=FILTER(Info!$N$2:N96, Info!$A$2:A96 = C96)*3/2,ROUNDUP(J96*Info!$L$26),
H96&gt;FILTER(Info!$N$2:N96, Info!$A$2:A96 = C96)*"&amp;"3/2,CONCATENATE(""Sänk helst c.t.l. i ""&amp;C96)),
AND(H96&lt;&gt;"""",FILTER(Info!$F$2:F96, Info!$A$2:A96 = C96) = ""No""),
IFS(H96/AA96&lt;=FILTER(Info!$J$2:J96, Info!$A$2:A96 = C96)*2/3,CONCATENATE(""Höj helst c.t.l. i ""&amp;C96),
H96/AA96&lt;=FILTER(Info!$J$2:J96, Info"&amp;"!$A$2:A96 = C96),ROUNDUP(J96*Info!$J$24),
H96/AA96&lt;=FILTER(Info!$K$2:K96, Info!$A$2:A96 = C96),ROUNDUP(J96*Info!$K$24),
H96/AA96&lt;=FILTER(Info!$L$2:L96, Info!$A$2:A96 = C96),ROUNDUP(J96*Info!L$24),
H96/AA96&lt;=FILTER(Info!$M$2:M96, Info!$A$2:A96 = C96),ROUND"&amp;"UP(J96*Info!$M$24),
H96/AA96&lt;=FILTER(Info!$N$2:N96, Info!$A$2:A96 = C96),ROUNDUP(J96*Info!$N$24),
H96/AA96&lt;=FILTER(Info!$N$2:N96, Info!$A$2:A96 = C96)*3/2,ROUNDUP(J96*Info!$L$26),
H96/AA96&gt;FILTER(Info!$N$2:N96, Info!$A$2:A96 = C96)*3/2,CONCATENATE(""Sänk "&amp;"helst c.t.l. i ""&amp;C96)),
AND(I96="""",H96&lt;&gt;"""",J96&lt;&gt;""""),ROUNDUP(J96*Info!$T$29),
AND(I96&lt;&gt;"""",H96="""",J96&lt;&gt;""""),ROUNDUP(J96*Info!$T$26))"),"")</f>
        <v/>
      </c>
      <c r="L96" s="42">
        <f>IFERROR(__xludf.DUMMYFUNCTION("IFS(C96="""",0,
C96=""3x3 FMC"",Info!$B$9*N96+M96, C96=""3x3 MBLD"",Info!$B$18*N96+M96,
COUNTIF(Info!$A$22:A96,C96)&gt;0,FILTER(Info!$B$22:B96,Info!$A$22:A96=C96)+M96,
AND(C96&lt;&gt;"""",E96=""""),CONCATENATE(""Fyll i E""&amp;row()),
AND(C96&lt;&gt;"""",E96&lt;&gt;"""",E96&lt;&gt;1,E9"&amp;"6&lt;&gt;2,E96&lt;&gt;3,E96&lt;&gt;""Final""),CONCATENATE(""Fel format på E""&amp;row()),
K96=CONCATENATE(""Runda ""&amp;E96&amp;"" i ""&amp;C96&amp;"" finns redan""),CONCATENATE(""Fel i E""&amp;row()),
AND(C96&lt;&gt;"""",F96=""""),CONCATENATE(""Fyll i F""&amp;row()),
K96=CONCATENATE(C96&amp;"" måste ha forma"&amp;"tet ""&amp;FILTER(Info!$D$2:D96, Info!$A$2:A96 = C96)),CONCATENATE(""Fel format på F""&amp;row()),
AND(C96&lt;&gt;"""",D96=1,H96="""",FILTER(Info!$F$2:F96, Info!$A$2:A96 = C96) = ""Yes""),CONCATENATE(""Fyll i H""&amp;row()),
AND(C96&lt;&gt;"""",D96=1,I96="""",FILTER(Info!$E$2:E9"&amp;"6, Info!$A$2:A96 = C96) = ""Yes""),CONCATENATE(""Fyll i I""&amp;row()),
AND(C96&lt;&gt;"""",J96=""""),CONCATENATE(""Fyll i J""&amp;row()),
AND(C96&lt;&gt;"""",K96="""",OR(H96&lt;&gt;"""",I96&lt;&gt;"""")),CONCATENATE(""Fyll i K""&amp;row()),
AND(C96&lt;&gt;"""",K96=""""),CONCATENATE(""Skriv samma"&amp;" i K""&amp;row()&amp;"" som i J""&amp;row()),
AND(OR(C96=""4x4 BLD"",C96=""5x5 BLD"",C96=""4x4 / 5x5 BLD"")=TRUE,V96&lt;=P96),
MROUND(H96*(Info!$T$20-((Info!$T$20-1)/2)*(1-V96/P96))*(1+((J96/K96)-1)*(1-Info!$J$24))*N96+(Info!$T$11/2)+(N96*Info!$T$11)+(N96*Info!$T$14*(O9"&amp;"6-1)),0.01)+M96,
AND(OR(C96=""4x4 BLD"",C96=""5x5 BLD"",C96=""4x4 / 5x5 BLD"")=TRUE,V96&gt;P96),
MROUND((((J96*Z96+K96*(AA96-Z96))*(H96*Info!$T$20/AA96))/X96)*(1+((J96/K96)-1)*(1-Info!$J$24))*(1+(X96-Info!$T$8)/100)+(Info!$T$11/2)+(N96*Info!$T$11)+(N96*Info!"&amp;"$T$14*(O96-1)),0.01)+M96,
AND(C96=""3x3 BLD"",V96&lt;=P96),
MROUND(H96*(Info!$T$23-((Info!$T$23-1)/2)*(1-V96/P96))*(1+((J96/K96)-1)*(1-Info!$J$24))*N96+(Info!$T$11/2)+(N96*Info!$T$11)+(N96*Info!$T$14*(O96-1)),0.01)+M96,
AND(C96=""3x3 BLD"",V96&gt;P96),
MROUND(("&amp;"((J96*Z96+K96*(AA96-Z96))*(H96*Info!$T$23/AA96))/X96)*(1+((J96/K96)-1)*(1-Info!$J$24))*(1+(X96-Info!$T$8)/100)+(Info!$T$11/2)+(N96*Info!$T$11)+(N96*Info!$T$14*(O96-1)),0.01)+M96,
E96=1,MROUND((((J96*Z96+K96*(AA96-Z96))*Y96)/X96)*(1+(X96-Info!$T$8)/100)+(N"&amp;"96*Info!$T$11)+(N96*Info!$T$14*(O96-1)),0.01)+M96,
AND(E96=""Final"",N96=1,FILTER(Info!$G$2:$G$20,Info!$A$2:$A$20=C96)=""Mycket svår""),
MROUND((((J96*Z96+K96*(AA96-Z96))*(Y96*Info!$T$38))/X96)*(1+(X96-Info!$T$8)/100)+(N96*Info!$T$11)+(N96*Info!$T$14*(O96"&amp;"-1)),0.01)+M96,
AND(E96=""Final"",N96=1,FILTER(Info!$G$2:$G$20,Info!$A$2:$A$20=C96)=""Svår""),
MROUND((((J96*Z96+K96*(AA96-Z96))*(Y96*Info!$T$35))/X96)*(1+(X96-Info!$T$8)/100)+(N96*Info!$T$11)+(N96*Info!$T$14*(O96-1)),0.01)+M96,
E96=""Final"",MROUND((((J9"&amp;"6*Z96+K96*(AA96-Z96))*(Y96*Info!$T$5))/X96)*(1+(X96-Info!$T$8)/100)+(N96*Info!$T$11)+(N96*Info!$T$14*(O96-1)),0.01)+M96,
OR(E96=2,E96=3),MROUND((((J96*Z96+K96*(AA96-Z96))*(Y96*Info!$T$2))/X96)*(1+(X96-Info!$T$8)/100)+(N96*Info!$T$11)+(N96*Info!$T$14*(O96-"&amp;"1)),0.01)+M96)"),0.0)</f>
        <v>0</v>
      </c>
      <c r="M96" s="43">
        <f t="shared" si="9"/>
        <v>0</v>
      </c>
      <c r="N96" s="43" t="str">
        <f>IFS(OR(COUNTIF(Info!$A$22:A96,C96)&gt;0,C96=""),"",
OR(C96="4x4 BLD",C96="5x5 BLD",C96="3x3 MBLD",C96="3x3 FMC",C96="4x4 / 5x5 BLD"),1,
AND(E96="Final",Q96="Yes",MAX(1,ROUNDUP(J96/P96))&gt;1),MAX(2,ROUNDUP(J96/P96)),
AND(E96="Final",Q96="No",MAX(1,ROUNDUP(J96/((P96*2)+2.625-Y96*1.5)))&gt;1),MAX(2,ROUNDUP(J96/((P96*2)+2.625-Y96*1.5))),
E96="Final",1,
Q96="Yes",MAX(2,ROUNDUP(J96/P96)),
TRUE,MAX(2,ROUNDUP(J96/((P96*2)+2.625-Y96*1.5))))</f>
        <v/>
      </c>
      <c r="O96" s="43" t="str">
        <f>IFS(OR(COUNTIF(Info!$A$22:A96,C96)&gt;0,C96=""),"",
OR("3x3 MBLD"=C96,"3x3 FMC"=C96)=TRUE,"",
D96=$E$4,$G$6,D96=$K$4,$M$6,D96=$Q$4,$S$6,D96=$W$4,$Y$6,
TRUE,$S$2)</f>
        <v/>
      </c>
      <c r="P96" s="43" t="str">
        <f>IFS(OR(COUNTIF(Info!$A$22:A96,C96)&gt;0,C96=""),"",
OR("3x3 MBLD"=C96,"3x3 FMC"=C96)=TRUE,"",
D96=$E$4,$E$6,D96=$K$4,$K$6,D96=$Q$4,$Q$6,D96=$W$4,$W$6,
TRUE,$Q$2)</f>
        <v/>
      </c>
      <c r="Q96" s="44" t="str">
        <f>IFS(OR(COUNTIF(Info!$A$22:A96,C96)&gt;0,C96=""),"",
OR("3x3 MBLD"=C96,"3x3 FMC"=C96)=TRUE,"",
D96=$E$4,$I$6,D96=$K$4,$O$6,D96=$Q$4,$U$6,D96=$W$4,$AA$6,
TRUE,$U$2)</f>
        <v/>
      </c>
      <c r="R96" s="65" t="str">
        <f>IFERROR(__xludf.DUMMYFUNCTION("IF(C96="""","""",IFERROR(FILTER(Info!$B$22:B96,Info!$A$22:A96=C96)+M96,""?""))"),"")</f>
        <v/>
      </c>
      <c r="S96" s="66" t="str">
        <f>IFS(OR(COUNTIF(Info!$A$22:A96,C96)&gt;0,C96=""),"",
AND(H96="",I96=""),J96,
TRUE,"?")</f>
        <v/>
      </c>
      <c r="T96" s="65" t="str">
        <f>IFS(OR(COUNTIF(Info!$A$22:A96,C96)&gt;0,C96=""),"",
AND(L96&lt;&gt;0,OR(R96="?",R96="")),"Fyll i R-kolumnen",
OR(C96="3x3 FMC",C96="3x3 MBLD"),R96,
AND(L96&lt;&gt;0,OR(S96="?",S96="")),"Fyll i S-kolumnen",
OR(COUNTIF(Info!$A$22:A96,C96)&gt;0,C96=""),"",
TRUE,Y96*R96/L96)</f>
        <v/>
      </c>
      <c r="U96" s="65"/>
      <c r="V96" s="67" t="str">
        <f>IFS(OR(COUNTIF(Info!$A$22:A96,C96)&gt;0,C96=""),"",
OR("3x3 MBLD"=C96,"3x3 FMC"=C96)=TRUE,"",
TRUE,MROUND((J96/N96),0.01))</f>
        <v/>
      </c>
      <c r="W96" s="68" t="str">
        <f>IFS(OR(COUNTIF(Info!$A$22:A96,C96)&gt;0,C96=""),"",
TRUE,L96/N96)</f>
        <v/>
      </c>
      <c r="X96" s="67" t="str">
        <f>IFS(OR(COUNTIF(Info!$A$22:A96,C96)&gt;0,C96=""),"",
OR("3x3 MBLD"=C96,"3x3 FMC"=C96)=TRUE,"",
OR(C96="4x4 BLD",C96="5x5 BLD",C96="4x4 / 5x5 BLD",AND(C96="3x3 BLD",H96&lt;&gt;""))=TRUE,MIN(V96,P96),
TRUE,MIN(P96,V96,MROUND(((V96*2/3)+((Y96-1.625)/2)),0.01)))</f>
        <v/>
      </c>
      <c r="Y96" s="68" t="str">
        <f>IFERROR(__xludf.DUMMYFUNCTION("IFS(OR(COUNTIF(Info!$A$22:A96,C96)&gt;0,C96=""""),"""",
FILTER(Info!$F$2:F96, Info!$A$2:A96 = C96) = ""Yes"",H96/AA96,
""3x3 FMC""=C96,Info!$B$9,""3x3 MBLD""=C96,Info!$B$18,
AND(E96=1,I96="""",H96="""",Q96=""No"",G96&gt;SUMIF(Info!$A$2:A96,C96,Info!$B$2:B96)*1."&amp;"5),
MIN(SUMIF(Info!$A$2:A96,C96,Info!$B$2:B96)*1.1,SUMIF(Info!$A$2:A96,C96,Info!$B$2:B96)*(1.15-(0.15*(SUMIF(Info!$A$2:A96,C96,Info!$B$2:B96)*1.5)/G96))),
AND(E96=1,I96="""",H96="""",Q96=""Yes"",G96&gt;SUMIF(Info!$A$2:A96,C96,Info!$C$2:C96)*1.5),
MIN(SUMIF(I"&amp;"nfo!$A$2:A96,C96,Info!$C$2:C96)*1.1,SUMIF(Info!$A$2:A96,C96,Info!$C$2:C96)*(1.15-(0.15*(SUMIF(Info!$A$2:A96,C96,Info!$C$2:C96)*1.5)/G96))),
Q96=""No"",SUMIF(Info!$A$2:A96,C96,Info!$B$2:B96),
Q96=""Yes"",SUMIF(Info!$A$2:A96,C96,Info!$C$2:C96))"),"")</f>
        <v/>
      </c>
      <c r="Z96" s="67" t="str">
        <f>IFS(OR(COUNTIF(Info!$A$22:A96,C96)&gt;0,C96=""),"",
AND(OR("3x3 FMC"=C96,"3x3 MBLD"=C96),I96&lt;&gt;""),1,
AND(OR(H96&lt;&gt;"",I96&lt;&gt;""),F96="Avg of 5"),2,
F96="Avg of 5",AA96,
AND(OR(H96&lt;&gt;"",I96&lt;&gt;""),F96="Mean of 3",C96="6x6 / 7x7"),2,
AND(OR(H96&lt;&gt;"",I96&lt;&gt;""),F96="Mean of 3"),1,
F96="Mean of 3",AA96,
AND(OR(H96&lt;&gt;"",I96&lt;&gt;""),F96="Best of 3",C96="4x4 / 5x5 BLD"),2,
AND(OR(H96&lt;&gt;"",I96&lt;&gt;""),F96="Best of 3"),1,
F96="Best of 2",AA96,
F96="Best of 1",AA96)</f>
        <v/>
      </c>
      <c r="AA96" s="67" t="str">
        <f>IFS(OR(COUNTIF(Info!$A$22:A96,C96)&gt;0,C96=""),"",
AND(OR("3x3 MBLD"=C96,"3x3 FMC"=C96),F96="Best of 1"=TRUE),1,
AND(OR("3x3 MBLD"=C96,"3x3 FMC"=C96),F96="Best of 2"=TRUE),2,
AND(OR("3x3 MBLD"=C96,"3x3 FMC"=C96),OR(F96="Best of 3",F96="Mean of 3")=TRUE),3,
AND(F96="Mean of 3",C96="6x6 / 7x7"),6,
AND(F96="Best of 3",C96="4x4 / 5x5 BLD"),6,
F96="Avg of 5",5,F96="Mean of 3",3,F96="Best of 3",3,F96="Best of 2",2,F96="Best of 1",1)</f>
        <v/>
      </c>
      <c r="AB96" s="69"/>
    </row>
    <row r="97" ht="15.75" customHeight="1">
      <c r="A97" s="62">
        <f>IFERROR(__xludf.DUMMYFUNCTION("IFS(indirect(""A""&amp;row()-1)=""Start"",TIME(indirect(""A""&amp;row()-2),indirect(""B""&amp;row()-2),0),
$O$2=""No"",TIME(0,($A$6*60+$B$6)+CEILING(SUM($L$7:indirect(""L""&amp;row()-1)),5),0),
D97=$E$2,TIME(0,($A$6*60+$B$6)+CEILING(SUM(IFERROR(FILTER($L$7:indirect(""L"""&amp;"&amp;row()-1),REGEXMATCH($D$7:indirect(""D""&amp;row()-1),$E$2)),0)),5),0),
TRUE,""=time(hh;mm;ss)"")"),0.3541666666666665)</f>
        <v>0.3541666667</v>
      </c>
      <c r="B97" s="63">
        <f>IFERROR(__xludf.DUMMYFUNCTION("IFS($O$2=""No"",TIME(0,($A$6*60+$B$6)+CEILING(SUM($L$7:indirect(""L""&amp;row())),5),0),
D97=$E$2,TIME(0,($A$6*60+$B$6)+CEILING(SUM(FILTER($L$7:indirect(""L""&amp;row()),REGEXMATCH($D$7:indirect(""D""&amp;row()),$E$2))),5),0),
A97=""=time(hh;mm;ss)"",CONCATENATE(""Sk"&amp;"riv tid i A""&amp;row()),
AND(A97&lt;&gt;"""",A97&lt;&gt;""=time(hh;mm;ss)""),A97+TIME(0,CEILING(indirect(""L""&amp;row()),5),0))"),0.3541666666666665)</f>
        <v>0.3541666667</v>
      </c>
      <c r="C97" s="37"/>
      <c r="D97" s="64" t="str">
        <f t="shared" si="10"/>
        <v>Stora salen</v>
      </c>
      <c r="E97" s="64" t="str">
        <f>IFERROR(__xludf.DUMMYFUNCTION("IFS(COUNTIF(Info!$A$22:A97,C97)&gt;0,"""",
AND(OR(""3x3 FMC""=C97,""3x3 MBLD""=C97),COUNTIF($C$7:indirect(""C""&amp;row()),indirect(""C""&amp;row()))&gt;=13),""E - Error"",
AND(OR(""3x3 FMC""=C97,""3x3 MBLD""=C97),COUNTIF($C$7:indirect(""C""&amp;row()),indirect(""C""&amp;row()"&amp;"))=12),""Final - A3"",
AND(OR(""3x3 FMC""=C97,""3x3 MBLD""=C97),COUNTIF($C$7:indirect(""C""&amp;row()),indirect(""C""&amp;row()))=11),""Final - A2"",
AND(OR(""3x3 FMC""=C97,""3x3 MBLD""=C97),COUNTIF($C$7:indirect(""C""&amp;row()),indirect(""C""&amp;row()))=10),""Final - "&amp;"A1"",
AND(OR(""3x3 FMC""=C97,""3x3 MBLD""=C97),COUNTIF($C$7:indirect(""C""&amp;row()),indirect(""C""&amp;row()))=9,
COUNTIF($C$7:$C$102,indirect(""C""&amp;row()))&gt;9),""R3 - A3"",
AND(OR(""3x3 FMC""=C97,""3x3 MBLD""=C97),COUNTIF($C$7:indirect(""C""&amp;row()),indirect(""C"&amp;"""&amp;row()))=9,
COUNTIF($C$7:$C$102,indirect(""C""&amp;row()))&lt;=9),""Final - A3"",
AND(OR(""3x3 FMC""=C97,""3x3 MBLD""=C97),COUNTIF($C$7:indirect(""C""&amp;row()),indirect(""C""&amp;row()))=8,
COUNTIF($C$7:$C$102,indirect(""C""&amp;row()))&gt;9),""R3 - A2"",
AND(OR(""3x3 FMC"&amp;"""=C97,""3x3 MBLD""=C97),COUNTIF($C$7:indirect(""C""&amp;row()),indirect(""C""&amp;row()))=8,
COUNTIF($C$7:$C$102,indirect(""C""&amp;row()))&lt;=9),""Final - A2"",
AND(OR(""3x3 FMC""=C97,""3x3 MBLD""=C97),COUNTIF($C$7:indirect(""C""&amp;row()),indirect(""C""&amp;row()))=7,
COUN"&amp;"TIF($C$7:$C$102,indirect(""C""&amp;row()))&gt;9),""R3 - A1"",
AND(OR(""3x3 FMC""=C97,""3x3 MBLD""=C97),COUNTIF($C$7:indirect(""C""&amp;row()),indirect(""C""&amp;row()))=7,
COUNTIF($C$7:$C$102,indirect(""C""&amp;row()))&lt;=9),""Final - A1"",
AND(OR(""3x3 FMC""=C97,""3x3 MBLD"""&amp;"=C97),COUNTIF($C$7:indirect(""C""&amp;row()),indirect(""C""&amp;row()))=6,
COUNTIF($C$7:$C$102,indirect(""C""&amp;row()))&gt;6),""R2 - A3"",
AND(OR(""3x3 FMC""=C97,""3x3 MBLD""=C97),COUNTIF($C$7:indirect(""C""&amp;row()),indirect(""C""&amp;row()))=6,
COUNTIF($C$7:$C$102,indirec"&amp;"t(""C""&amp;row()))&lt;=6),""Final - A3"",
AND(OR(""3x3 FMC""=C97,""3x3 MBLD""=C97),COUNTIF($C$7:indirect(""C""&amp;row()),indirect(""C""&amp;row()))=5,
COUNTIF($C$7:$C$102,indirect(""C""&amp;row()))&gt;6),""R2 - A2"",
AND(OR(""3x3 FMC""=C97,""3x3 MBLD""=C97),COUNTIF($C$7:indi"&amp;"rect(""C""&amp;row()),indirect(""C""&amp;row()))=5,
COUNTIF($C$7:$C$102,indirect(""C""&amp;row()))&lt;=6),""Final - A2"",
AND(OR(""3x3 FMC""=C97,""3x3 MBLD""=C97),COUNTIF($C$7:indirect(""C""&amp;row()),indirect(""C""&amp;row()))=4,
COUNTIF($C$7:$C$102,indirect(""C""&amp;row()))&gt;6),"&amp;"""R2 - A1"",
AND(OR(""3x3 FMC""=C97,""3x3 MBLD""=C97),COUNTIF($C$7:indirect(""C""&amp;row()),indirect(""C""&amp;row()))=4,
COUNTIF($C$7:$C$102,indirect(""C""&amp;row()))&lt;=6),""Final - A1"",
AND(OR(""3x3 FMC""=C97,""3x3 MBLD""=C97),COUNTIF($C$7:indirect(""C""&amp;row()),i"&amp;"ndirect(""C""&amp;row()))=3),""R1 - A3"",
AND(OR(""3x3 FMC""=C97,""3x3 MBLD""=C97),COUNTIF($C$7:indirect(""C""&amp;row()),indirect(""C""&amp;row()))=2),""R1 - A2"",
AND(OR(""3x3 FMC""=C97,""3x3 MBLD""=C97),COUNTIF($C$7:indirect(""C""&amp;row()),indirect(""C""&amp;row()))=1),"&amp;"""R1 -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97, Info!$A$2:A97 = C97),ROUNDUP((FILTER(Info!$H$2:H97,Info!$A$2:A97=C97)/FILTER(Info!$H$2:H97,Info!$A$2:A97=$K$2))*$I$2)&gt;99),3,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97, Info!$A$2:A97 = C97),ROUNDUP((FILTER(Info!$H$2:H97,Info!$A$2:A97=C97)/FILTER(Info!$H$2:H97,Info!$A$2:A97=$K$2))*$I$2)&gt;15),2,
AND(COUNTIF($C$7:indirect(""C""&amp;row()),indirect(""C""&amp;row()))=2,COUNTIF($C$7:$C$102,indirect(""C""&amp;row()))=COUNTIF($"&amp;"C$7:indirect(""C""&amp;row()),indirect(""C""&amp;row()))),""Final"",
COUNTIF($C$7:indirect(""C""&amp;row()),indirect(""C""&amp;row()))=1,1,
COUNTIF($C$7:indirect(""C""&amp;row()),indirect(""C""&amp;row()))=0,"""")"),"")</f>
        <v/>
      </c>
      <c r="F97" s="64" t="str">
        <f>IFERROR(__xludf.DUMMYFUNCTION("IFS(C97="""","""",
AND(C97=""3x3 FMC"",MOD(COUNTIF($C$7:indirect(""C""&amp;row()),indirect(""C""&amp;row())),3)=0),""Mean of 3"",
AND(C97=""3x3 MBLD"",MOD(COUNTIF($C$7:indirect(""C""&amp;row()),indirect(""C""&amp;row())),3)=0),""Best of 3"",
AND(C97=""3x3 FMC"",MOD(COUNT"&amp;"IF($C$7:indirect(""C""&amp;row()),indirect(""C""&amp;row())),3)=2,
COUNTIF($C$7:$C$102,indirect(""C""&amp;row()))&lt;=COUNTIF($C$7:indirect(""C""&amp;row()),indirect(""C""&amp;row()))),""Best of 2"",
AND(C97=""3x3 FMC"",MOD(COUNTIF($C$7:indirect(""C""&amp;row()),indirect(""C""&amp;row("&amp;"))),3)=2,
COUNTIF($C$7:$C$102,indirect(""C""&amp;row()))&gt;COUNTIF($C$7:indirect(""C""&amp;row()),indirect(""C""&amp;row()))),""Mean of 3"",
AND(C97=""3x3 MBLD"",MOD(COUNTIF($C$7:indirect(""C""&amp;row()),indirect(""C""&amp;row())),3)=2,
COUNTIF($C$7:$C$102,indirect(""C""&amp;row("&amp;")))&lt;=COUNTIF($C$7:indirect(""C""&amp;row()),indirect(""C""&amp;row()))),""Best of 2"",
AND(C97=""3x3 MBLD"",MOD(COUNTIF($C$7:indirect(""C""&amp;row()),indirect(""C""&amp;row())),3)=2,
COUNTIF($C$7:$C$102,indirect(""C""&amp;row()))&gt;COUNTIF($C$7:indirect(""C""&amp;row()),indirect("&amp;"""C""&amp;row()))),""Best of 3"",
AND(C97=""3x3 FMC"",MOD(COUNTIF($C$7:indirect(""C""&amp;row()),indirect(""C""&amp;row())),3)=1,
COUNTIF($C$7:$C$102,indirect(""C""&amp;row()))&lt;=COUNTIF($C$7:indirect(""C""&amp;row()),indirect(""C""&amp;row()))),""Best of 1"",
AND(C97=""3x3 FMC"""&amp;",MOD(COUNTIF($C$7:indirect(""C""&amp;row()),indirect(""C""&amp;row())),3)=1,
COUNTIF($C$7:$C$102,indirect(""C""&amp;row()))=COUNTIF($C$7:indirect(""C""&amp;row()),indirect(""C""&amp;row()))+1),""Best of 2"",
AND(C97=""3x3 FMC"",MOD(COUNTIF($C$7:indirect(""C""&amp;row()),indirect"&amp;"(""C""&amp;row())),3)=1,
COUNTIF($C$7:$C$102,indirect(""C""&amp;row()))&gt;COUNTIF($C$7:indirect(""C""&amp;row()),indirect(""C""&amp;row()))),""Mean of 3"",
AND(C97=""3x3 MBLD"",MOD(COUNTIF($C$7:indirect(""C""&amp;row()),indirect(""C""&amp;row())),3)=1,
COUNTIF($C$7:$C$102,indirect"&amp;"(""C""&amp;row()))&lt;=COUNTIF($C$7:indirect(""C""&amp;row()),indirect(""C""&amp;row()))),""Best of 1"",
AND(C97=""3x3 MBLD"",MOD(COUNTIF($C$7:indirect(""C""&amp;row()),indirect(""C""&amp;row())),3)=1,
COUNTIF($C$7:$C$102,indirect(""C""&amp;row()))=COUNTIF($C$7:indirect(""C""&amp;row()"&amp;"),indirect(""C""&amp;row()))+1),""Best of 2"",
AND(C97=""3x3 MBLD"",MOD(COUNTIF($C$7:indirect(""C""&amp;row()),indirect(""C""&amp;row())),3)=1,
COUNTIF($C$7:$C$102,indirect(""C""&amp;row()))&gt;COUNTIF($C$7:indirect(""C""&amp;row()),indirect(""C""&amp;row()))),""Best of 3"",
TRUE,("&amp;"IFERROR(FILTER(Info!$D$2:D97, Info!$A$2:A97 = C97), """")))"),"")</f>
        <v/>
      </c>
      <c r="G97" s="64" t="str">
        <f>IFERROR(__xludf.DUMMYFUNCTION("IFS(OR(COUNTIF(Info!$A$22:A97,C97)&gt;0,C97=""""),"""",
OR(""3x3 MBLD""=C97,""3x3 FMC""=C97),60,
AND(E97=1,FILTER(Info!$F$2:F97, Info!$A$2:A97 = C97) = ""No""),FILTER(Info!$P$2:P97, Info!$A$2:A97 = C97),
AND(E97=2,FILTER(Info!$F$2:F97, Info!$A$2:A97 = C97) ="&amp;" ""No""),FILTER(Info!$Q$2:Q97, Info!$A$2:A97 = C97),
AND(E97=3,FILTER(Info!$F$2:F97, Info!$A$2:A97 = C97) = ""No""),FILTER(Info!$R$2:R97, Info!$A$2:A97 = C97),
AND(E97=""Final"",FILTER(Info!$F$2:F97, Info!$A$2:A97 = C97) = ""No""),FILTER(Info!$S$2:S97, In"&amp;"fo!$A$2:A97 = C97),
FILTER(Info!$F$2:F97, Info!$A$2:A97 = C97) = ""Yes"","""")"),"")</f>
        <v/>
      </c>
      <c r="H97" s="64" t="str">
        <f>IFERROR(__xludf.DUMMYFUNCTION("IFS(OR(COUNTIF(Info!$A$22:A97,C97)&gt;0,C97=""""),"""",
OR(""3x3 MBLD""=C97,""3x3 FMC""=C97)=TRUE,"""",
FILTER(Info!$F$2:F97, Info!$A$2:A97 = C97) = ""Yes"",FILTER(Info!$O$2:O97, Info!$A$2:A97 = C97),
FILTER(Info!$F$2:F97, Info!$A$2:A97 = C97) = ""No"",IF(G9"&amp;"7="""",FILTER(Info!$O$2:O97, Info!$A$2:A97 = C97),""""))"),"")</f>
        <v/>
      </c>
      <c r="I97" s="64" t="str">
        <f>IFERROR(__xludf.DUMMYFUNCTION("IFS(OR(COUNTIF(Info!$A$22:A97,C97)&gt;0,C97="""",H97&lt;&gt;""""),"""",
AND(E97&lt;&gt;1,E97&lt;&gt;""R1 - A1"",E97&lt;&gt;""R1 - A2"",E97&lt;&gt;""R1 - A3""),"""",
FILTER(Info!$E$2:E97, Info!$A$2:A97 = C97) = ""Yes"",IF(H97="""",FILTER(Info!$L$2:L97, Info!$A$2:A97 = C97),""""),
FILTER(I"&amp;"nfo!$E$2:E97, Info!$A$2:A97 = C97) = ""No"","""")"),"")</f>
        <v/>
      </c>
      <c r="J97" s="64" t="str">
        <f>IFERROR(__xludf.DUMMYFUNCTION("IFS(OR(COUNTIF(Info!$A$22:A97,C97)&gt;0,C97="""",""3x3 MBLD""=C97,""3x3 FMC""=C97),"""",
AND(E97=1,FILTER(Info!$H$2:H97,Info!$A$2:A97 = C97)&lt;=FILTER(Info!$H$2:H97,Info!$A$2:A97=$K$2)),
ROUNDUP((FILTER(Info!$H$2:H97,Info!$A$2:A97 = C97)/FILTER(Info!$H$2:H97,I"&amp;"nfo!$A$2:A97=$K$2))*$I$2),
AND(E97=1,FILTER(Info!$H$2:H97,Info!$A$2:A97 = C97)&gt;FILTER(Info!$H$2:H97,Info!$A$2:A97=$K$2)),""K2 - Error"",
AND(E97=2,FILTER($J$7:indirect(""J""&amp;row()-1),$C$7:indirect(""C""&amp;row()-1)=C97)&lt;=7),""J - Error"",
E97=2,FLOOR(FILTER("&amp;"$J$7:indirect(""J""&amp;row()-1),$C$7:indirect(""C""&amp;row()-1)=C97)*Info!$T$32),
AND(E97=3,FILTER($J$7:indirect(""J""&amp;row()-1),$C$7:indirect(""C""&amp;row()-1)=C97)&lt;=15),""J - Error"",
E97=3,FLOOR(Info!$T$32*FLOOR(FILTER($J$7:indirect(""J""&amp;row()-1),$C$7:indirect("&amp;"""C""&amp;row()-1)=C97)*Info!$T$32)),
AND(E97=""Final"",COUNTIF($C$7:$C$102,C97)=2,FILTER($J$7:indirect(""J""&amp;row()-1),$C$7:indirect(""C""&amp;row()-1)=C97)&lt;=7),""J - Error"",
AND(E97=""Final"",COUNTIF($C$7:$C$102,C97)=2),
MIN(P97,FLOOR(FILTER($J$7:indirect(""J"""&amp;"&amp;row()-1),$C$7:indirect(""C""&amp;row()-1)=C97)*Info!$T$32)),
AND(E97=""Final"",COUNTIF($C$7:$C$102,C97)=3,FILTER($J$7:indirect(""J""&amp;row()-1),$C$7:indirect(""C""&amp;row()-1)=C97)&lt;=15),""J - Error"",
AND(E97=""Final"",COUNTIF($C$7:$C$102,C97)=3),
MIN(P97,FLOOR(I"&amp;"nfo!$T$32*FLOOR(FILTER($J$7:indirect(""J""&amp;row()-1),$C$7:indirect(""C""&amp;row()-1)=C97)*Info!$T$32))),
AND(E97=""Final"",COUNTIF($C$7:$C$102,C97)&gt;=4,FILTER($J$7:indirect(""J""&amp;row()-1),$C$7:indirect(""C""&amp;row()-1)=C97)&lt;=99),""J - Error"",
AND(E97=""Final"","&amp;"COUNTIF($C$7:$C$102,C97)&gt;=4),
MIN(P97,FLOOR(Info!$T$32*FLOOR(Info!$T$32*FLOOR(FILTER($J$7:indirect(""J""&amp;row()-1),$C$7:indirect(""C""&amp;row()-1)=C97)*Info!$T$32)))))"),"")</f>
        <v/>
      </c>
      <c r="K97" s="41" t="str">
        <f>IFERROR(__xludf.DUMMYFUNCTION("IFS(AND(indirect(""D""&amp;row()+2)&lt;&gt;$E$2,indirect(""D""&amp;row()+1)=""""),CONCATENATE(""Tom rad! Kopiera hela rad ""&amp;row()&amp;"" dit""),
AND(indirect(""D""&amp;row()-1)&lt;&gt;""Rum"",indirect(""D""&amp;row()-1)=""""),CONCATENATE(""Tom rad! Kopiera hela rad ""&amp;row()&amp;"" dit""),
"&amp;"C97="""","""",
COUNTIF(Info!$A$22:A97,$K$2)&gt;0,""Det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OR(AND(D97&lt;&gt;$E$2,D97&lt;&gt;$E$4,D97&lt;&gt;$K$4,D97&lt;&gt;$Q$4),D97="&amp;"""""),CONCATENATE(""Rum: ""&amp;D97&amp;"" finns ej, byt i D""&amp;row()),
AND(indirect(""D""&amp;row()-1)=""Rum"",C97=""""),CONCATENATE(""För att börja: skriv i cell C""&amp;row()),
AND(C97=""Paus"",M97&lt;=0),CONCATENATE(""Skriv pausens längd i M""&amp;row()),
OR(COUNTIF(Info!$A$"&amp;"22:A97,C97)&gt;0,C97=""""),"""",
AND(D97&lt;&gt;$E$2,$O$2=""Yes"",A97=""=time(hh;mm;ss)""),CONCATENATE(""Skriv starttid för ""&amp;C97&amp;"" i A""&amp;row()),
E97=""E - Error"",CONCATENATE(""För många ""&amp;C97&amp;"" rundor!""),
AND(C97&lt;&gt;""3x3 FMC"",C97&lt;&gt;""3x3 MBLD"",E97&lt;&gt;1,E97&lt;&gt;"&amp;"""Final"",IFERROR(FILTER($E$7:indirect(""E""&amp;row()-1),
$E$7:indirect(""E""&amp;row()-1)=E97-1,$C$7:indirect(""C""&amp;row()-1)=C97))=FALSE),CONCATENATE(""Kan ej vara R""&amp;E97&amp;"", saknar R""&amp;(E97-1)),
AND(indirect(""E""&amp;row()-1)&lt;&gt;""Omgång"",IFERROR(FILTER($E$7:indi"&amp;"rect(""E""&amp;row()-1),
$E$7:indirect(""E""&amp;row()-1)=E97,$C$7:indirect(""C""&amp;row()-1)=C97)=E97)=TRUE),CONCATENATE(""Runda ""&amp;E97&amp;"" i ""&amp;C97&amp;"" finns redan""),
AND(C97&lt;&gt;""3x3 BLD"",C97&lt;&gt;""4x4 BLD"",C97&lt;&gt;""5x5 BLD"",C97&lt;&gt;""4x4 / 5x5 BLD"",OR(E97=2,E97=3,E97="&amp;"""Final""),H97&lt;&gt;""""),CONCATENATE(E97&amp;""-rundor brukar ej ha c.t.l.""),
AND(OR(E97=2,E97=3,E97=""Final""),I97&lt;&gt;""""),CONCATENATE(E97&amp;""-rundor brukar ej ha cutoff""),
AND(OR(C97=""3x3 FMC"",C97=""3x3 MBLD""),OR(E97=1,E97=2,E97=3,E97=""Final"")),CONCATENAT"&amp;"E(C97&amp;""s omgång är Rx - Ax""),
AND(C97&lt;&gt;""3x3 MBLD"",C97&lt;&gt;""3x3 FMC"",FILTER(Info!$D$2:D97, Info!$A$2:A97 = C97)&lt;&gt;F97),CONCATENATE(C97&amp;"" måste ha formatet ""&amp;FILTER(Info!$D$2:D97, Info!$A$2:A97 = C97)),
AND(C97=""3x3 MBLD"",OR(F97=""Avg of 5"",F97=""Mea"&amp;"n of 3"")),CONCATENATE(""Ogiltigt format för ""&amp;C97),
AND(C97=""3x3 FMC"",OR(F97=""Avg of 5"",F97=""Best of 3"")),CONCATENATE(""Ogiltigt format för ""&amp;C97),
AND(OR(F97=""Best of 1"",F97=""Best of 2"",F97=""Best of 3""),I97&lt;&gt;""""),CONCATENATE(F97&amp;""-rundor"&amp;" får ej ha cutoff""),
AND(OR(C97=""3x3 FMC"",C97=""3x3 MBLD""),G97&lt;&gt;60),CONCATENATE(C97&amp;"" måste ha time limit: 60""),
AND(OR(C97=""3x3 FMC"",C97=""3x3 MBLD""),H97&lt;&gt;""""),CONCATENATE(C97&amp;"" kan inte ha c.t.l.""),
AND(G97&lt;&gt;"""",H97&lt;&gt;""""),""Välj time limit"&amp;" ELLER c.t.l"",
AND(C97=""6x6 / 7x7"",G97="""",H97=""""),""Sätt time limit (x / y) eller c.t.l (z)"",
AND(G97="""",H97=""""),""Sätt en time limit eller c.t.l"",
AND(OR(C97=""6x6 / 7x7"",C97=""4x4 / 5x5 BLD""),G97&lt;&gt;"""",REGEXMATCH(TO_TEXT(G97),"" / "")=FAL"&amp;"SE),CONCATENATE(""Time limit måste vara x / y""),
AND(H97&lt;&gt;"""",I97&lt;&gt;""""),CONCATENATE(C97&amp;"" brukar ej ha cutoff OCH c.t.l""),
AND(E97=1,H97="""",I97="""",OR(FILTER(Info!$E$2:E97, Info!$A$2:A97 = C97) = ""Yes"",FILTER(Info!$F$2:F97, Info!$A$2:A97 = C97) "&amp;"= ""Yes""),OR(F97=""Avg of 5"",F97=""Mean of 3"")),CONCATENATE(C97&amp;"" bör ha cutoff eller c.t.l""),
AND(C97=""6x6 / 7x7"",I97&lt;&gt;"""",REGEXMATCH(TO_TEXT(I97),"" / "")=FALSE),CONCATENATE(""Cutoff måste vara x / y""),
AND(H97&lt;&gt;"""",ISNUMBER(H97)=FALSE),""C.t."&amp;"l. måste vara positivt tal (x)"",
AND(C97&lt;&gt;""6x6 / 7x7"",I97&lt;&gt;"""",ISNUMBER(I97)=FALSE),""Cutoff måste vara positivt tal (x)"",
AND(H97&lt;&gt;"""",FILTER(Info!$E$2:E97, Info!$A$2:A97 = C97) = ""No"",FILTER(Info!$F$2:F97, Info!$A$2:A97 = C97) = ""No""),CONCATEN"&amp;"ATE(C97&amp;"" brukar inte ha c.t.l.""),
AND(I97&lt;&gt;"""",FILTER(Info!$E$2:E97, Info!$A$2:A97 = C97) = ""No"",FILTER(Info!$F$2:F97, Info!$A$2:A97 = C97) = ""No""),CONCATENATE(C97&amp;"" brukar inte ha cutoff""),
AND(H97="""",FILTER(Info!$F$2:F97, Info!$A$2:A97 = C97"&amp;") = ""Yes""),CONCATENATE(C97&amp;"" brukar ha c.t.l.""),
AND(C97&lt;&gt;""6x6 / 7x7"",C97&lt;&gt;""4x4 / 5x5 BLD"",G97&lt;&gt;"""",ISNUMBER(G97)=FALSE),""Time limit måste vara positivt tal (x)"",
J97=""J - Error"",CONCATENATE(""För få deltagare i R1 för ""&amp;COUNTIF($C$7:$C$102,"&amp;"indirect(""C""&amp;row()))&amp;"" rundor""),
J97=""K2 - Error"",CONCATENATE(C97&amp;"" är mer populär - byt i K2!""),
AND(C97&lt;&gt;""6x6 / 7x7"",C97&lt;&gt;""4x4 / 5x5 BLD"",G97&lt;&gt;"""",I97&lt;&gt;"""",G97&lt;=I97),""Time limit måste vara &gt; cutoff"",
AND(C97&lt;&gt;""6x6 / 7x7"",C97&lt;&gt;""4x4 / 5"&amp;"x5 BLD"",H97&lt;&gt;"""",I97&lt;&gt;"""",H97&lt;=I97),""C.t.l. måste vara &gt; cutoff"",
AND(C97&lt;&gt;""3x3 FMC"",C97&lt;&gt;""3x3 MBLD"",J97=""""),CONCATENATE(""Fyll i antal deltagare i J""&amp;row()),
AND(C97="""",OR(E97&lt;&gt;"""",F97&lt;&gt;"""",G97&lt;&gt;"""",H97&lt;&gt;"""",I97&lt;&gt;"""",J97&lt;&gt;"""")),""Skri"&amp;"v ALLTID gren / aktivitet först"",
AND(I97="""",H97="""",J97&lt;&gt;""""),J97,
OR(""3x3 FMC""=C97,""3x3 MBLD""=C97),J97,
AND(I97&lt;&gt;"""",""6x6 / 7x7""=C97),
IFS(ArrayFormula(SUM(IFERROR(SPLIT(I97,"" / ""))))&lt;(Info!$J$6+Info!$J$7)*2/3,CONCATENATE(""Höj helst cutof"&amp;"fs i ""&amp;C97),
ArrayFormula(SUM(IFERROR(SPLIT(I97,"" / ""))))&lt;=(Info!$J$6+Info!$J$7),ROUNDUP(J97*Info!$J$22),
ArrayFormula(SUM(IFERROR(SPLIT(I97,"" / ""))))&lt;=Info!$J$6+Info!$J$7,ROUNDUP(J97*Info!$K$22),
ArrayFormula(SUM(IFERROR(SPLIT(I97,"" / ""))))&lt;=Info!"&amp;"$K$6+Info!$K$7,ROUNDUP(J97*Info!L$22),
ArrayFormula(SUM(IFERROR(SPLIT(I97,"" / ""))))&lt;=Info!$L$6+Info!$L$7,ROUNDUP(J97*Info!$M$22),
ArrayFormula(SUM(IFERROR(SPLIT(I97,"" / ""))))&lt;=Info!$M$6+Info!$M$7,ROUNDUP(J97*Info!$N$22),
ArrayFormula(SUM(IFERROR(SPLIT"&amp;"(I97,"" / ""))))&lt;=(Info!$N$6+Info!$N$7)*3/2,ROUNDUP(J97*Info!$J$26),
ArrayFormula(SUM(IFERROR(SPLIT(I97,"" / ""))))&gt;(Info!$N$6+Info!$N$7)*3/2,CONCATENATE(""Sänk helst cutoffs i ""&amp;C97)),
AND(I97&lt;&gt;"""",FILTER(Info!$E$2:E97, Info!$A$2:A97 = C97) = ""Yes""),"&amp;"
IFS(I97&lt;FILTER(Info!$J$2:J97, Info!$A$2:A97 = C97)*2/3,CONCATENATE(""Höj helst cutoff i ""&amp;C97),
I97&lt;=FILTER(Info!$J$2:J97, Info!$A$2:A97 = C97),ROUNDUP(J97*Info!$J$22),
I97&lt;=FILTER(Info!$K$2:K97, Info!$A$2:A97 = C97),ROUNDUP(J97*Info!$K$22),
I97&lt;=FILTER"&amp;"(Info!$L$2:L97, Info!$A$2:A97 = C97),ROUNDUP(J97*Info!L$22),
I97&lt;=FILTER(Info!$M$2:M97, Info!$A$2:A97 = C97),ROUNDUP(J97*Info!$M$22),
I97&lt;=FILTER(Info!$N$2:N97, Info!$A$2:A97 = C97),ROUNDUP(J97*Info!$N$22),
I97&lt;=FILTER(Info!$N$2:N97, Info!$A$2:A97 = C97)*"&amp;"3/2,ROUNDUP(J97*Info!$J$26),
I97&gt;FILTER(Info!$N$2:N97, Info!$A$2:A97 = C97)*3/2,CONCATENATE(""Sänk helst cutoff i ""&amp;C97)),
AND(H97&lt;&gt;"""",""6x6 / 7x7""=C97),
IFS(H97/3&lt;=(Info!$J$6+Info!$J$7)*2/3,""Höj helst cumulative time limit"",
H97/3&lt;=Info!$J$6+Info!$"&amp;"J$7,ROUNDUP(J97*Info!$J$24),
H97/3&lt;=Info!$K$6+Info!$K$7,ROUNDUP(J97*Info!$K$24),
H97/3&lt;=Info!$L$6+Info!$L$7,ROUNDUP(J97*Info!L$24),
H97/3&lt;=Info!$M$6+Info!$M$7,ROUNDUP(J97*Info!$M$24),
H97/3&lt;=Info!$N$6+Info!$N$7,ROUNDUP(J97*Info!$N$24),
H97/3&lt;=(Info!$N$6+I"&amp;"nfo!$N$7)*3/2,ROUNDUP(J97*Info!$L$26),
H97/3&gt;(Info!$J$6+Info!$J$7)*3/2,""Sänk helst cumulative time limit""),
AND(H97&lt;&gt;"""",FILTER(Info!$F$2:F97, Info!$A$2:A97 = C97) = ""Yes""),
IFS(H97&lt;=FILTER(Info!$J$2:J97, Info!$A$2:A97 = C97)*2/3,CONCATENATE(""Höj he"&amp;"lst c.t.l. i ""&amp;C97),
H97&lt;=FILTER(Info!$J$2:J97, Info!$A$2:A97 = C97),ROUNDUP(J97*Info!$J$24),
H97&lt;=FILTER(Info!$K$2:K97, Info!$A$2:A97 = C97),ROUNDUP(J97*Info!$K$24),
H97&lt;=FILTER(Info!$L$2:L97, Info!$A$2:A97 = C97),ROUNDUP(J97*Info!L$24),
H97&lt;=FILTER(Inf"&amp;"o!$M$2:M97, Info!$A$2:A97 = C97),ROUNDUP(J97*Info!$M$24),
H97&lt;=FILTER(Info!$N$2:N97, Info!$A$2:A97 = C97),ROUNDUP(J97*Info!$N$24),
H97&lt;=FILTER(Info!$N$2:N97, Info!$A$2:A97 = C97)*3/2,ROUNDUP(J97*Info!$L$26),
H97&gt;FILTER(Info!$N$2:N97, Info!$A$2:A97 = C97)*"&amp;"3/2,CONCATENATE(""Sänk helst c.t.l. i ""&amp;C97)),
AND(H97&lt;&gt;"""",FILTER(Info!$F$2:F97, Info!$A$2:A97 = C97) = ""No""),
IFS(H97/AA97&lt;=FILTER(Info!$J$2:J97, Info!$A$2:A97 = C97)*2/3,CONCATENATE(""Höj helst c.t.l. i ""&amp;C97),
H97/AA97&lt;=FILTER(Info!$J$2:J97, Info"&amp;"!$A$2:A97 = C97),ROUNDUP(J97*Info!$J$24),
H97/AA97&lt;=FILTER(Info!$K$2:K97, Info!$A$2:A97 = C97),ROUNDUP(J97*Info!$K$24),
H97/AA97&lt;=FILTER(Info!$L$2:L97, Info!$A$2:A97 = C97),ROUNDUP(J97*Info!L$24),
H97/AA97&lt;=FILTER(Info!$M$2:M97, Info!$A$2:A97 = C97),ROUND"&amp;"UP(J97*Info!$M$24),
H97/AA97&lt;=FILTER(Info!$N$2:N97, Info!$A$2:A97 = C97),ROUNDUP(J97*Info!$N$24),
H97/AA97&lt;=FILTER(Info!$N$2:N97, Info!$A$2:A97 = C97)*3/2,ROUNDUP(J97*Info!$L$26),
H97/AA97&gt;FILTER(Info!$N$2:N97, Info!$A$2:A97 = C97)*3/2,CONCATENATE(""Sänk "&amp;"helst c.t.l. i ""&amp;C97)),
AND(I97="""",H97&lt;&gt;"""",J97&lt;&gt;""""),ROUNDUP(J97*Info!$T$29),
AND(I97&lt;&gt;"""",H97="""",J97&lt;&gt;""""),ROUNDUP(J97*Info!$T$26))"),"")</f>
        <v/>
      </c>
      <c r="L97" s="42">
        <f>IFERROR(__xludf.DUMMYFUNCTION("IFS(C97="""",0,
C97=""3x3 FMC"",Info!$B$9*N97+M97, C97=""3x3 MBLD"",Info!$B$18*N97+M97,
COUNTIF(Info!$A$22:A97,C97)&gt;0,FILTER(Info!$B$22:B97,Info!$A$22:A97=C97)+M97,
AND(C97&lt;&gt;"""",E97=""""),CONCATENATE(""Fyll i E""&amp;row()),
AND(C97&lt;&gt;"""",E97&lt;&gt;"""",E97&lt;&gt;1,E9"&amp;"7&lt;&gt;2,E97&lt;&gt;3,E97&lt;&gt;""Final""),CONCATENATE(""Fel format på E""&amp;row()),
K97=CONCATENATE(""Runda ""&amp;E97&amp;"" i ""&amp;C97&amp;"" finns redan""),CONCATENATE(""Fel i E""&amp;row()),
AND(C97&lt;&gt;"""",F97=""""),CONCATENATE(""Fyll i F""&amp;row()),
K97=CONCATENATE(C97&amp;"" måste ha forma"&amp;"tet ""&amp;FILTER(Info!$D$2:D97, Info!$A$2:A97 = C97)),CONCATENATE(""Fel format på F""&amp;row()),
AND(C97&lt;&gt;"""",D97=1,H97="""",FILTER(Info!$F$2:F97, Info!$A$2:A97 = C97) = ""Yes""),CONCATENATE(""Fyll i H""&amp;row()),
AND(C97&lt;&gt;"""",D97=1,I97="""",FILTER(Info!$E$2:E9"&amp;"7, Info!$A$2:A97 = C97) = ""Yes""),CONCATENATE(""Fyll i I""&amp;row()),
AND(C97&lt;&gt;"""",J97=""""),CONCATENATE(""Fyll i J""&amp;row()),
AND(C97&lt;&gt;"""",K97="""",OR(H97&lt;&gt;"""",I97&lt;&gt;"""")),CONCATENATE(""Fyll i K""&amp;row()),
AND(C97&lt;&gt;"""",K97=""""),CONCATENATE(""Skriv samma"&amp;" i K""&amp;row()&amp;"" som i J""&amp;row()),
AND(OR(C97=""4x4 BLD"",C97=""5x5 BLD"",C97=""4x4 / 5x5 BLD"")=TRUE,V97&lt;=P97),
MROUND(H97*(Info!$T$20-((Info!$T$20-1)/2)*(1-V97/P97))*(1+((J97/K97)-1)*(1-Info!$J$24))*N97+(Info!$T$11/2)+(N97*Info!$T$11)+(N97*Info!$T$14*(O9"&amp;"7-1)),0.01)+M97,
AND(OR(C97=""4x4 BLD"",C97=""5x5 BLD"",C97=""4x4 / 5x5 BLD"")=TRUE,V97&gt;P97),
MROUND((((J97*Z97+K97*(AA97-Z97))*(H97*Info!$T$20/AA97))/X97)*(1+((J97/K97)-1)*(1-Info!$J$24))*(1+(X97-Info!$T$8)/100)+(Info!$T$11/2)+(N97*Info!$T$11)+(N97*Info!"&amp;"$T$14*(O97-1)),0.01)+M97,
AND(C97=""3x3 BLD"",V97&lt;=P97),
MROUND(H97*(Info!$T$23-((Info!$T$23-1)/2)*(1-V97/P97))*(1+((J97/K97)-1)*(1-Info!$J$24))*N97+(Info!$T$11/2)+(N97*Info!$T$11)+(N97*Info!$T$14*(O97-1)),0.01)+M97,
AND(C97=""3x3 BLD"",V97&gt;P97),
MROUND(("&amp;"((J97*Z97+K97*(AA97-Z97))*(H97*Info!$T$23/AA97))/X97)*(1+((J97/K97)-1)*(1-Info!$J$24))*(1+(X97-Info!$T$8)/100)+(Info!$T$11/2)+(N97*Info!$T$11)+(N97*Info!$T$14*(O97-1)),0.01)+M97,
E97=1,MROUND((((J97*Z97+K97*(AA97-Z97))*Y97)/X97)*(1+(X97-Info!$T$8)/100)+(N"&amp;"97*Info!$T$11)+(N97*Info!$T$14*(O97-1)),0.01)+M97,
AND(E97=""Final"",N97=1,FILTER(Info!$G$2:$G$20,Info!$A$2:$A$20=C97)=""Mycket svår""),
MROUND((((J97*Z97+K97*(AA97-Z97))*(Y97*Info!$T$38))/X97)*(1+(X97-Info!$T$8)/100)+(N97*Info!$T$11)+(N97*Info!$T$14*(O97"&amp;"-1)),0.01)+M97,
AND(E97=""Final"",N97=1,FILTER(Info!$G$2:$G$20,Info!$A$2:$A$20=C97)=""Svår""),
MROUND((((J97*Z97+K97*(AA97-Z97))*(Y97*Info!$T$35))/X97)*(1+(X97-Info!$T$8)/100)+(N97*Info!$T$11)+(N97*Info!$T$14*(O97-1)),0.01)+M97,
E97=""Final"",MROUND((((J9"&amp;"7*Z97+K97*(AA97-Z97))*(Y97*Info!$T$5))/X97)*(1+(X97-Info!$T$8)/100)+(N97*Info!$T$11)+(N97*Info!$T$14*(O97-1)),0.01)+M97,
OR(E97=2,E97=3),MROUND((((J97*Z97+K97*(AA97-Z97))*(Y97*Info!$T$2))/X97)*(1+(X97-Info!$T$8)/100)+(N97*Info!$T$11)+(N97*Info!$T$14*(O97-"&amp;"1)),0.01)+M97)"),0.0)</f>
        <v>0</v>
      </c>
      <c r="M97" s="43">
        <f t="shared" si="9"/>
        <v>0</v>
      </c>
      <c r="N97" s="43" t="str">
        <f>IFS(OR(COUNTIF(Info!$A$22:A97,C97)&gt;0,C97=""),"",
OR(C97="4x4 BLD",C97="5x5 BLD",C97="3x3 MBLD",C97="3x3 FMC",C97="4x4 / 5x5 BLD"),1,
AND(E97="Final",Q97="Yes",MAX(1,ROUNDUP(J97/P97))&gt;1),MAX(2,ROUNDUP(J97/P97)),
AND(E97="Final",Q97="No",MAX(1,ROUNDUP(J97/((P97*2)+2.625-Y97*1.5)))&gt;1),MAX(2,ROUNDUP(J97/((P97*2)+2.625-Y97*1.5))),
E97="Final",1,
Q97="Yes",MAX(2,ROUNDUP(J97/P97)),
TRUE,MAX(2,ROUNDUP(J97/((P97*2)+2.625-Y97*1.5))))</f>
        <v/>
      </c>
      <c r="O97" s="43" t="str">
        <f>IFS(OR(COUNTIF(Info!$A$22:A97,C97)&gt;0,C97=""),"",
OR("3x3 MBLD"=C97,"3x3 FMC"=C97)=TRUE,"",
D97=$E$4,$G$6,D97=$K$4,$M$6,D97=$Q$4,$S$6,D97=$W$4,$Y$6,
TRUE,$S$2)</f>
        <v/>
      </c>
      <c r="P97" s="43" t="str">
        <f>IFS(OR(COUNTIF(Info!$A$22:A97,C97)&gt;0,C97=""),"",
OR("3x3 MBLD"=C97,"3x3 FMC"=C97)=TRUE,"",
D97=$E$4,$E$6,D97=$K$4,$K$6,D97=$Q$4,$Q$6,D97=$W$4,$W$6,
TRUE,$Q$2)</f>
        <v/>
      </c>
      <c r="Q97" s="44" t="str">
        <f>IFS(OR(COUNTIF(Info!$A$22:A97,C97)&gt;0,C97=""),"",
OR("3x3 MBLD"=C97,"3x3 FMC"=C97)=TRUE,"",
D97=$E$4,$I$6,D97=$K$4,$O$6,D97=$Q$4,$U$6,D97=$W$4,$AA$6,
TRUE,$U$2)</f>
        <v/>
      </c>
      <c r="R97" s="65" t="str">
        <f>IFERROR(__xludf.DUMMYFUNCTION("IF(C97="""","""",IFERROR(FILTER(Info!$B$22:B97,Info!$A$22:A97=C97)+M97,""?""))"),"")</f>
        <v/>
      </c>
      <c r="S97" s="66" t="str">
        <f>IFS(OR(COUNTIF(Info!$A$22:A97,C97)&gt;0,C97=""),"",
AND(H97="",I97=""),J97,
TRUE,"?")</f>
        <v/>
      </c>
      <c r="T97" s="65" t="str">
        <f>IFS(OR(COUNTIF(Info!$A$22:A97,C97)&gt;0,C97=""),"",
AND(L97&lt;&gt;0,OR(R97="?",R97="")),"Fyll i R-kolumnen",
OR(C97="3x3 FMC",C97="3x3 MBLD"),R97,
AND(L97&lt;&gt;0,OR(S97="?",S97="")),"Fyll i S-kolumnen",
OR(COUNTIF(Info!$A$22:A97,C97)&gt;0,C97=""),"",
TRUE,Y97*R97/L97)</f>
        <v/>
      </c>
      <c r="U97" s="65"/>
      <c r="V97" s="67" t="str">
        <f>IFS(OR(COUNTIF(Info!$A$22:A97,C97)&gt;0,C97=""),"",
OR("3x3 MBLD"=C97,"3x3 FMC"=C97)=TRUE,"",
TRUE,MROUND((J97/N97),0.01))</f>
        <v/>
      </c>
      <c r="W97" s="68" t="str">
        <f>IFS(OR(COUNTIF(Info!$A$22:A97,C97)&gt;0,C97=""),"",
TRUE,L97/N97)</f>
        <v/>
      </c>
      <c r="X97" s="67" t="str">
        <f>IFS(OR(COUNTIF(Info!$A$22:A97,C97)&gt;0,C97=""),"",
OR("3x3 MBLD"=C97,"3x3 FMC"=C97)=TRUE,"",
OR(C97="4x4 BLD",C97="5x5 BLD",C97="4x4 / 5x5 BLD",AND(C97="3x3 BLD",H97&lt;&gt;""))=TRUE,MIN(V97,P97),
TRUE,MIN(P97,V97,MROUND(((V97*2/3)+((Y97-1.625)/2)),0.01)))</f>
        <v/>
      </c>
      <c r="Y97" s="68" t="str">
        <f>IFERROR(__xludf.DUMMYFUNCTION("IFS(OR(COUNTIF(Info!$A$22:A97,C97)&gt;0,C97=""""),"""",
FILTER(Info!$F$2:F97, Info!$A$2:A97 = C97) = ""Yes"",H97/AA97,
""3x3 FMC""=C97,Info!$B$9,""3x3 MBLD""=C97,Info!$B$18,
AND(E97=1,I97="""",H97="""",Q97=""No"",G97&gt;SUMIF(Info!$A$2:A97,C97,Info!$B$2:B97)*1."&amp;"5),
MIN(SUMIF(Info!$A$2:A97,C97,Info!$B$2:B97)*1.1,SUMIF(Info!$A$2:A97,C97,Info!$B$2:B97)*(1.15-(0.15*(SUMIF(Info!$A$2:A97,C97,Info!$B$2:B97)*1.5)/G97))),
AND(E97=1,I97="""",H97="""",Q97=""Yes"",G97&gt;SUMIF(Info!$A$2:A97,C97,Info!$C$2:C97)*1.5),
MIN(SUMIF(I"&amp;"nfo!$A$2:A97,C97,Info!$C$2:C97)*1.1,SUMIF(Info!$A$2:A97,C97,Info!$C$2:C97)*(1.15-(0.15*(SUMIF(Info!$A$2:A97,C97,Info!$C$2:C97)*1.5)/G97))),
Q97=""No"",SUMIF(Info!$A$2:A97,C97,Info!$B$2:B97),
Q97=""Yes"",SUMIF(Info!$A$2:A97,C97,Info!$C$2:C97))"),"")</f>
        <v/>
      </c>
      <c r="Z97" s="67" t="str">
        <f>IFS(OR(COUNTIF(Info!$A$22:A97,C97)&gt;0,C97=""),"",
AND(OR("3x3 FMC"=C97,"3x3 MBLD"=C97),I97&lt;&gt;""),1,
AND(OR(H97&lt;&gt;"",I97&lt;&gt;""),F97="Avg of 5"),2,
F97="Avg of 5",AA97,
AND(OR(H97&lt;&gt;"",I97&lt;&gt;""),F97="Mean of 3",C97="6x6 / 7x7"),2,
AND(OR(H97&lt;&gt;"",I97&lt;&gt;""),F97="Mean of 3"),1,
F97="Mean of 3",AA97,
AND(OR(H97&lt;&gt;"",I97&lt;&gt;""),F97="Best of 3",C97="4x4 / 5x5 BLD"),2,
AND(OR(H97&lt;&gt;"",I97&lt;&gt;""),F97="Best of 3"),1,
F97="Best of 2",AA97,
F97="Best of 1",AA97)</f>
        <v/>
      </c>
      <c r="AA97" s="67" t="str">
        <f>IFS(OR(COUNTIF(Info!$A$22:A97,C97)&gt;0,C97=""),"",
AND(OR("3x3 MBLD"=C97,"3x3 FMC"=C97),F97="Best of 1"=TRUE),1,
AND(OR("3x3 MBLD"=C97,"3x3 FMC"=C97),F97="Best of 2"=TRUE),2,
AND(OR("3x3 MBLD"=C97,"3x3 FMC"=C97),OR(F97="Best of 3",F97="Mean of 3")=TRUE),3,
AND(F97="Mean of 3",C97="6x6 / 7x7"),6,
AND(F97="Best of 3",C97="4x4 / 5x5 BLD"),6,
F97="Avg of 5",5,F97="Mean of 3",3,F97="Best of 3",3,F97="Best of 2",2,F97="Best of 1",1)</f>
        <v/>
      </c>
      <c r="AB97" s="69"/>
    </row>
    <row r="98" ht="15.75" customHeight="1">
      <c r="A98" s="62">
        <f>IFERROR(__xludf.DUMMYFUNCTION("IFS(indirect(""A""&amp;row()-1)=""Start"",TIME(indirect(""A""&amp;row()-2),indirect(""B""&amp;row()-2),0),
$O$2=""No"",TIME(0,($A$6*60+$B$6)+CEILING(SUM($L$7:indirect(""L""&amp;row()-1)),5),0),
D98=$E$2,TIME(0,($A$6*60+$B$6)+CEILING(SUM(IFERROR(FILTER($L$7:indirect(""L"""&amp;"&amp;row()-1),REGEXMATCH($D$7:indirect(""D""&amp;row()-1),$E$2)),0)),5),0),
TRUE,""=time(hh;mm;ss)"")"),0.3541666666666665)</f>
        <v>0.3541666667</v>
      </c>
      <c r="B98" s="63">
        <f>IFERROR(__xludf.DUMMYFUNCTION("IFS($O$2=""No"",TIME(0,($A$6*60+$B$6)+CEILING(SUM($L$7:indirect(""L""&amp;row())),5),0),
D98=$E$2,TIME(0,($A$6*60+$B$6)+CEILING(SUM(FILTER($L$7:indirect(""L""&amp;row()),REGEXMATCH($D$7:indirect(""D""&amp;row()),$E$2))),5),0),
A98=""=time(hh;mm;ss)"",CONCATENATE(""Sk"&amp;"riv tid i A""&amp;row()),
AND(A98&lt;&gt;"""",A98&lt;&gt;""=time(hh;mm;ss)""),A98+TIME(0,CEILING(indirect(""L""&amp;row()),5),0))"),0.3541666666666665)</f>
        <v>0.3541666667</v>
      </c>
      <c r="C98" s="37"/>
      <c r="D98" s="64" t="str">
        <f t="shared" si="10"/>
        <v>Stora salen</v>
      </c>
      <c r="E98" s="64" t="str">
        <f>IFERROR(__xludf.DUMMYFUNCTION("IFS(COUNTIF(Info!$A$22:A98,C98)&gt;0,"""",
AND(OR(""3x3 FMC""=C98,""3x3 MBLD""=C98),COUNTIF($C$7:indirect(""C""&amp;row()),indirect(""C""&amp;row()))&gt;=13),""E - Error"",
AND(OR(""3x3 FMC""=C98,""3x3 MBLD""=C98),COUNTIF($C$7:indirect(""C""&amp;row()),indirect(""C""&amp;row()"&amp;"))=12),""Final - A3"",
AND(OR(""3x3 FMC""=C98,""3x3 MBLD""=C98),COUNTIF($C$7:indirect(""C""&amp;row()),indirect(""C""&amp;row()))=11),""Final - A2"",
AND(OR(""3x3 FMC""=C98,""3x3 MBLD""=C98),COUNTIF($C$7:indirect(""C""&amp;row()),indirect(""C""&amp;row()))=10),""Final - "&amp;"A1"",
AND(OR(""3x3 FMC""=C98,""3x3 MBLD""=C98),COUNTIF($C$7:indirect(""C""&amp;row()),indirect(""C""&amp;row()))=9,
COUNTIF($C$7:$C$102,indirect(""C""&amp;row()))&gt;9),""R3 - A3"",
AND(OR(""3x3 FMC""=C98,""3x3 MBLD""=C98),COUNTIF($C$7:indirect(""C""&amp;row()),indirect(""C"&amp;"""&amp;row()))=9,
COUNTIF($C$7:$C$102,indirect(""C""&amp;row()))&lt;=9),""Final - A3"",
AND(OR(""3x3 FMC""=C98,""3x3 MBLD""=C98),COUNTIF($C$7:indirect(""C""&amp;row()),indirect(""C""&amp;row()))=8,
COUNTIF($C$7:$C$102,indirect(""C""&amp;row()))&gt;9),""R3 - A2"",
AND(OR(""3x3 FMC"&amp;"""=C98,""3x3 MBLD""=C98),COUNTIF($C$7:indirect(""C""&amp;row()),indirect(""C""&amp;row()))=8,
COUNTIF($C$7:$C$102,indirect(""C""&amp;row()))&lt;=9),""Final - A2"",
AND(OR(""3x3 FMC""=C98,""3x3 MBLD""=C98),COUNTIF($C$7:indirect(""C""&amp;row()),indirect(""C""&amp;row()))=7,
COUN"&amp;"TIF($C$7:$C$102,indirect(""C""&amp;row()))&gt;9),""R3 - A1"",
AND(OR(""3x3 FMC""=C98,""3x3 MBLD""=C98),COUNTIF($C$7:indirect(""C""&amp;row()),indirect(""C""&amp;row()))=7,
COUNTIF($C$7:$C$102,indirect(""C""&amp;row()))&lt;=9),""Final - A1"",
AND(OR(""3x3 FMC""=C98,""3x3 MBLD"""&amp;"=C98),COUNTIF($C$7:indirect(""C""&amp;row()),indirect(""C""&amp;row()))=6,
COUNTIF($C$7:$C$102,indirect(""C""&amp;row()))&gt;6),""R2 - A3"",
AND(OR(""3x3 FMC""=C98,""3x3 MBLD""=C98),COUNTIF($C$7:indirect(""C""&amp;row()),indirect(""C""&amp;row()))=6,
COUNTIF($C$7:$C$102,indirec"&amp;"t(""C""&amp;row()))&lt;=6),""Final - A3"",
AND(OR(""3x3 FMC""=C98,""3x3 MBLD""=C98),COUNTIF($C$7:indirect(""C""&amp;row()),indirect(""C""&amp;row()))=5,
COUNTIF($C$7:$C$102,indirect(""C""&amp;row()))&gt;6),""R2 - A2"",
AND(OR(""3x3 FMC""=C98,""3x3 MBLD""=C98),COUNTIF($C$7:indi"&amp;"rect(""C""&amp;row()),indirect(""C""&amp;row()))=5,
COUNTIF($C$7:$C$102,indirect(""C""&amp;row()))&lt;=6),""Final - A2"",
AND(OR(""3x3 FMC""=C98,""3x3 MBLD""=C98),COUNTIF($C$7:indirect(""C""&amp;row()),indirect(""C""&amp;row()))=4,
COUNTIF($C$7:$C$102,indirect(""C""&amp;row()))&gt;6),"&amp;"""R2 - A1"",
AND(OR(""3x3 FMC""=C98,""3x3 MBLD""=C98),COUNTIF($C$7:indirect(""C""&amp;row()),indirect(""C""&amp;row()))=4,
COUNTIF($C$7:$C$102,indirect(""C""&amp;row()))&lt;=6),""Final - A1"",
AND(OR(""3x3 FMC""=C98,""3x3 MBLD""=C98),COUNTIF($C$7:indirect(""C""&amp;row()),i"&amp;"ndirect(""C""&amp;row()))=3),""R1 - A3"",
AND(OR(""3x3 FMC""=C98,""3x3 MBLD""=C98),COUNTIF($C$7:indirect(""C""&amp;row()),indirect(""C""&amp;row()))=2),""R1 - A2"",
AND(OR(""3x3 FMC""=C98,""3x3 MBLD""=C98),COUNTIF($C$7:indirect(""C""&amp;row()),indirect(""C""&amp;row()))=1),"&amp;"""R1 -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98, Info!$A$2:A98 = C98),ROUNDUP((FILTER(Info!$H$2:H98,Info!$A$2:A98=C98)/FILTER(Info!$H$2:H98,Info!$A$2:A98=$K$2))*$I$2)&gt;99),3,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98, Info!$A$2:A98 = C98),ROUNDUP((FILTER(Info!$H$2:H98,Info!$A$2:A98=C98)/FILTER(Info!$H$2:H98,Info!$A$2:A98=$K$2))*$I$2)&gt;15),2,
AND(COUNTIF($C$7:indirect(""C""&amp;row()),indirect(""C""&amp;row()))=2,COUNTIF($C$7:$C$102,indirect(""C""&amp;row()))=COUNTIF($"&amp;"C$7:indirect(""C""&amp;row()),indirect(""C""&amp;row()))),""Final"",
COUNTIF($C$7:indirect(""C""&amp;row()),indirect(""C""&amp;row()))=1,1,
COUNTIF($C$7:indirect(""C""&amp;row()),indirect(""C""&amp;row()))=0,"""")"),"")</f>
        <v/>
      </c>
      <c r="F98" s="64" t="str">
        <f>IFERROR(__xludf.DUMMYFUNCTION("IFS(C98="""","""",
AND(C98=""3x3 FMC"",MOD(COUNTIF($C$7:indirect(""C""&amp;row()),indirect(""C""&amp;row())),3)=0),""Mean of 3"",
AND(C98=""3x3 MBLD"",MOD(COUNTIF($C$7:indirect(""C""&amp;row()),indirect(""C""&amp;row())),3)=0),""Best of 3"",
AND(C98=""3x3 FMC"",MOD(COUNT"&amp;"IF($C$7:indirect(""C""&amp;row()),indirect(""C""&amp;row())),3)=2,
COUNTIF($C$7:$C$102,indirect(""C""&amp;row()))&lt;=COUNTIF($C$7:indirect(""C""&amp;row()),indirect(""C""&amp;row()))),""Best of 2"",
AND(C98=""3x3 FMC"",MOD(COUNTIF($C$7:indirect(""C""&amp;row()),indirect(""C""&amp;row("&amp;"))),3)=2,
COUNTIF($C$7:$C$102,indirect(""C""&amp;row()))&gt;COUNTIF($C$7:indirect(""C""&amp;row()),indirect(""C""&amp;row()))),""Mean of 3"",
AND(C98=""3x3 MBLD"",MOD(COUNTIF($C$7:indirect(""C""&amp;row()),indirect(""C""&amp;row())),3)=2,
COUNTIF($C$7:$C$102,indirect(""C""&amp;row("&amp;")))&lt;=COUNTIF($C$7:indirect(""C""&amp;row()),indirect(""C""&amp;row()))),""Best of 2"",
AND(C98=""3x3 MBLD"",MOD(COUNTIF($C$7:indirect(""C""&amp;row()),indirect(""C""&amp;row())),3)=2,
COUNTIF($C$7:$C$102,indirect(""C""&amp;row()))&gt;COUNTIF($C$7:indirect(""C""&amp;row()),indirect("&amp;"""C""&amp;row()))),""Best of 3"",
AND(C98=""3x3 FMC"",MOD(COUNTIF($C$7:indirect(""C""&amp;row()),indirect(""C""&amp;row())),3)=1,
COUNTIF($C$7:$C$102,indirect(""C""&amp;row()))&lt;=COUNTIF($C$7:indirect(""C""&amp;row()),indirect(""C""&amp;row()))),""Best of 1"",
AND(C98=""3x3 FMC"""&amp;",MOD(COUNTIF($C$7:indirect(""C""&amp;row()),indirect(""C""&amp;row())),3)=1,
COUNTIF($C$7:$C$102,indirect(""C""&amp;row()))=COUNTIF($C$7:indirect(""C""&amp;row()),indirect(""C""&amp;row()))+1),""Best of 2"",
AND(C98=""3x3 FMC"",MOD(COUNTIF($C$7:indirect(""C""&amp;row()),indirect"&amp;"(""C""&amp;row())),3)=1,
COUNTIF($C$7:$C$102,indirect(""C""&amp;row()))&gt;COUNTIF($C$7:indirect(""C""&amp;row()),indirect(""C""&amp;row()))),""Mean of 3"",
AND(C98=""3x3 MBLD"",MOD(COUNTIF($C$7:indirect(""C""&amp;row()),indirect(""C""&amp;row())),3)=1,
COUNTIF($C$7:$C$102,indirect"&amp;"(""C""&amp;row()))&lt;=COUNTIF($C$7:indirect(""C""&amp;row()),indirect(""C""&amp;row()))),""Best of 1"",
AND(C98=""3x3 MBLD"",MOD(COUNTIF($C$7:indirect(""C""&amp;row()),indirect(""C""&amp;row())),3)=1,
COUNTIF($C$7:$C$102,indirect(""C""&amp;row()))=COUNTIF($C$7:indirect(""C""&amp;row()"&amp;"),indirect(""C""&amp;row()))+1),""Best of 2"",
AND(C98=""3x3 MBLD"",MOD(COUNTIF($C$7:indirect(""C""&amp;row()),indirect(""C""&amp;row())),3)=1,
COUNTIF($C$7:$C$102,indirect(""C""&amp;row()))&gt;COUNTIF($C$7:indirect(""C""&amp;row()),indirect(""C""&amp;row()))),""Best of 3"",
TRUE,("&amp;"IFERROR(FILTER(Info!$D$2:D98, Info!$A$2:A98 = C98), """")))"),"")</f>
        <v/>
      </c>
      <c r="G98" s="64" t="str">
        <f>IFERROR(__xludf.DUMMYFUNCTION("IFS(OR(COUNTIF(Info!$A$22:A98,C98)&gt;0,C98=""""),"""",
OR(""3x3 MBLD""=C98,""3x3 FMC""=C98),60,
AND(E98=1,FILTER(Info!$F$2:F98, Info!$A$2:A98 = C98) = ""No""),FILTER(Info!$P$2:P98, Info!$A$2:A98 = C98),
AND(E98=2,FILTER(Info!$F$2:F98, Info!$A$2:A98 = C98) ="&amp;" ""No""),FILTER(Info!$Q$2:Q98, Info!$A$2:A98 = C98),
AND(E98=3,FILTER(Info!$F$2:F98, Info!$A$2:A98 = C98) = ""No""),FILTER(Info!$R$2:R98, Info!$A$2:A98 = C98),
AND(E98=""Final"",FILTER(Info!$F$2:F98, Info!$A$2:A98 = C98) = ""No""),FILTER(Info!$S$2:S98, In"&amp;"fo!$A$2:A98 = C98),
FILTER(Info!$F$2:F98, Info!$A$2:A98 = C98) = ""Yes"","""")"),"")</f>
        <v/>
      </c>
      <c r="H98" s="64" t="str">
        <f>IFERROR(__xludf.DUMMYFUNCTION("IFS(OR(COUNTIF(Info!$A$22:A98,C98)&gt;0,C98=""""),"""",
OR(""3x3 MBLD""=C98,""3x3 FMC""=C98)=TRUE,"""",
FILTER(Info!$F$2:F98, Info!$A$2:A98 = C98) = ""Yes"",FILTER(Info!$O$2:O98, Info!$A$2:A98 = C98),
FILTER(Info!$F$2:F98, Info!$A$2:A98 = C98) = ""No"",IF(G9"&amp;"8="""",FILTER(Info!$O$2:O98, Info!$A$2:A98 = C98),""""))"),"")</f>
        <v/>
      </c>
      <c r="I98" s="64" t="str">
        <f>IFERROR(__xludf.DUMMYFUNCTION("IFS(OR(COUNTIF(Info!$A$22:A98,C98)&gt;0,C98="""",H98&lt;&gt;""""),"""",
AND(E98&lt;&gt;1,E98&lt;&gt;""R1 - A1"",E98&lt;&gt;""R1 - A2"",E98&lt;&gt;""R1 - A3""),"""",
FILTER(Info!$E$2:E98, Info!$A$2:A98 = C98) = ""Yes"",IF(H98="""",FILTER(Info!$L$2:L98, Info!$A$2:A98 = C98),""""),
FILTER(I"&amp;"nfo!$E$2:E98, Info!$A$2:A98 = C98) = ""No"","""")"),"")</f>
        <v/>
      </c>
      <c r="J98" s="64" t="str">
        <f>IFERROR(__xludf.DUMMYFUNCTION("IFS(OR(COUNTIF(Info!$A$22:A98,C98)&gt;0,C98="""",""3x3 MBLD""=C98,""3x3 FMC""=C98),"""",
AND(E98=1,FILTER(Info!$H$2:H98,Info!$A$2:A98 = C98)&lt;=FILTER(Info!$H$2:H98,Info!$A$2:A98=$K$2)),
ROUNDUP((FILTER(Info!$H$2:H98,Info!$A$2:A98 = C98)/FILTER(Info!$H$2:H98,I"&amp;"nfo!$A$2:A98=$K$2))*$I$2),
AND(E98=1,FILTER(Info!$H$2:H98,Info!$A$2:A98 = C98)&gt;FILTER(Info!$H$2:H98,Info!$A$2:A98=$K$2)),""K2 - Error"",
AND(E98=2,FILTER($J$7:indirect(""J""&amp;row()-1),$C$7:indirect(""C""&amp;row()-1)=C98)&lt;=7),""J - Error"",
E98=2,FLOOR(FILTER("&amp;"$J$7:indirect(""J""&amp;row()-1),$C$7:indirect(""C""&amp;row()-1)=C98)*Info!$T$32),
AND(E98=3,FILTER($J$7:indirect(""J""&amp;row()-1),$C$7:indirect(""C""&amp;row()-1)=C98)&lt;=15),""J - Error"",
E98=3,FLOOR(Info!$T$32*FLOOR(FILTER($J$7:indirect(""J""&amp;row()-1),$C$7:indirect("&amp;"""C""&amp;row()-1)=C98)*Info!$T$32)),
AND(E98=""Final"",COUNTIF($C$7:$C$102,C98)=2,FILTER($J$7:indirect(""J""&amp;row()-1),$C$7:indirect(""C""&amp;row()-1)=C98)&lt;=7),""J - Error"",
AND(E98=""Final"",COUNTIF($C$7:$C$102,C98)=2),
MIN(P98,FLOOR(FILTER($J$7:indirect(""J"""&amp;"&amp;row()-1),$C$7:indirect(""C""&amp;row()-1)=C98)*Info!$T$32)),
AND(E98=""Final"",COUNTIF($C$7:$C$102,C98)=3,FILTER($J$7:indirect(""J""&amp;row()-1),$C$7:indirect(""C""&amp;row()-1)=C98)&lt;=15),""J - Error"",
AND(E98=""Final"",COUNTIF($C$7:$C$102,C98)=3),
MIN(P98,FLOOR(I"&amp;"nfo!$T$32*FLOOR(FILTER($J$7:indirect(""J""&amp;row()-1),$C$7:indirect(""C""&amp;row()-1)=C98)*Info!$T$32))),
AND(E98=""Final"",COUNTIF($C$7:$C$102,C98)&gt;=4,FILTER($J$7:indirect(""J""&amp;row()-1),$C$7:indirect(""C""&amp;row()-1)=C98)&lt;=99),""J - Error"",
AND(E98=""Final"","&amp;"COUNTIF($C$7:$C$102,C98)&gt;=4),
MIN(P98,FLOOR(Info!$T$32*FLOOR(Info!$T$32*FLOOR(FILTER($J$7:indirect(""J""&amp;row()-1),$C$7:indirect(""C""&amp;row()-1)=C98)*Info!$T$32)))))"),"")</f>
        <v/>
      </c>
      <c r="K98" s="41" t="str">
        <f>IFERROR(__xludf.DUMMYFUNCTION("IFS(AND(indirect(""D""&amp;row()+2)&lt;&gt;$E$2,indirect(""D""&amp;row()+1)=""""),CONCATENATE(""Tom rad! Kopiera hela rad ""&amp;row()&amp;"" dit""),
AND(indirect(""D""&amp;row()-1)&lt;&gt;""Rum"",indirect(""D""&amp;row()-1)=""""),CONCATENATE(""Tom rad! Kopiera hela rad ""&amp;row()&amp;"" dit""),
"&amp;"C98="""","""",
COUNTIF(Info!$A$22:A98,$K$2)&gt;0,""Det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OR(AND(D98&lt;&gt;$E$2,D98&lt;&gt;$E$4,D98&lt;&gt;$K$4,D98&lt;&gt;$Q$4),D98="&amp;"""""),CONCATENATE(""Rum: ""&amp;D98&amp;"" finns ej, byt i D""&amp;row()),
AND(indirect(""D""&amp;row()-1)=""Rum"",C98=""""),CONCATENATE(""För att börja: skriv i cell C""&amp;row()),
AND(C98=""Paus"",M98&lt;=0),CONCATENATE(""Skriv pausens längd i M""&amp;row()),
OR(COUNTIF(Info!$A$"&amp;"22:A98,C98)&gt;0,C98=""""),"""",
AND(D98&lt;&gt;$E$2,$O$2=""Yes"",A98=""=time(hh;mm;ss)""),CONCATENATE(""Skriv starttid för ""&amp;C98&amp;"" i A""&amp;row()),
E98=""E - Error"",CONCATENATE(""För många ""&amp;C98&amp;"" rundor!""),
AND(C98&lt;&gt;""3x3 FMC"",C98&lt;&gt;""3x3 MBLD"",E98&lt;&gt;1,E98&lt;&gt;"&amp;"""Final"",IFERROR(FILTER($E$7:indirect(""E""&amp;row()-1),
$E$7:indirect(""E""&amp;row()-1)=E98-1,$C$7:indirect(""C""&amp;row()-1)=C98))=FALSE),CONCATENATE(""Kan ej vara R""&amp;E98&amp;"", saknar R""&amp;(E98-1)),
AND(indirect(""E""&amp;row()-1)&lt;&gt;""Omgång"",IFERROR(FILTER($E$7:indi"&amp;"rect(""E""&amp;row()-1),
$E$7:indirect(""E""&amp;row()-1)=E98,$C$7:indirect(""C""&amp;row()-1)=C98)=E98)=TRUE),CONCATENATE(""Runda ""&amp;E98&amp;"" i ""&amp;C98&amp;"" finns redan""),
AND(C98&lt;&gt;""3x3 BLD"",C98&lt;&gt;""4x4 BLD"",C98&lt;&gt;""5x5 BLD"",C98&lt;&gt;""4x4 / 5x5 BLD"",OR(E98=2,E98=3,E98="&amp;"""Final""),H98&lt;&gt;""""),CONCATENATE(E98&amp;""-rundor brukar ej ha c.t.l.""),
AND(OR(E98=2,E98=3,E98=""Final""),I98&lt;&gt;""""),CONCATENATE(E98&amp;""-rundor brukar ej ha cutoff""),
AND(OR(C98=""3x3 FMC"",C98=""3x3 MBLD""),OR(E98=1,E98=2,E98=3,E98=""Final"")),CONCATENAT"&amp;"E(C98&amp;""s omgång är Rx - Ax""),
AND(C98&lt;&gt;""3x3 MBLD"",C98&lt;&gt;""3x3 FMC"",FILTER(Info!$D$2:D98, Info!$A$2:A98 = C98)&lt;&gt;F98),CONCATENATE(C98&amp;"" måste ha formatet ""&amp;FILTER(Info!$D$2:D98, Info!$A$2:A98 = C98)),
AND(C98=""3x3 MBLD"",OR(F98=""Avg of 5"",F98=""Mea"&amp;"n of 3"")),CONCATENATE(""Ogiltigt format för ""&amp;C98),
AND(C98=""3x3 FMC"",OR(F98=""Avg of 5"",F98=""Best of 3"")),CONCATENATE(""Ogiltigt format för ""&amp;C98),
AND(OR(F98=""Best of 1"",F98=""Best of 2"",F98=""Best of 3""),I98&lt;&gt;""""),CONCATENATE(F98&amp;""-rundor"&amp;" får ej ha cutoff""),
AND(OR(C98=""3x3 FMC"",C98=""3x3 MBLD""),G98&lt;&gt;60),CONCATENATE(C98&amp;"" måste ha time limit: 60""),
AND(OR(C98=""3x3 FMC"",C98=""3x3 MBLD""),H98&lt;&gt;""""),CONCATENATE(C98&amp;"" kan inte ha c.t.l.""),
AND(G98&lt;&gt;"""",H98&lt;&gt;""""),""Välj time limit"&amp;" ELLER c.t.l"",
AND(C98=""6x6 / 7x7"",G98="""",H98=""""),""Sätt time limit (x / y) eller c.t.l (z)"",
AND(G98="""",H98=""""),""Sätt en time limit eller c.t.l"",
AND(OR(C98=""6x6 / 7x7"",C98=""4x4 / 5x5 BLD""),G98&lt;&gt;"""",REGEXMATCH(TO_TEXT(G98),"" / "")=FAL"&amp;"SE),CONCATENATE(""Time limit måste vara x / y""),
AND(H98&lt;&gt;"""",I98&lt;&gt;""""),CONCATENATE(C98&amp;"" brukar ej ha cutoff OCH c.t.l""),
AND(E98=1,H98="""",I98="""",OR(FILTER(Info!$E$2:E98, Info!$A$2:A98 = C98) = ""Yes"",FILTER(Info!$F$2:F98, Info!$A$2:A98 = C98) "&amp;"= ""Yes""),OR(F98=""Avg of 5"",F98=""Mean of 3"")),CONCATENATE(C98&amp;"" bör ha cutoff eller c.t.l""),
AND(C98=""6x6 / 7x7"",I98&lt;&gt;"""",REGEXMATCH(TO_TEXT(I98),"" / "")=FALSE),CONCATENATE(""Cutoff måste vara x / y""),
AND(H98&lt;&gt;"""",ISNUMBER(H98)=FALSE),""C.t."&amp;"l. måste vara positivt tal (x)"",
AND(C98&lt;&gt;""6x6 / 7x7"",I98&lt;&gt;"""",ISNUMBER(I98)=FALSE),""Cutoff måste vara positivt tal (x)"",
AND(H98&lt;&gt;"""",FILTER(Info!$E$2:E98, Info!$A$2:A98 = C98) = ""No"",FILTER(Info!$F$2:F98, Info!$A$2:A98 = C98) = ""No""),CONCATEN"&amp;"ATE(C98&amp;"" brukar inte ha c.t.l.""),
AND(I98&lt;&gt;"""",FILTER(Info!$E$2:E98, Info!$A$2:A98 = C98) = ""No"",FILTER(Info!$F$2:F98, Info!$A$2:A98 = C98) = ""No""),CONCATENATE(C98&amp;"" brukar inte ha cutoff""),
AND(H98="""",FILTER(Info!$F$2:F98, Info!$A$2:A98 = C98"&amp;") = ""Yes""),CONCATENATE(C98&amp;"" brukar ha c.t.l.""),
AND(C98&lt;&gt;""6x6 / 7x7"",C98&lt;&gt;""4x4 / 5x5 BLD"",G98&lt;&gt;"""",ISNUMBER(G98)=FALSE),""Time limit måste vara positivt tal (x)"",
J98=""J - Error"",CONCATENATE(""För få deltagare i R1 för ""&amp;COUNTIF($C$7:$C$102,"&amp;"indirect(""C""&amp;row()))&amp;"" rundor""),
J98=""K2 - Error"",CONCATENATE(C98&amp;"" är mer populär - byt i K2!""),
AND(C98&lt;&gt;""6x6 / 7x7"",C98&lt;&gt;""4x4 / 5x5 BLD"",G98&lt;&gt;"""",I98&lt;&gt;"""",G98&lt;=I98),""Time limit måste vara &gt; cutoff"",
AND(C98&lt;&gt;""6x6 / 7x7"",C98&lt;&gt;""4x4 / 5"&amp;"x5 BLD"",H98&lt;&gt;"""",I98&lt;&gt;"""",H98&lt;=I98),""C.t.l. måste vara &gt; cutoff"",
AND(C98&lt;&gt;""3x3 FMC"",C98&lt;&gt;""3x3 MBLD"",J98=""""),CONCATENATE(""Fyll i antal deltagare i J""&amp;row()),
AND(C98="""",OR(E98&lt;&gt;"""",F98&lt;&gt;"""",G98&lt;&gt;"""",H98&lt;&gt;"""",I98&lt;&gt;"""",J98&lt;&gt;"""")),""Skri"&amp;"v ALLTID gren / aktivitet först"",
AND(I98="""",H98="""",J98&lt;&gt;""""),J98,
OR(""3x3 FMC""=C98,""3x3 MBLD""=C98),J98,
AND(I98&lt;&gt;"""",""6x6 / 7x7""=C98),
IFS(ArrayFormula(SUM(IFERROR(SPLIT(I98,"" / ""))))&lt;(Info!$J$6+Info!$J$7)*2/3,CONCATENATE(""Höj helst cutof"&amp;"fs i ""&amp;C98),
ArrayFormula(SUM(IFERROR(SPLIT(I98,"" / ""))))&lt;=(Info!$J$6+Info!$J$7),ROUNDUP(J98*Info!$J$22),
ArrayFormula(SUM(IFERROR(SPLIT(I98,"" / ""))))&lt;=Info!$J$6+Info!$J$7,ROUNDUP(J98*Info!$K$22),
ArrayFormula(SUM(IFERROR(SPLIT(I98,"" / ""))))&lt;=Info!"&amp;"$K$6+Info!$K$7,ROUNDUP(J98*Info!L$22),
ArrayFormula(SUM(IFERROR(SPLIT(I98,"" / ""))))&lt;=Info!$L$6+Info!$L$7,ROUNDUP(J98*Info!$M$22),
ArrayFormula(SUM(IFERROR(SPLIT(I98,"" / ""))))&lt;=Info!$M$6+Info!$M$7,ROUNDUP(J98*Info!$N$22),
ArrayFormula(SUM(IFERROR(SPLIT"&amp;"(I98,"" / ""))))&lt;=(Info!$N$6+Info!$N$7)*3/2,ROUNDUP(J98*Info!$J$26),
ArrayFormula(SUM(IFERROR(SPLIT(I98,"" / ""))))&gt;(Info!$N$6+Info!$N$7)*3/2,CONCATENATE(""Sänk helst cutoffs i ""&amp;C98)),
AND(I98&lt;&gt;"""",FILTER(Info!$E$2:E98, Info!$A$2:A98 = C98) = ""Yes""),"&amp;"
IFS(I98&lt;FILTER(Info!$J$2:J98, Info!$A$2:A98 = C98)*2/3,CONCATENATE(""Höj helst cutoff i ""&amp;C98),
I98&lt;=FILTER(Info!$J$2:J98, Info!$A$2:A98 = C98),ROUNDUP(J98*Info!$J$22),
I98&lt;=FILTER(Info!$K$2:K98, Info!$A$2:A98 = C98),ROUNDUP(J98*Info!$K$22),
I98&lt;=FILTER"&amp;"(Info!$L$2:L98, Info!$A$2:A98 = C98),ROUNDUP(J98*Info!L$22),
I98&lt;=FILTER(Info!$M$2:M98, Info!$A$2:A98 = C98),ROUNDUP(J98*Info!$M$22),
I98&lt;=FILTER(Info!$N$2:N98, Info!$A$2:A98 = C98),ROUNDUP(J98*Info!$N$22),
I98&lt;=FILTER(Info!$N$2:N98, Info!$A$2:A98 = C98)*"&amp;"3/2,ROUNDUP(J98*Info!$J$26),
I98&gt;FILTER(Info!$N$2:N98, Info!$A$2:A98 = C98)*3/2,CONCATENATE(""Sänk helst cutoff i ""&amp;C98)),
AND(H98&lt;&gt;"""",""6x6 / 7x7""=C98),
IFS(H98/3&lt;=(Info!$J$6+Info!$J$7)*2/3,""Höj helst cumulative time limit"",
H98/3&lt;=Info!$J$6+Info!$"&amp;"J$7,ROUNDUP(J98*Info!$J$24),
H98/3&lt;=Info!$K$6+Info!$K$7,ROUNDUP(J98*Info!$K$24),
H98/3&lt;=Info!$L$6+Info!$L$7,ROUNDUP(J98*Info!L$24),
H98/3&lt;=Info!$M$6+Info!$M$7,ROUNDUP(J98*Info!$M$24),
H98/3&lt;=Info!$N$6+Info!$N$7,ROUNDUP(J98*Info!$N$24),
H98/3&lt;=(Info!$N$6+I"&amp;"nfo!$N$7)*3/2,ROUNDUP(J98*Info!$L$26),
H98/3&gt;(Info!$J$6+Info!$J$7)*3/2,""Sänk helst cumulative time limit""),
AND(H98&lt;&gt;"""",FILTER(Info!$F$2:F98, Info!$A$2:A98 = C98) = ""Yes""),
IFS(H98&lt;=FILTER(Info!$J$2:J98, Info!$A$2:A98 = C98)*2/3,CONCATENATE(""Höj he"&amp;"lst c.t.l. i ""&amp;C98),
H98&lt;=FILTER(Info!$J$2:J98, Info!$A$2:A98 = C98),ROUNDUP(J98*Info!$J$24),
H98&lt;=FILTER(Info!$K$2:K98, Info!$A$2:A98 = C98),ROUNDUP(J98*Info!$K$24),
H98&lt;=FILTER(Info!$L$2:L98, Info!$A$2:A98 = C98),ROUNDUP(J98*Info!L$24),
H98&lt;=FILTER(Inf"&amp;"o!$M$2:M98, Info!$A$2:A98 = C98),ROUNDUP(J98*Info!$M$24),
H98&lt;=FILTER(Info!$N$2:N98, Info!$A$2:A98 = C98),ROUNDUP(J98*Info!$N$24),
H98&lt;=FILTER(Info!$N$2:N98, Info!$A$2:A98 = C98)*3/2,ROUNDUP(J98*Info!$L$26),
H98&gt;FILTER(Info!$N$2:N98, Info!$A$2:A98 = C98)*"&amp;"3/2,CONCATENATE(""Sänk helst c.t.l. i ""&amp;C98)),
AND(H98&lt;&gt;"""",FILTER(Info!$F$2:F98, Info!$A$2:A98 = C98) = ""No""),
IFS(H98/AA98&lt;=FILTER(Info!$J$2:J98, Info!$A$2:A98 = C98)*2/3,CONCATENATE(""Höj helst c.t.l. i ""&amp;C98),
H98/AA98&lt;=FILTER(Info!$J$2:J98, Info"&amp;"!$A$2:A98 = C98),ROUNDUP(J98*Info!$J$24),
H98/AA98&lt;=FILTER(Info!$K$2:K98, Info!$A$2:A98 = C98),ROUNDUP(J98*Info!$K$24),
H98/AA98&lt;=FILTER(Info!$L$2:L98, Info!$A$2:A98 = C98),ROUNDUP(J98*Info!L$24),
H98/AA98&lt;=FILTER(Info!$M$2:M98, Info!$A$2:A98 = C98),ROUND"&amp;"UP(J98*Info!$M$24),
H98/AA98&lt;=FILTER(Info!$N$2:N98, Info!$A$2:A98 = C98),ROUNDUP(J98*Info!$N$24),
H98/AA98&lt;=FILTER(Info!$N$2:N98, Info!$A$2:A98 = C98)*3/2,ROUNDUP(J98*Info!$L$26),
H98/AA98&gt;FILTER(Info!$N$2:N98, Info!$A$2:A98 = C98)*3/2,CONCATENATE(""Sänk "&amp;"helst c.t.l. i ""&amp;C98)),
AND(I98="""",H98&lt;&gt;"""",J98&lt;&gt;""""),ROUNDUP(J98*Info!$T$29),
AND(I98&lt;&gt;"""",H98="""",J98&lt;&gt;""""),ROUNDUP(J98*Info!$T$26))"),"")</f>
        <v/>
      </c>
      <c r="L98" s="42">
        <f>IFERROR(__xludf.DUMMYFUNCTION("IFS(C98="""",0,
C98=""3x3 FMC"",Info!$B$9*N98+M98, C98=""3x3 MBLD"",Info!$B$18*N98+M98,
COUNTIF(Info!$A$22:A98,C98)&gt;0,FILTER(Info!$B$22:B98,Info!$A$22:A98=C98)+M98,
AND(C98&lt;&gt;"""",E98=""""),CONCATENATE(""Fyll i E""&amp;row()),
AND(C98&lt;&gt;"""",E98&lt;&gt;"""",E98&lt;&gt;1,E9"&amp;"8&lt;&gt;2,E98&lt;&gt;3,E98&lt;&gt;""Final""),CONCATENATE(""Fel format på E""&amp;row()),
K98=CONCATENATE(""Runda ""&amp;E98&amp;"" i ""&amp;C98&amp;"" finns redan""),CONCATENATE(""Fel i E""&amp;row()),
AND(C98&lt;&gt;"""",F98=""""),CONCATENATE(""Fyll i F""&amp;row()),
K98=CONCATENATE(C98&amp;"" måste ha forma"&amp;"tet ""&amp;FILTER(Info!$D$2:D98, Info!$A$2:A98 = C98)),CONCATENATE(""Fel format på F""&amp;row()),
AND(C98&lt;&gt;"""",D98=1,H98="""",FILTER(Info!$F$2:F98, Info!$A$2:A98 = C98) = ""Yes""),CONCATENATE(""Fyll i H""&amp;row()),
AND(C98&lt;&gt;"""",D98=1,I98="""",FILTER(Info!$E$2:E9"&amp;"8, Info!$A$2:A98 = C98) = ""Yes""),CONCATENATE(""Fyll i I""&amp;row()),
AND(C98&lt;&gt;"""",J98=""""),CONCATENATE(""Fyll i J""&amp;row()),
AND(C98&lt;&gt;"""",K98="""",OR(H98&lt;&gt;"""",I98&lt;&gt;"""")),CONCATENATE(""Fyll i K""&amp;row()),
AND(C98&lt;&gt;"""",K98=""""),CONCATENATE(""Skriv samma"&amp;" i K""&amp;row()&amp;"" som i J""&amp;row()),
AND(OR(C98=""4x4 BLD"",C98=""5x5 BLD"",C98=""4x4 / 5x5 BLD"")=TRUE,V98&lt;=P98),
MROUND(H98*(Info!$T$20-((Info!$T$20-1)/2)*(1-V98/P98))*(1+((J98/K98)-1)*(1-Info!$J$24))*N98+(Info!$T$11/2)+(N98*Info!$T$11)+(N98*Info!$T$14*(O9"&amp;"8-1)),0.01)+M98,
AND(OR(C98=""4x4 BLD"",C98=""5x5 BLD"",C98=""4x4 / 5x5 BLD"")=TRUE,V98&gt;P98),
MROUND((((J98*Z98+K98*(AA98-Z98))*(H98*Info!$T$20/AA98))/X98)*(1+((J98/K98)-1)*(1-Info!$J$24))*(1+(X98-Info!$T$8)/100)+(Info!$T$11/2)+(N98*Info!$T$11)+(N98*Info!"&amp;"$T$14*(O98-1)),0.01)+M98,
AND(C98=""3x3 BLD"",V98&lt;=P98),
MROUND(H98*(Info!$T$23-((Info!$T$23-1)/2)*(1-V98/P98))*(1+((J98/K98)-1)*(1-Info!$J$24))*N98+(Info!$T$11/2)+(N98*Info!$T$11)+(N98*Info!$T$14*(O98-1)),0.01)+M98,
AND(C98=""3x3 BLD"",V98&gt;P98),
MROUND(("&amp;"((J98*Z98+K98*(AA98-Z98))*(H98*Info!$T$23/AA98))/X98)*(1+((J98/K98)-1)*(1-Info!$J$24))*(1+(X98-Info!$T$8)/100)+(Info!$T$11/2)+(N98*Info!$T$11)+(N98*Info!$T$14*(O98-1)),0.01)+M98,
E98=1,MROUND((((J98*Z98+K98*(AA98-Z98))*Y98)/X98)*(1+(X98-Info!$T$8)/100)+(N"&amp;"98*Info!$T$11)+(N98*Info!$T$14*(O98-1)),0.01)+M98,
AND(E98=""Final"",N98=1,FILTER(Info!$G$2:$G$20,Info!$A$2:$A$20=C98)=""Mycket svår""),
MROUND((((J98*Z98+K98*(AA98-Z98))*(Y98*Info!$T$38))/X98)*(1+(X98-Info!$T$8)/100)+(N98*Info!$T$11)+(N98*Info!$T$14*(O98"&amp;"-1)),0.01)+M98,
AND(E98=""Final"",N98=1,FILTER(Info!$G$2:$G$20,Info!$A$2:$A$20=C98)=""Svår""),
MROUND((((J98*Z98+K98*(AA98-Z98))*(Y98*Info!$T$35))/X98)*(1+(X98-Info!$T$8)/100)+(N98*Info!$T$11)+(N98*Info!$T$14*(O98-1)),0.01)+M98,
E98=""Final"",MROUND((((J9"&amp;"8*Z98+K98*(AA98-Z98))*(Y98*Info!$T$5))/X98)*(1+(X98-Info!$T$8)/100)+(N98*Info!$T$11)+(N98*Info!$T$14*(O98-1)),0.01)+M98,
OR(E98=2,E98=3),MROUND((((J98*Z98+K98*(AA98-Z98))*(Y98*Info!$T$2))/X98)*(1+(X98-Info!$T$8)/100)+(N98*Info!$T$11)+(N98*Info!$T$14*(O98-"&amp;"1)),0.01)+M98)"),0.0)</f>
        <v>0</v>
      </c>
      <c r="M98" s="43">
        <f t="shared" si="9"/>
        <v>0</v>
      </c>
      <c r="N98" s="43" t="str">
        <f>IFS(OR(COUNTIF(Info!$A$22:A98,C98)&gt;0,C98=""),"",
OR(C98="4x4 BLD",C98="5x5 BLD",C98="3x3 MBLD",C98="3x3 FMC",C98="4x4 / 5x5 BLD"),1,
AND(E98="Final",Q98="Yes",MAX(1,ROUNDUP(J98/P98))&gt;1),MAX(2,ROUNDUP(J98/P98)),
AND(E98="Final",Q98="No",MAX(1,ROUNDUP(J98/((P98*2)+2.625-Y98*1.5)))&gt;1),MAX(2,ROUNDUP(J98/((P98*2)+2.625-Y98*1.5))),
E98="Final",1,
Q98="Yes",MAX(2,ROUNDUP(J98/P98)),
TRUE,MAX(2,ROUNDUP(J98/((P98*2)+2.625-Y98*1.5))))</f>
        <v/>
      </c>
      <c r="O98" s="43" t="str">
        <f>IFS(OR(COUNTIF(Info!$A$22:A98,C98)&gt;0,C98=""),"",
OR("3x3 MBLD"=C98,"3x3 FMC"=C98)=TRUE,"",
D98=$E$4,$G$6,D98=$K$4,$M$6,D98=$Q$4,$S$6,D98=$W$4,$Y$6,
TRUE,$S$2)</f>
        <v/>
      </c>
      <c r="P98" s="43" t="str">
        <f>IFS(OR(COUNTIF(Info!$A$22:A98,C98)&gt;0,C98=""),"",
OR("3x3 MBLD"=C98,"3x3 FMC"=C98)=TRUE,"",
D98=$E$4,$E$6,D98=$K$4,$K$6,D98=$Q$4,$Q$6,D98=$W$4,$W$6,
TRUE,$Q$2)</f>
        <v/>
      </c>
      <c r="Q98" s="44" t="str">
        <f>IFS(OR(COUNTIF(Info!$A$22:A98,C98)&gt;0,C98=""),"",
OR("3x3 MBLD"=C98,"3x3 FMC"=C98)=TRUE,"",
D98=$E$4,$I$6,D98=$K$4,$O$6,D98=$Q$4,$U$6,D98=$W$4,$AA$6,
TRUE,$U$2)</f>
        <v/>
      </c>
      <c r="R98" s="65" t="str">
        <f>IFERROR(__xludf.DUMMYFUNCTION("IF(C98="""","""",IFERROR(FILTER(Info!$B$22:B98,Info!$A$22:A98=C98)+M98,""?""))"),"")</f>
        <v/>
      </c>
      <c r="S98" s="66" t="str">
        <f>IFS(OR(COUNTIF(Info!$A$22:A98,C98)&gt;0,C98=""),"",
AND(H98="",I98=""),J98,
TRUE,"?")</f>
        <v/>
      </c>
      <c r="T98" s="65" t="str">
        <f>IFS(OR(COUNTIF(Info!$A$22:A98,C98)&gt;0,C98=""),"",
AND(L98&lt;&gt;0,OR(R98="?",R98="")),"Fyll i R-kolumnen",
OR(C98="3x3 FMC",C98="3x3 MBLD"),R98,
AND(L98&lt;&gt;0,OR(S98="?",S98="")),"Fyll i S-kolumnen",
OR(COUNTIF(Info!$A$22:A98,C98)&gt;0,C98=""),"",
TRUE,Y98*R98/L98)</f>
        <v/>
      </c>
      <c r="U98" s="65"/>
      <c r="V98" s="67" t="str">
        <f>IFS(OR(COUNTIF(Info!$A$22:A98,C98)&gt;0,C98=""),"",
OR("3x3 MBLD"=C98,"3x3 FMC"=C98)=TRUE,"",
TRUE,MROUND((J98/N98),0.01))</f>
        <v/>
      </c>
      <c r="W98" s="68" t="str">
        <f>IFS(OR(COUNTIF(Info!$A$22:A98,C98)&gt;0,C98=""),"",
TRUE,L98/N98)</f>
        <v/>
      </c>
      <c r="X98" s="67" t="str">
        <f>IFS(OR(COUNTIF(Info!$A$22:A98,C98)&gt;0,C98=""),"",
OR("3x3 MBLD"=C98,"3x3 FMC"=C98)=TRUE,"",
OR(C98="4x4 BLD",C98="5x5 BLD",C98="4x4 / 5x5 BLD",AND(C98="3x3 BLD",H98&lt;&gt;""))=TRUE,MIN(V98,P98),
TRUE,MIN(P98,V98,MROUND(((V98*2/3)+((Y98-1.625)/2)),0.01)))</f>
        <v/>
      </c>
      <c r="Y98" s="68" t="str">
        <f>IFERROR(__xludf.DUMMYFUNCTION("IFS(OR(COUNTIF(Info!$A$22:A98,C98)&gt;0,C98=""""),"""",
FILTER(Info!$F$2:F98, Info!$A$2:A98 = C98) = ""Yes"",H98/AA98,
""3x3 FMC""=C98,Info!$B$9,""3x3 MBLD""=C98,Info!$B$18,
AND(E98=1,I98="""",H98="""",Q98=""No"",G98&gt;SUMIF(Info!$A$2:A98,C98,Info!$B$2:B98)*1."&amp;"5),
MIN(SUMIF(Info!$A$2:A98,C98,Info!$B$2:B98)*1.1,SUMIF(Info!$A$2:A98,C98,Info!$B$2:B98)*(1.15-(0.15*(SUMIF(Info!$A$2:A98,C98,Info!$B$2:B98)*1.5)/G98))),
AND(E98=1,I98="""",H98="""",Q98=""Yes"",G98&gt;SUMIF(Info!$A$2:A98,C98,Info!$C$2:C98)*1.5),
MIN(SUMIF(I"&amp;"nfo!$A$2:A98,C98,Info!$C$2:C98)*1.1,SUMIF(Info!$A$2:A98,C98,Info!$C$2:C98)*(1.15-(0.15*(SUMIF(Info!$A$2:A98,C98,Info!$C$2:C98)*1.5)/G98))),
Q98=""No"",SUMIF(Info!$A$2:A98,C98,Info!$B$2:B98),
Q98=""Yes"",SUMIF(Info!$A$2:A98,C98,Info!$C$2:C98))"),"")</f>
        <v/>
      </c>
      <c r="Z98" s="67" t="str">
        <f>IFS(OR(COUNTIF(Info!$A$22:A98,C98)&gt;0,C98=""),"",
AND(OR("3x3 FMC"=C98,"3x3 MBLD"=C98),I98&lt;&gt;""),1,
AND(OR(H98&lt;&gt;"",I98&lt;&gt;""),F98="Avg of 5"),2,
F98="Avg of 5",AA98,
AND(OR(H98&lt;&gt;"",I98&lt;&gt;""),F98="Mean of 3",C98="6x6 / 7x7"),2,
AND(OR(H98&lt;&gt;"",I98&lt;&gt;""),F98="Mean of 3"),1,
F98="Mean of 3",AA98,
AND(OR(H98&lt;&gt;"",I98&lt;&gt;""),F98="Best of 3",C98="4x4 / 5x5 BLD"),2,
AND(OR(H98&lt;&gt;"",I98&lt;&gt;""),F98="Best of 3"),1,
F98="Best of 2",AA98,
F98="Best of 1",AA98)</f>
        <v/>
      </c>
      <c r="AA98" s="67" t="str">
        <f>IFS(OR(COUNTIF(Info!$A$22:A98,C98)&gt;0,C98=""),"",
AND(OR("3x3 MBLD"=C98,"3x3 FMC"=C98),F98="Best of 1"=TRUE),1,
AND(OR("3x3 MBLD"=C98,"3x3 FMC"=C98),F98="Best of 2"=TRUE),2,
AND(OR("3x3 MBLD"=C98,"3x3 FMC"=C98),OR(F98="Best of 3",F98="Mean of 3")=TRUE),3,
AND(F98="Mean of 3",C98="6x6 / 7x7"),6,
AND(F98="Best of 3",C98="4x4 / 5x5 BLD"),6,
F98="Avg of 5",5,F98="Mean of 3",3,F98="Best of 3",3,F98="Best of 2",2,F98="Best of 1",1)</f>
        <v/>
      </c>
      <c r="AB98" s="69"/>
    </row>
    <row r="99" ht="15.75" customHeight="1">
      <c r="A99" s="62">
        <f>IFERROR(__xludf.DUMMYFUNCTION("IFS(indirect(""A""&amp;row()-1)=""Start"",TIME(indirect(""A""&amp;row()-2),indirect(""B""&amp;row()-2),0),
$O$2=""No"",TIME(0,($A$6*60+$B$6)+CEILING(SUM($L$7:indirect(""L""&amp;row()-1)),5),0),
D99=$E$2,TIME(0,($A$6*60+$B$6)+CEILING(SUM(IFERROR(FILTER($L$7:indirect(""L"""&amp;"&amp;row()-1),REGEXMATCH($D$7:indirect(""D""&amp;row()-1),$E$2)),0)),5),0),
TRUE,""=time(hh;mm;ss)"")"),0.3541666666666665)</f>
        <v>0.3541666667</v>
      </c>
      <c r="B99" s="63">
        <f>IFERROR(__xludf.DUMMYFUNCTION("IFS($O$2=""No"",TIME(0,($A$6*60+$B$6)+CEILING(SUM($L$7:indirect(""L""&amp;row())),5),0),
D99=$E$2,TIME(0,($A$6*60+$B$6)+CEILING(SUM(FILTER($L$7:indirect(""L""&amp;row()),REGEXMATCH($D$7:indirect(""D""&amp;row()),$E$2))),5),0),
A99=""=time(hh;mm;ss)"",CONCATENATE(""Sk"&amp;"riv tid i A""&amp;row()),
AND(A99&lt;&gt;"""",A99&lt;&gt;""=time(hh;mm;ss)""),A99+TIME(0,CEILING(indirect(""L""&amp;row()),5),0))"),0.3541666666666665)</f>
        <v>0.3541666667</v>
      </c>
      <c r="C99" s="37"/>
      <c r="D99" s="64" t="str">
        <f t="shared" si="10"/>
        <v>Stora salen</v>
      </c>
      <c r="E99" s="64" t="str">
        <f>IFERROR(__xludf.DUMMYFUNCTION("IFS(COUNTIF(Info!$A$22:A99,C99)&gt;0,"""",
AND(OR(""3x3 FMC""=C99,""3x3 MBLD""=C99),COUNTIF($C$7:indirect(""C""&amp;row()),indirect(""C""&amp;row()))&gt;=13),""E - Error"",
AND(OR(""3x3 FMC""=C99,""3x3 MBLD""=C99),COUNTIF($C$7:indirect(""C""&amp;row()),indirect(""C""&amp;row()"&amp;"))=12),""Final - A3"",
AND(OR(""3x3 FMC""=C99,""3x3 MBLD""=C99),COUNTIF($C$7:indirect(""C""&amp;row()),indirect(""C""&amp;row()))=11),""Final - A2"",
AND(OR(""3x3 FMC""=C99,""3x3 MBLD""=C99),COUNTIF($C$7:indirect(""C""&amp;row()),indirect(""C""&amp;row()))=10),""Final - "&amp;"A1"",
AND(OR(""3x3 FMC""=C99,""3x3 MBLD""=C99),COUNTIF($C$7:indirect(""C""&amp;row()),indirect(""C""&amp;row()))=9,
COUNTIF($C$7:$C$102,indirect(""C""&amp;row()))&gt;9),""R3 - A3"",
AND(OR(""3x3 FMC""=C99,""3x3 MBLD""=C99),COUNTIF($C$7:indirect(""C""&amp;row()),indirect(""C"&amp;"""&amp;row()))=9,
COUNTIF($C$7:$C$102,indirect(""C""&amp;row()))&lt;=9),""Final - A3"",
AND(OR(""3x3 FMC""=C99,""3x3 MBLD""=C99),COUNTIF($C$7:indirect(""C""&amp;row()),indirect(""C""&amp;row()))=8,
COUNTIF($C$7:$C$102,indirect(""C""&amp;row()))&gt;9),""R3 - A2"",
AND(OR(""3x3 FMC"&amp;"""=C99,""3x3 MBLD""=C99),COUNTIF($C$7:indirect(""C""&amp;row()),indirect(""C""&amp;row()))=8,
COUNTIF($C$7:$C$102,indirect(""C""&amp;row()))&lt;=9),""Final - A2"",
AND(OR(""3x3 FMC""=C99,""3x3 MBLD""=C99),COUNTIF($C$7:indirect(""C""&amp;row()),indirect(""C""&amp;row()))=7,
COUN"&amp;"TIF($C$7:$C$102,indirect(""C""&amp;row()))&gt;9),""R3 - A1"",
AND(OR(""3x3 FMC""=C99,""3x3 MBLD""=C99),COUNTIF($C$7:indirect(""C""&amp;row()),indirect(""C""&amp;row()))=7,
COUNTIF($C$7:$C$102,indirect(""C""&amp;row()))&lt;=9),""Final - A1"",
AND(OR(""3x3 FMC""=C99,""3x3 MBLD"""&amp;"=C99),COUNTIF($C$7:indirect(""C""&amp;row()),indirect(""C""&amp;row()))=6,
COUNTIF($C$7:$C$102,indirect(""C""&amp;row()))&gt;6),""R2 - A3"",
AND(OR(""3x3 FMC""=C99,""3x3 MBLD""=C99),COUNTIF($C$7:indirect(""C""&amp;row()),indirect(""C""&amp;row()))=6,
COUNTIF($C$7:$C$102,indirec"&amp;"t(""C""&amp;row()))&lt;=6),""Final - A3"",
AND(OR(""3x3 FMC""=C99,""3x3 MBLD""=C99),COUNTIF($C$7:indirect(""C""&amp;row()),indirect(""C""&amp;row()))=5,
COUNTIF($C$7:$C$102,indirect(""C""&amp;row()))&gt;6),""R2 - A2"",
AND(OR(""3x3 FMC""=C99,""3x3 MBLD""=C99),COUNTIF($C$7:indi"&amp;"rect(""C""&amp;row()),indirect(""C""&amp;row()))=5,
COUNTIF($C$7:$C$102,indirect(""C""&amp;row()))&lt;=6),""Final - A2"",
AND(OR(""3x3 FMC""=C99,""3x3 MBLD""=C99),COUNTIF($C$7:indirect(""C""&amp;row()),indirect(""C""&amp;row()))=4,
COUNTIF($C$7:$C$102,indirect(""C""&amp;row()))&gt;6),"&amp;"""R2 - A1"",
AND(OR(""3x3 FMC""=C99,""3x3 MBLD""=C99),COUNTIF($C$7:indirect(""C""&amp;row()),indirect(""C""&amp;row()))=4,
COUNTIF($C$7:$C$102,indirect(""C""&amp;row()))&lt;=6),""Final - A1"",
AND(OR(""3x3 FMC""=C99,""3x3 MBLD""=C99),COUNTIF($C$7:indirect(""C""&amp;row()),i"&amp;"ndirect(""C""&amp;row()))=3),""R1 - A3"",
AND(OR(""3x3 FMC""=C99,""3x3 MBLD""=C99),COUNTIF($C$7:indirect(""C""&amp;row()),indirect(""C""&amp;row()))=2),""R1 - A2"",
AND(OR(""3x3 FMC""=C99,""3x3 MBLD""=C99),COUNTIF($C$7:indirect(""C""&amp;row()),indirect(""C""&amp;row()))=1),"&amp;"""R1 - A1"",
COUNTIF($C$7:indirect(""C""&amp;row()),indirect(""C""&amp;row()))&gt;4,""E - Error"",
COUNTIF($C$7:indirect(""C""&amp;row()),indirect(""C""&amp;row()))=4,""Final"",
AND(COUNTIF($C$7:indirect(""C""&amp;row()),indirect(""C""&amp;row()))=3,COUNTIF($C$7:$C$102,indirect(""C"&amp;"""&amp;row()))&gt;COUNTIF($C$7:indirect(""C""&amp;row()),indirect(""C""&amp;row()))),3,
AND(COUNTIF($C$7:indirect(""C""&amp;row()),indirect(""C""&amp;row()))=3,COUNTIF($C$7:$C$102,indirect(""C""&amp;row()))=COUNTIF($C$7:indirect(""C""&amp;row()),indirect(""C""&amp;row())),COUNTIF($C$7:indi"&amp;"rect(""C""&amp;row()),indirect(""C""&amp;row()))&lt;FILTER(Info!$I$2:I99, Info!$A$2:A99 = C99),ROUNDUP((FILTER(Info!$H$2:H99,Info!$A$2:A99=C99)/FILTER(Info!$H$2:H99,Info!$A$2:A99=$K$2))*$I$2)&gt;99),3,
AND(COUNTIF($C$7:indirect(""C""&amp;row()),indirect(""C""&amp;row()))=3,COU"&amp;"NTIF($C$7:$C$102,indirect(""C""&amp;row()))=COUNTIF($C$7:indirect(""C""&amp;row()),indirect(""C""&amp;row()))),""Final"",
AND(COUNTIF($C$7:indirect(""C""&amp;row()),indirect(""C""&amp;row()))=2,COUNTIF($C$7:$C$102,indirect(""C""&amp;row()))&gt;COUNTIF($C$7:indirect(""C""&amp;row()),ind"&amp;"irect(""C""&amp;row()))),2,
AND(COUNTIF($C$7:indirect(""C""&amp;row()),indirect(""C""&amp;row()))=2,COUNTIF($C$7:$C$102,indirect(""C""&amp;row()))=COUNTIF($C$7:indirect(""C""&amp;row()),indirect(""C""&amp;row())),COUNTIF($C$7:indirect(""C""&amp;row()),indirect(""C""&amp;row()))&lt;FILTER(I"&amp;"nfo!$I$2:I99, Info!$A$2:A99 = C99),ROUNDUP((FILTER(Info!$H$2:H99,Info!$A$2:A99=C99)/FILTER(Info!$H$2:H99,Info!$A$2:A99=$K$2))*$I$2)&gt;15),2,
AND(COUNTIF($C$7:indirect(""C""&amp;row()),indirect(""C""&amp;row()))=2,COUNTIF($C$7:$C$102,indirect(""C""&amp;row()))=COUNTIF($"&amp;"C$7:indirect(""C""&amp;row()),indirect(""C""&amp;row()))),""Final"",
COUNTIF($C$7:indirect(""C""&amp;row()),indirect(""C""&amp;row()))=1,1,
COUNTIF($C$7:indirect(""C""&amp;row()),indirect(""C""&amp;row()))=0,"""")"),"")</f>
        <v/>
      </c>
      <c r="F99" s="64" t="str">
        <f>IFERROR(__xludf.DUMMYFUNCTION("IFS(C99="""","""",
AND(C99=""3x3 FMC"",MOD(COUNTIF($C$7:indirect(""C""&amp;row()),indirect(""C""&amp;row())),3)=0),""Mean of 3"",
AND(C99=""3x3 MBLD"",MOD(COUNTIF($C$7:indirect(""C""&amp;row()),indirect(""C""&amp;row())),3)=0),""Best of 3"",
AND(C99=""3x3 FMC"",MOD(COUNT"&amp;"IF($C$7:indirect(""C""&amp;row()),indirect(""C""&amp;row())),3)=2,
COUNTIF($C$7:$C$102,indirect(""C""&amp;row()))&lt;=COUNTIF($C$7:indirect(""C""&amp;row()),indirect(""C""&amp;row()))),""Best of 2"",
AND(C99=""3x3 FMC"",MOD(COUNTIF($C$7:indirect(""C""&amp;row()),indirect(""C""&amp;row("&amp;"))),3)=2,
COUNTIF($C$7:$C$102,indirect(""C""&amp;row()))&gt;COUNTIF($C$7:indirect(""C""&amp;row()),indirect(""C""&amp;row()))),""Mean of 3"",
AND(C99=""3x3 MBLD"",MOD(COUNTIF($C$7:indirect(""C""&amp;row()),indirect(""C""&amp;row())),3)=2,
COUNTIF($C$7:$C$102,indirect(""C""&amp;row("&amp;")))&lt;=COUNTIF($C$7:indirect(""C""&amp;row()),indirect(""C""&amp;row()))),""Best of 2"",
AND(C99=""3x3 MBLD"",MOD(COUNTIF($C$7:indirect(""C""&amp;row()),indirect(""C""&amp;row())),3)=2,
COUNTIF($C$7:$C$102,indirect(""C""&amp;row()))&gt;COUNTIF($C$7:indirect(""C""&amp;row()),indirect("&amp;"""C""&amp;row()))),""Best of 3"",
AND(C99=""3x3 FMC"",MOD(COUNTIF($C$7:indirect(""C""&amp;row()),indirect(""C""&amp;row())),3)=1,
COUNTIF($C$7:$C$102,indirect(""C""&amp;row()))&lt;=COUNTIF($C$7:indirect(""C""&amp;row()),indirect(""C""&amp;row()))),""Best of 1"",
AND(C99=""3x3 FMC"""&amp;",MOD(COUNTIF($C$7:indirect(""C""&amp;row()),indirect(""C""&amp;row())),3)=1,
COUNTIF($C$7:$C$102,indirect(""C""&amp;row()))=COUNTIF($C$7:indirect(""C""&amp;row()),indirect(""C""&amp;row()))+1),""Best of 2"",
AND(C99=""3x3 FMC"",MOD(COUNTIF($C$7:indirect(""C""&amp;row()),indirect"&amp;"(""C""&amp;row())),3)=1,
COUNTIF($C$7:$C$102,indirect(""C""&amp;row()))&gt;COUNTIF($C$7:indirect(""C""&amp;row()),indirect(""C""&amp;row()))),""Mean of 3"",
AND(C99=""3x3 MBLD"",MOD(COUNTIF($C$7:indirect(""C""&amp;row()),indirect(""C""&amp;row())),3)=1,
COUNTIF($C$7:$C$102,indirect"&amp;"(""C""&amp;row()))&lt;=COUNTIF($C$7:indirect(""C""&amp;row()),indirect(""C""&amp;row()))),""Best of 1"",
AND(C99=""3x3 MBLD"",MOD(COUNTIF($C$7:indirect(""C""&amp;row()),indirect(""C""&amp;row())),3)=1,
COUNTIF($C$7:$C$102,indirect(""C""&amp;row()))=COUNTIF($C$7:indirect(""C""&amp;row()"&amp;"),indirect(""C""&amp;row()))+1),""Best of 2"",
AND(C99=""3x3 MBLD"",MOD(COUNTIF($C$7:indirect(""C""&amp;row()),indirect(""C""&amp;row())),3)=1,
COUNTIF($C$7:$C$102,indirect(""C""&amp;row()))&gt;COUNTIF($C$7:indirect(""C""&amp;row()),indirect(""C""&amp;row()))),""Best of 3"",
TRUE,("&amp;"IFERROR(FILTER(Info!$D$2:D99, Info!$A$2:A99 = C99), """")))"),"")</f>
        <v/>
      </c>
      <c r="G99" s="64" t="str">
        <f>IFERROR(__xludf.DUMMYFUNCTION("IFS(OR(COUNTIF(Info!$A$22:A99,C99)&gt;0,C99=""""),"""",
OR(""3x3 MBLD""=C99,""3x3 FMC""=C99),60,
AND(E99=1,FILTER(Info!$F$2:F99, Info!$A$2:A99 = C99) = ""No""),FILTER(Info!$P$2:P99, Info!$A$2:A99 = C99),
AND(E99=2,FILTER(Info!$F$2:F99, Info!$A$2:A99 = C99) ="&amp;" ""No""),FILTER(Info!$Q$2:Q99, Info!$A$2:A99 = C99),
AND(E99=3,FILTER(Info!$F$2:F99, Info!$A$2:A99 = C99) = ""No""),FILTER(Info!$R$2:R99, Info!$A$2:A99 = C99),
AND(E99=""Final"",FILTER(Info!$F$2:F99, Info!$A$2:A99 = C99) = ""No""),FILTER(Info!$S$2:S99, In"&amp;"fo!$A$2:A99 = C99),
FILTER(Info!$F$2:F99, Info!$A$2:A99 = C99) = ""Yes"","""")"),"")</f>
        <v/>
      </c>
      <c r="H99" s="64" t="str">
        <f>IFERROR(__xludf.DUMMYFUNCTION("IFS(OR(COUNTIF(Info!$A$22:A99,C99)&gt;0,C99=""""),"""",
OR(""3x3 MBLD""=C99,""3x3 FMC""=C99)=TRUE,"""",
FILTER(Info!$F$2:F99, Info!$A$2:A99 = C99) = ""Yes"",FILTER(Info!$O$2:O99, Info!$A$2:A99 = C99),
FILTER(Info!$F$2:F99, Info!$A$2:A99 = C99) = ""No"",IF(G9"&amp;"9="""",FILTER(Info!$O$2:O99, Info!$A$2:A99 = C99),""""))"),"")</f>
        <v/>
      </c>
      <c r="I99" s="64" t="str">
        <f>IFERROR(__xludf.DUMMYFUNCTION("IFS(OR(COUNTIF(Info!$A$22:A99,C99)&gt;0,C99="""",H99&lt;&gt;""""),"""",
AND(E99&lt;&gt;1,E99&lt;&gt;""R1 - A1"",E99&lt;&gt;""R1 - A2"",E99&lt;&gt;""R1 - A3""),"""",
FILTER(Info!$E$2:E99, Info!$A$2:A99 = C99) = ""Yes"",IF(H99="""",FILTER(Info!$L$2:L99, Info!$A$2:A99 = C99),""""),
FILTER(I"&amp;"nfo!$E$2:E99, Info!$A$2:A99 = C99) = ""No"","""")"),"")</f>
        <v/>
      </c>
      <c r="J99" s="64" t="str">
        <f>IFERROR(__xludf.DUMMYFUNCTION("IFS(OR(COUNTIF(Info!$A$22:A99,C99)&gt;0,C99="""",""3x3 MBLD""=C99,""3x3 FMC""=C99),"""",
AND(E99=1,FILTER(Info!$H$2:H99,Info!$A$2:A99 = C99)&lt;=FILTER(Info!$H$2:H99,Info!$A$2:A99=$K$2)),
ROUNDUP((FILTER(Info!$H$2:H99,Info!$A$2:A99 = C99)/FILTER(Info!$H$2:H99,I"&amp;"nfo!$A$2:A99=$K$2))*$I$2),
AND(E99=1,FILTER(Info!$H$2:H99,Info!$A$2:A99 = C99)&gt;FILTER(Info!$H$2:H99,Info!$A$2:A99=$K$2)),""K2 - Error"",
AND(E99=2,FILTER($J$7:indirect(""J""&amp;row()-1),$C$7:indirect(""C""&amp;row()-1)=C99)&lt;=7),""J - Error"",
E99=2,FLOOR(FILTER("&amp;"$J$7:indirect(""J""&amp;row()-1),$C$7:indirect(""C""&amp;row()-1)=C99)*Info!$T$32),
AND(E99=3,FILTER($J$7:indirect(""J""&amp;row()-1),$C$7:indirect(""C""&amp;row()-1)=C99)&lt;=15),""J - Error"",
E99=3,FLOOR(Info!$T$32*FLOOR(FILTER($J$7:indirect(""J""&amp;row()-1),$C$7:indirect("&amp;"""C""&amp;row()-1)=C99)*Info!$T$32)),
AND(E99=""Final"",COUNTIF($C$7:$C$102,C99)=2,FILTER($J$7:indirect(""J""&amp;row()-1),$C$7:indirect(""C""&amp;row()-1)=C99)&lt;=7),""J - Error"",
AND(E99=""Final"",COUNTIF($C$7:$C$102,C99)=2),
MIN(P99,FLOOR(FILTER($J$7:indirect(""J"""&amp;"&amp;row()-1),$C$7:indirect(""C""&amp;row()-1)=C99)*Info!$T$32)),
AND(E99=""Final"",COUNTIF($C$7:$C$102,C99)=3,FILTER($J$7:indirect(""J""&amp;row()-1),$C$7:indirect(""C""&amp;row()-1)=C99)&lt;=15),""J - Error"",
AND(E99=""Final"",COUNTIF($C$7:$C$102,C99)=3),
MIN(P99,FLOOR(I"&amp;"nfo!$T$32*FLOOR(FILTER($J$7:indirect(""J""&amp;row()-1),$C$7:indirect(""C""&amp;row()-1)=C99)*Info!$T$32))),
AND(E99=""Final"",COUNTIF($C$7:$C$102,C99)&gt;=4,FILTER($J$7:indirect(""J""&amp;row()-1),$C$7:indirect(""C""&amp;row()-1)=C99)&lt;=99),""J - Error"",
AND(E99=""Final"","&amp;"COUNTIF($C$7:$C$102,C99)&gt;=4),
MIN(P99,FLOOR(Info!$T$32*FLOOR(Info!$T$32*FLOOR(FILTER($J$7:indirect(""J""&amp;row()-1),$C$7:indirect(""C""&amp;row()-1)=C99)*Info!$T$32)))))"),"")</f>
        <v/>
      </c>
      <c r="K99" s="41" t="str">
        <f>IFERROR(__xludf.DUMMYFUNCTION("IFS(AND(indirect(""D""&amp;row()+2)&lt;&gt;$E$2,indirect(""D""&amp;row()+1)=""""),CONCATENATE(""Tom rad! Kopiera hela rad ""&amp;row()&amp;"" dit""),
AND(indirect(""D""&amp;row()-1)&lt;&gt;""Rum"",indirect(""D""&amp;row()-1)=""""),CONCATENATE(""Tom rad! Kopiera hela rad ""&amp;row()&amp;"" dit""),
"&amp;"C99="""","""",
COUNTIF(Info!$A$22:A99,$K$2)&gt;0,""Det tyckte du var roligt? ( ͡❛ ͜ʖ ͡❛)"",
AND($M$2&gt;=2,$E$4=""""),""Skriv 1:a sidorummets namn i E4"",
AND($M$2&gt;=3,$K$4=""""),""Skriv 2:a sidorummets namn i K4"",
AND($M$2&gt;=4,$Q$4=""""),""Skriv 3:e sidorummets"&amp;" namn i Q4"",
AND($M$2&lt;2,$E$4&lt;&gt;""""),""Finns fler än 2 rum - ta bort i E4"",
AND($M$2&lt;3,$K$4&lt;&gt;""""),""Finns fler än 3 rum - ta bort i K4"",
AND($M$2&lt;4,$Q$4&lt;&gt;""""),""Finns fler än 4 rum - ta bort i Q4"",
OR(AND(D99&lt;&gt;$E$2,D99&lt;&gt;$E$4,D99&lt;&gt;$K$4,D99&lt;&gt;$Q$4),D99="&amp;"""""),CONCATENATE(""Rum: ""&amp;D99&amp;"" finns ej, byt i D""&amp;row()),
AND(indirect(""D""&amp;row()-1)=""Rum"",C99=""""),CONCATENATE(""För att börja: skriv i cell C""&amp;row()),
AND(C99=""Paus"",M99&lt;=0),CONCATENATE(""Skriv pausens längd i M""&amp;row()),
OR(COUNTIF(Info!$A$"&amp;"22:A99,C99)&gt;0,C99=""""),"""",
AND(D99&lt;&gt;$E$2,$O$2=""Yes"",A99=""=time(hh;mm;ss)""),CONCATENATE(""Skriv starttid för ""&amp;C99&amp;"" i A""&amp;row()),
E99=""E - Error"",CONCATENATE(""För många ""&amp;C99&amp;"" rundor!""),
AND(C99&lt;&gt;""3x3 FMC"",C99&lt;&gt;""3x3 MBLD"",E99&lt;&gt;1,E99&lt;&gt;"&amp;"""Final"",IFERROR(FILTER($E$7:indirect(""E""&amp;row()-1),
$E$7:indirect(""E""&amp;row()-1)=E99-1,$C$7:indirect(""C""&amp;row()-1)=C99))=FALSE),CONCATENATE(""Kan ej vara R""&amp;E99&amp;"", saknar R""&amp;(E99-1)),
AND(indirect(""E""&amp;row()-1)&lt;&gt;""Omgång"",IFERROR(FILTER($E$7:indi"&amp;"rect(""E""&amp;row()-1),
$E$7:indirect(""E""&amp;row()-1)=E99,$C$7:indirect(""C""&amp;row()-1)=C99)=E99)=TRUE),CONCATENATE(""Runda ""&amp;E99&amp;"" i ""&amp;C99&amp;"" finns redan""),
AND(C99&lt;&gt;""3x3 BLD"",C99&lt;&gt;""4x4 BLD"",C99&lt;&gt;""5x5 BLD"",C99&lt;&gt;""4x4 / 5x5 BLD"",OR(E99=2,E99=3,E99="&amp;"""Final""),H99&lt;&gt;""""),CONCATENATE(E99&amp;""-rundor brukar ej ha c.t.l.""),
AND(OR(E99=2,E99=3,E99=""Final""),I99&lt;&gt;""""),CONCATENATE(E99&amp;""-rundor brukar ej ha cutoff""),
AND(OR(C99=""3x3 FMC"",C99=""3x3 MBLD""),OR(E99=1,E99=2,E99=3,E99=""Final"")),CONCATENAT"&amp;"E(C99&amp;""s omgång är Rx - Ax""),
AND(C99&lt;&gt;""3x3 MBLD"",C99&lt;&gt;""3x3 FMC"",FILTER(Info!$D$2:D99, Info!$A$2:A99 = C99)&lt;&gt;F99),CONCATENATE(C99&amp;"" måste ha formatet ""&amp;FILTER(Info!$D$2:D99, Info!$A$2:A99 = C99)),
AND(C99=""3x3 MBLD"",OR(F99=""Avg of 5"",F99=""Mea"&amp;"n of 3"")),CONCATENATE(""Ogiltigt format för ""&amp;C99),
AND(C99=""3x3 FMC"",OR(F99=""Avg of 5"",F99=""Best of 3"")),CONCATENATE(""Ogiltigt format för ""&amp;C99),
AND(OR(F99=""Best of 1"",F99=""Best of 2"",F99=""Best of 3""),I99&lt;&gt;""""),CONCATENATE(F99&amp;""-rundor"&amp;" får ej ha cutoff""),
AND(OR(C99=""3x3 FMC"",C99=""3x3 MBLD""),G99&lt;&gt;60),CONCATENATE(C99&amp;"" måste ha time limit: 60""),
AND(OR(C99=""3x3 FMC"",C99=""3x3 MBLD""),H99&lt;&gt;""""),CONCATENATE(C99&amp;"" kan inte ha c.t.l.""),
AND(G99&lt;&gt;"""",H99&lt;&gt;""""),""Välj time limit"&amp;" ELLER c.t.l"",
AND(C99=""6x6 / 7x7"",G99="""",H99=""""),""Sätt time limit (x / y) eller c.t.l (z)"",
AND(G99="""",H99=""""),""Sätt en time limit eller c.t.l"",
AND(OR(C99=""6x6 / 7x7"",C99=""4x4 / 5x5 BLD""),G99&lt;&gt;"""",REGEXMATCH(TO_TEXT(G99),"" / "")=FAL"&amp;"SE),CONCATENATE(""Time limit måste vara x / y""),
AND(H99&lt;&gt;"""",I99&lt;&gt;""""),CONCATENATE(C99&amp;"" brukar ej ha cutoff OCH c.t.l""),
AND(E99=1,H99="""",I99="""",OR(FILTER(Info!$E$2:E99, Info!$A$2:A99 = C99) = ""Yes"",FILTER(Info!$F$2:F99, Info!$A$2:A99 = C99) "&amp;"= ""Yes""),OR(F99=""Avg of 5"",F99=""Mean of 3"")),CONCATENATE(C99&amp;"" bör ha cutoff eller c.t.l""),
AND(C99=""6x6 / 7x7"",I99&lt;&gt;"""",REGEXMATCH(TO_TEXT(I99),"" / "")=FALSE),CONCATENATE(""Cutoff måste vara x / y""),
AND(H99&lt;&gt;"""",ISNUMBER(H99)=FALSE),""C.t."&amp;"l. måste vara positivt tal (x)"",
AND(C99&lt;&gt;""6x6 / 7x7"",I99&lt;&gt;"""",ISNUMBER(I99)=FALSE),""Cutoff måste vara positivt tal (x)"",
AND(H99&lt;&gt;"""",FILTER(Info!$E$2:E99, Info!$A$2:A99 = C99) = ""No"",FILTER(Info!$F$2:F99, Info!$A$2:A99 = C99) = ""No""),CONCATEN"&amp;"ATE(C99&amp;"" brukar inte ha c.t.l.""),
AND(I99&lt;&gt;"""",FILTER(Info!$E$2:E99, Info!$A$2:A99 = C99) = ""No"",FILTER(Info!$F$2:F99, Info!$A$2:A99 = C99) = ""No""),CONCATENATE(C99&amp;"" brukar inte ha cutoff""),
AND(H99="""",FILTER(Info!$F$2:F99, Info!$A$2:A99 = C99"&amp;") = ""Yes""),CONCATENATE(C99&amp;"" brukar ha c.t.l.""),
AND(C99&lt;&gt;""6x6 / 7x7"",C99&lt;&gt;""4x4 / 5x5 BLD"",G99&lt;&gt;"""",ISNUMBER(G99)=FALSE),""Time limit måste vara positivt tal (x)"",
J99=""J - Error"",CONCATENATE(""För få deltagare i R1 för ""&amp;COUNTIF($C$7:$C$102,"&amp;"indirect(""C""&amp;row()))&amp;"" rundor""),
J99=""K2 - Error"",CONCATENATE(C99&amp;"" är mer populär - byt i K2!""),
AND(C99&lt;&gt;""6x6 / 7x7"",C99&lt;&gt;""4x4 / 5x5 BLD"",G99&lt;&gt;"""",I99&lt;&gt;"""",G99&lt;=I99),""Time limit måste vara &gt; cutoff"",
AND(C99&lt;&gt;""6x6 / 7x7"",C99&lt;&gt;""4x4 / 5"&amp;"x5 BLD"",H99&lt;&gt;"""",I99&lt;&gt;"""",H99&lt;=I99),""C.t.l. måste vara &gt; cutoff"",
AND(C99&lt;&gt;""3x3 FMC"",C99&lt;&gt;""3x3 MBLD"",J99=""""),CONCATENATE(""Fyll i antal deltagare i J""&amp;row()),
AND(C99="""",OR(E99&lt;&gt;"""",F99&lt;&gt;"""",G99&lt;&gt;"""",H99&lt;&gt;"""",I99&lt;&gt;"""",J99&lt;&gt;"""")),""Skri"&amp;"v ALLTID gren / aktivitet först"",
AND(I99="""",H99="""",J99&lt;&gt;""""),J99,
OR(""3x3 FMC""=C99,""3x3 MBLD""=C99),J99,
AND(I99&lt;&gt;"""",""6x6 / 7x7""=C99),
IFS(ArrayFormula(SUM(IFERROR(SPLIT(I99,"" / ""))))&lt;(Info!$J$6+Info!$J$7)*2/3,CONCATENATE(""Höj helst cutof"&amp;"fs i ""&amp;C99),
ArrayFormula(SUM(IFERROR(SPLIT(I99,"" / ""))))&lt;=(Info!$J$6+Info!$J$7),ROUNDUP(J99*Info!$J$22),
ArrayFormula(SUM(IFERROR(SPLIT(I99,"" / ""))))&lt;=Info!$J$6+Info!$J$7,ROUNDUP(J99*Info!$K$22),
ArrayFormula(SUM(IFERROR(SPLIT(I99,"" / ""))))&lt;=Info!"&amp;"$K$6+Info!$K$7,ROUNDUP(J99*Info!L$22),
ArrayFormula(SUM(IFERROR(SPLIT(I99,"" / ""))))&lt;=Info!$L$6+Info!$L$7,ROUNDUP(J99*Info!$M$22),
ArrayFormula(SUM(IFERROR(SPLIT(I99,"" / ""))))&lt;=Info!$M$6+Info!$M$7,ROUNDUP(J99*Info!$N$22),
ArrayFormula(SUM(IFERROR(SPLIT"&amp;"(I99,"" / ""))))&lt;=(Info!$N$6+Info!$N$7)*3/2,ROUNDUP(J99*Info!$J$26),
ArrayFormula(SUM(IFERROR(SPLIT(I99,"" / ""))))&gt;(Info!$N$6+Info!$N$7)*3/2,CONCATENATE(""Sänk helst cutoffs i ""&amp;C99)),
AND(I99&lt;&gt;"""",FILTER(Info!$E$2:E99, Info!$A$2:A99 = C99) = ""Yes""),"&amp;"
IFS(I99&lt;FILTER(Info!$J$2:J99, Info!$A$2:A99 = C99)*2/3,CONCATENATE(""Höj helst cutoff i ""&amp;C99),
I99&lt;=FILTER(Info!$J$2:J99, Info!$A$2:A99 = C99),ROUNDUP(J99*Info!$J$22),
I99&lt;=FILTER(Info!$K$2:K99, Info!$A$2:A99 = C99),ROUNDUP(J99*Info!$K$22),
I99&lt;=FILTER"&amp;"(Info!$L$2:L99, Info!$A$2:A99 = C99),ROUNDUP(J99*Info!L$22),
I99&lt;=FILTER(Info!$M$2:M99, Info!$A$2:A99 = C99),ROUNDUP(J99*Info!$M$22),
I99&lt;=FILTER(Info!$N$2:N99, Info!$A$2:A99 = C99),ROUNDUP(J99*Info!$N$22),
I99&lt;=FILTER(Info!$N$2:N99, Info!$A$2:A99 = C99)*"&amp;"3/2,ROUNDUP(J99*Info!$J$26),
I99&gt;FILTER(Info!$N$2:N99, Info!$A$2:A99 = C99)*3/2,CONCATENATE(""Sänk helst cutoff i ""&amp;C99)),
AND(H99&lt;&gt;"""",""6x6 / 7x7""=C99),
IFS(H99/3&lt;=(Info!$J$6+Info!$J$7)*2/3,""Höj helst cumulative time limit"",
H99/3&lt;=Info!$J$6+Info!$"&amp;"J$7,ROUNDUP(J99*Info!$J$24),
H99/3&lt;=Info!$K$6+Info!$K$7,ROUNDUP(J99*Info!$K$24),
H99/3&lt;=Info!$L$6+Info!$L$7,ROUNDUP(J99*Info!L$24),
H99/3&lt;=Info!$M$6+Info!$M$7,ROUNDUP(J99*Info!$M$24),
H99/3&lt;=Info!$N$6+Info!$N$7,ROUNDUP(J99*Info!$N$24),
H99/3&lt;=(Info!$N$6+I"&amp;"nfo!$N$7)*3/2,ROUNDUP(J99*Info!$L$26),
H99/3&gt;(Info!$J$6+Info!$J$7)*3/2,""Sänk helst cumulative time limit""),
AND(H99&lt;&gt;"""",FILTER(Info!$F$2:F99, Info!$A$2:A99 = C99) = ""Yes""),
IFS(H99&lt;=FILTER(Info!$J$2:J99, Info!$A$2:A99 = C99)*2/3,CONCATENATE(""Höj he"&amp;"lst c.t.l. i ""&amp;C99),
H99&lt;=FILTER(Info!$J$2:J99, Info!$A$2:A99 = C99),ROUNDUP(J99*Info!$J$24),
H99&lt;=FILTER(Info!$K$2:K99, Info!$A$2:A99 = C99),ROUNDUP(J99*Info!$K$24),
H99&lt;=FILTER(Info!$L$2:L99, Info!$A$2:A99 = C99),ROUNDUP(J99*Info!L$24),
H99&lt;=FILTER(Inf"&amp;"o!$M$2:M99, Info!$A$2:A99 = C99),ROUNDUP(J99*Info!$M$24),
H99&lt;=FILTER(Info!$N$2:N99, Info!$A$2:A99 = C99),ROUNDUP(J99*Info!$N$24),
H99&lt;=FILTER(Info!$N$2:N99, Info!$A$2:A99 = C99)*3/2,ROUNDUP(J99*Info!$L$26),
H99&gt;FILTER(Info!$N$2:N99, Info!$A$2:A99 = C99)*"&amp;"3/2,CONCATENATE(""Sänk helst c.t.l. i ""&amp;C99)),
AND(H99&lt;&gt;"""",FILTER(Info!$F$2:F99, Info!$A$2:A99 = C99) = ""No""),
IFS(H99/AA99&lt;=FILTER(Info!$J$2:J99, Info!$A$2:A99 = C99)*2/3,CONCATENATE(""Höj helst c.t.l. i ""&amp;C99),
H99/AA99&lt;=FILTER(Info!$J$2:J99, Info"&amp;"!$A$2:A99 = C99),ROUNDUP(J99*Info!$J$24),
H99/AA99&lt;=FILTER(Info!$K$2:K99, Info!$A$2:A99 = C99),ROUNDUP(J99*Info!$K$24),
H99/AA99&lt;=FILTER(Info!$L$2:L99, Info!$A$2:A99 = C99),ROUNDUP(J99*Info!L$24),
H99/AA99&lt;=FILTER(Info!$M$2:M99, Info!$A$2:A99 = C99),ROUND"&amp;"UP(J99*Info!$M$24),
H99/AA99&lt;=FILTER(Info!$N$2:N99, Info!$A$2:A99 = C99),ROUNDUP(J99*Info!$N$24),
H99/AA99&lt;=FILTER(Info!$N$2:N99, Info!$A$2:A99 = C99)*3/2,ROUNDUP(J99*Info!$L$26),
H99/AA99&gt;FILTER(Info!$N$2:N99, Info!$A$2:A99 = C99)*3/2,CONCATENATE(""Sänk "&amp;"helst c.t.l. i ""&amp;C99)),
AND(I99="""",H99&lt;&gt;"""",J99&lt;&gt;""""),ROUNDUP(J99*Info!$T$29),
AND(I99&lt;&gt;"""",H99="""",J99&lt;&gt;""""),ROUNDUP(J99*Info!$T$26))"),"")</f>
        <v/>
      </c>
      <c r="L99" s="42">
        <f>IFERROR(__xludf.DUMMYFUNCTION("IFS(C99="""",0,
C99=""3x3 FMC"",Info!$B$9*N99+M99, C99=""3x3 MBLD"",Info!$B$18*N99+M99,
COUNTIF(Info!$A$22:A99,C99)&gt;0,FILTER(Info!$B$22:B99,Info!$A$22:A99=C99)+M99,
AND(C99&lt;&gt;"""",E99=""""),CONCATENATE(""Fyll i E""&amp;row()),
AND(C99&lt;&gt;"""",E99&lt;&gt;"""",E99&lt;&gt;1,E9"&amp;"9&lt;&gt;2,E99&lt;&gt;3,E99&lt;&gt;""Final""),CONCATENATE(""Fel format på E""&amp;row()),
K99=CONCATENATE(""Runda ""&amp;E99&amp;"" i ""&amp;C99&amp;"" finns redan""),CONCATENATE(""Fel i E""&amp;row()),
AND(C99&lt;&gt;"""",F99=""""),CONCATENATE(""Fyll i F""&amp;row()),
K99=CONCATENATE(C99&amp;"" måste ha forma"&amp;"tet ""&amp;FILTER(Info!$D$2:D99, Info!$A$2:A99 = C99)),CONCATENATE(""Fel format på F""&amp;row()),
AND(C99&lt;&gt;"""",D99=1,H99="""",FILTER(Info!$F$2:F99, Info!$A$2:A99 = C99) = ""Yes""),CONCATENATE(""Fyll i H""&amp;row()),
AND(C99&lt;&gt;"""",D99=1,I99="""",FILTER(Info!$E$2:E9"&amp;"9, Info!$A$2:A99 = C99) = ""Yes""),CONCATENATE(""Fyll i I""&amp;row()),
AND(C99&lt;&gt;"""",J99=""""),CONCATENATE(""Fyll i J""&amp;row()),
AND(C99&lt;&gt;"""",K99="""",OR(H99&lt;&gt;"""",I99&lt;&gt;"""")),CONCATENATE(""Fyll i K""&amp;row()),
AND(C99&lt;&gt;"""",K99=""""),CONCATENATE(""Skriv samma"&amp;" i K""&amp;row()&amp;"" som i J""&amp;row()),
AND(OR(C99=""4x4 BLD"",C99=""5x5 BLD"",C99=""4x4 / 5x5 BLD"")=TRUE,V99&lt;=P99),
MROUND(H99*(Info!$T$20-((Info!$T$20-1)/2)*(1-V99/P99))*(1+((J99/K99)-1)*(1-Info!$J$24))*N99+(Info!$T$11/2)+(N99*Info!$T$11)+(N99*Info!$T$14*(O9"&amp;"9-1)),0.01)+M99,
AND(OR(C99=""4x4 BLD"",C99=""5x5 BLD"",C99=""4x4 / 5x5 BLD"")=TRUE,V99&gt;P99),
MROUND((((J99*Z99+K99*(AA99-Z99))*(H99*Info!$T$20/AA99))/X99)*(1+((J99/K99)-1)*(1-Info!$J$24))*(1+(X99-Info!$T$8)/100)+(Info!$T$11/2)+(N99*Info!$T$11)+(N99*Info!"&amp;"$T$14*(O99-1)),0.01)+M99,
AND(C99=""3x3 BLD"",V99&lt;=P99),
MROUND(H99*(Info!$T$23-((Info!$T$23-1)/2)*(1-V99/P99))*(1+((J99/K99)-1)*(1-Info!$J$24))*N99+(Info!$T$11/2)+(N99*Info!$T$11)+(N99*Info!$T$14*(O99-1)),0.01)+M99,
AND(C99=""3x3 BLD"",V99&gt;P99),
MROUND(("&amp;"((J99*Z99+K99*(AA99-Z99))*(H99*Info!$T$23/AA99))/X99)*(1+((J99/K99)-1)*(1-Info!$J$24))*(1+(X99-Info!$T$8)/100)+(Info!$T$11/2)+(N99*Info!$T$11)+(N99*Info!$T$14*(O99-1)),0.01)+M99,
E99=1,MROUND((((J99*Z99+K99*(AA99-Z99))*Y99)/X99)*(1+(X99-Info!$T$8)/100)+(N"&amp;"99*Info!$T$11)+(N99*Info!$T$14*(O99-1)),0.01)+M99,
AND(E99=""Final"",N99=1,FILTER(Info!$G$2:$G$20,Info!$A$2:$A$20=C99)=""Mycket svår""),
MROUND((((J99*Z99+K99*(AA99-Z99))*(Y99*Info!$T$38))/X99)*(1+(X99-Info!$T$8)/100)+(N99*Info!$T$11)+(N99*Info!$T$14*(O99"&amp;"-1)),0.01)+M99,
AND(E99=""Final"",N99=1,FILTER(Info!$G$2:$G$20,Info!$A$2:$A$20=C99)=""Svår""),
MROUND((((J99*Z99+K99*(AA99-Z99))*(Y99*Info!$T$35))/X99)*(1+(X99-Info!$T$8)/100)+(N99*Info!$T$11)+(N99*Info!$T$14*(O99-1)),0.01)+M99,
E99=""Final"",MROUND((((J9"&amp;"9*Z99+K99*(AA99-Z99))*(Y99*Info!$T$5))/X99)*(1+(X99-Info!$T$8)/100)+(N99*Info!$T$11)+(N99*Info!$T$14*(O99-1)),0.01)+M99,
OR(E99=2,E99=3),MROUND((((J99*Z99+K99*(AA99-Z99))*(Y99*Info!$T$2))/X99)*(1+(X99-Info!$T$8)/100)+(N99*Info!$T$11)+(N99*Info!$T$14*(O99-"&amp;"1)),0.01)+M99)"),0.0)</f>
        <v>0</v>
      </c>
      <c r="M99" s="43">
        <f t="shared" si="9"/>
        <v>0</v>
      </c>
      <c r="N99" s="43" t="str">
        <f>IFS(OR(COUNTIF(Info!$A$22:A99,C99)&gt;0,C99=""),"",
OR(C99="4x4 BLD",C99="5x5 BLD",C99="3x3 MBLD",C99="3x3 FMC",C99="4x4 / 5x5 BLD"),1,
AND(E99="Final",Q99="Yes",MAX(1,ROUNDUP(J99/P99))&gt;1),MAX(2,ROUNDUP(J99/P99)),
AND(E99="Final",Q99="No",MAX(1,ROUNDUP(J99/((P99*2)+2.625-Y99*1.5)))&gt;1),MAX(2,ROUNDUP(J99/((P99*2)+2.625-Y99*1.5))),
E99="Final",1,
Q99="Yes",MAX(2,ROUNDUP(J99/P99)),
TRUE,MAX(2,ROUNDUP(J99/((P99*2)+2.625-Y99*1.5))))</f>
        <v/>
      </c>
      <c r="O99" s="43" t="str">
        <f>IFS(OR(COUNTIF(Info!$A$22:A99,C99)&gt;0,C99=""),"",
OR("3x3 MBLD"=C99,"3x3 FMC"=C99)=TRUE,"",
D99=$E$4,$G$6,D99=$K$4,$M$6,D99=$Q$4,$S$6,D99=$W$4,$Y$6,
TRUE,$S$2)</f>
        <v/>
      </c>
      <c r="P99" s="43" t="str">
        <f>IFS(OR(COUNTIF(Info!$A$22:A99,C99)&gt;0,C99=""),"",
OR("3x3 MBLD"=C99,"3x3 FMC"=C99)=TRUE,"",
D99=$E$4,$E$6,D99=$K$4,$K$6,D99=$Q$4,$Q$6,D99=$W$4,$W$6,
TRUE,$Q$2)</f>
        <v/>
      </c>
      <c r="Q99" s="44" t="str">
        <f>IFS(OR(COUNTIF(Info!$A$22:A99,C99)&gt;0,C99=""),"",
OR("3x3 MBLD"=C99,"3x3 FMC"=C99)=TRUE,"",
D99=$E$4,$I$6,D99=$K$4,$O$6,D99=$Q$4,$U$6,D99=$W$4,$AA$6,
TRUE,$U$2)</f>
        <v/>
      </c>
      <c r="R99" s="65" t="str">
        <f>IFERROR(__xludf.DUMMYFUNCTION("IF(C99="""","""",IFERROR(FILTER(Info!$B$22:B99,Info!$A$22:A99=C99)+M99,""?""))"),"")</f>
        <v/>
      </c>
      <c r="S99" s="66" t="str">
        <f>IFS(OR(COUNTIF(Info!$A$22:A99,C99)&gt;0,C99=""),"",
AND(H99="",I99=""),J99,
TRUE,"?")</f>
        <v/>
      </c>
      <c r="T99" s="65" t="str">
        <f>IFS(OR(COUNTIF(Info!$A$22:A99,C99)&gt;0,C99=""),"",
AND(L99&lt;&gt;0,OR(R99="?",R99="")),"Fyll i R-kolumnen",
OR(C99="3x3 FMC",C99="3x3 MBLD"),R99,
AND(L99&lt;&gt;0,OR(S99="?",S99="")),"Fyll i S-kolumnen",
OR(COUNTIF(Info!$A$22:A99,C99)&gt;0,C99=""),"",
TRUE,Y99*R99/L99)</f>
        <v/>
      </c>
      <c r="U99" s="65"/>
      <c r="V99" s="67" t="str">
        <f>IFS(OR(COUNTIF(Info!$A$22:A99,C99)&gt;0,C99=""),"",
OR("3x3 MBLD"=C99,"3x3 FMC"=C99)=TRUE,"",
TRUE,MROUND((J99/N99),0.01))</f>
        <v/>
      </c>
      <c r="W99" s="68" t="str">
        <f>IFS(OR(COUNTIF(Info!$A$22:A99,C99)&gt;0,C99=""),"",
TRUE,L99/N99)</f>
        <v/>
      </c>
      <c r="X99" s="67" t="str">
        <f>IFS(OR(COUNTIF(Info!$A$22:A99,C99)&gt;0,C99=""),"",
OR("3x3 MBLD"=C99,"3x3 FMC"=C99)=TRUE,"",
OR(C99="4x4 BLD",C99="5x5 BLD",C99="4x4 / 5x5 BLD",AND(C99="3x3 BLD",H99&lt;&gt;""))=TRUE,MIN(V99,P99),
TRUE,MIN(P99,V99,MROUND(((V99*2/3)+((Y99-1.625)/2)),0.01)))</f>
        <v/>
      </c>
      <c r="Y99" s="68" t="str">
        <f>IFERROR(__xludf.DUMMYFUNCTION("IFS(OR(COUNTIF(Info!$A$22:A99,C99)&gt;0,C99=""""),"""",
FILTER(Info!$F$2:F99, Info!$A$2:A99 = C99) = ""Yes"",H99/AA99,
""3x3 FMC""=C99,Info!$B$9,""3x3 MBLD""=C99,Info!$B$18,
AND(E99=1,I99="""",H99="""",Q99=""No"",G99&gt;SUMIF(Info!$A$2:A99,C99,Info!$B$2:B99)*1."&amp;"5),
MIN(SUMIF(Info!$A$2:A99,C99,Info!$B$2:B99)*1.1,SUMIF(Info!$A$2:A99,C99,Info!$B$2:B99)*(1.15-(0.15*(SUMIF(Info!$A$2:A99,C99,Info!$B$2:B99)*1.5)/G99))),
AND(E99=1,I99="""",H99="""",Q99=""Yes"",G99&gt;SUMIF(Info!$A$2:A99,C99,Info!$C$2:C99)*1.5),
MIN(SUMIF(I"&amp;"nfo!$A$2:A99,C99,Info!$C$2:C99)*1.1,SUMIF(Info!$A$2:A99,C99,Info!$C$2:C99)*(1.15-(0.15*(SUMIF(Info!$A$2:A99,C99,Info!$C$2:C99)*1.5)/G99))),
Q99=""No"",SUMIF(Info!$A$2:A99,C99,Info!$B$2:B99),
Q99=""Yes"",SUMIF(Info!$A$2:A99,C99,Info!$C$2:C99))"),"")</f>
        <v/>
      </c>
      <c r="Z99" s="67" t="str">
        <f>IFS(OR(COUNTIF(Info!$A$22:A99,C99)&gt;0,C99=""),"",
AND(OR("3x3 FMC"=C99,"3x3 MBLD"=C99),I99&lt;&gt;""),1,
AND(OR(H99&lt;&gt;"",I99&lt;&gt;""),F99="Avg of 5"),2,
F99="Avg of 5",AA99,
AND(OR(H99&lt;&gt;"",I99&lt;&gt;""),F99="Mean of 3",C99="6x6 / 7x7"),2,
AND(OR(H99&lt;&gt;"",I99&lt;&gt;""),F99="Mean of 3"),1,
F99="Mean of 3",AA99,
AND(OR(H99&lt;&gt;"",I99&lt;&gt;""),F99="Best of 3",C99="4x4 / 5x5 BLD"),2,
AND(OR(H99&lt;&gt;"",I99&lt;&gt;""),F99="Best of 3"),1,
F99="Best of 2",AA99,
F99="Best of 1",AA99)</f>
        <v/>
      </c>
      <c r="AA99" s="67" t="str">
        <f>IFS(OR(COUNTIF(Info!$A$22:A99,C99)&gt;0,C99=""),"",
AND(OR("3x3 MBLD"=C99,"3x3 FMC"=C99),F99="Best of 1"=TRUE),1,
AND(OR("3x3 MBLD"=C99,"3x3 FMC"=C99),F99="Best of 2"=TRUE),2,
AND(OR("3x3 MBLD"=C99,"3x3 FMC"=C99),OR(F99="Best of 3",F99="Mean of 3")=TRUE),3,
AND(F99="Mean of 3",C99="6x6 / 7x7"),6,
AND(F99="Best of 3",C99="4x4 / 5x5 BLD"),6,
F99="Avg of 5",5,F99="Mean of 3",3,F99="Best of 3",3,F99="Best of 2",2,F99="Best of 1",1)</f>
        <v/>
      </c>
      <c r="AB99" s="69"/>
    </row>
    <row r="100" ht="15.75" customHeight="1">
      <c r="A100" s="62">
        <f>IFERROR(__xludf.DUMMYFUNCTION("IFS(indirect(""A""&amp;row()-1)=""Start"",TIME(indirect(""A""&amp;row()-2),indirect(""B""&amp;row()-2),0),
$O$2=""No"",TIME(0,($A$6*60+$B$6)+CEILING(SUM($L$7:indirect(""L""&amp;row()-1)),5),0),
D100=$E$2,TIME(0,($A$6*60+$B$6)+CEILING(SUM(IFERROR(FILTER($L$7:indirect(""L"&amp;"""&amp;row()-1),REGEXMATCH($D$7:indirect(""D""&amp;row()-1),$E$2)),0)),5),0),
TRUE,""=time(hh;mm;ss)"")"),0.3541666666666665)</f>
        <v>0.3541666667</v>
      </c>
      <c r="B100" s="63">
        <f>IFERROR(__xludf.DUMMYFUNCTION("IFS($O$2=""No"",TIME(0,($A$6*60+$B$6)+CEILING(SUM($L$7:indirect(""L""&amp;row())),5),0),
D100=$E$2,TIME(0,($A$6*60+$B$6)+CEILING(SUM(FILTER($L$7:indirect(""L""&amp;row()),REGEXMATCH($D$7:indirect(""D""&amp;row()),$E$2))),5),0),
A100=""=time(hh;mm;ss)"",CONCATENATE("""&amp;"Skriv tid i A""&amp;row()),
AND(A100&lt;&gt;"""",A100&lt;&gt;""=time(hh;mm;ss)""),A100+TIME(0,CEILING(indirect(""L""&amp;row()),5),0))"),0.3541666666666665)</f>
        <v>0.3541666667</v>
      </c>
      <c r="C100" s="37"/>
      <c r="D100" s="64" t="str">
        <f t="shared" si="10"/>
        <v>Stora salen</v>
      </c>
      <c r="E100" s="64" t="str">
        <f>IFERROR(__xludf.DUMMYFUNCTION("IFS(COUNTIF(Info!$A$22:A100,C100)&gt;0,"""",
AND(OR(""3x3 FMC""=C100,""3x3 MBLD""=C100),COUNTIF($C$7:indirect(""C""&amp;row()),indirect(""C""&amp;row()))&gt;=13),""E - Error"",
AND(OR(""3x3 FMC""=C100,""3x3 MBLD""=C100),COUNTIF($C$7:indirect(""C""&amp;row()),indirect(""C"""&amp;"&amp;row()))=12),""Final - A3"",
AND(OR(""3x3 FMC""=C100,""3x3 MBLD""=C100),COUNTIF($C$7:indirect(""C""&amp;row()),indirect(""C""&amp;row()))=11),""Final - A2"",
AND(OR(""3x3 FMC""=C100,""3x3 MBLD""=C100),COUNTIF($C$7:indirect(""C""&amp;row()),indirect(""C""&amp;row()))=10),"&amp;"""Final - A1"",
AND(OR(""3x3 FMC""=C100,""3x3 MBLD""=C100),COUNTIF($C$7:indirect(""C""&amp;row()),indirect(""C""&amp;row()))=9,
COUNTIF($C$7:$C$102,indirect(""C""&amp;row()))&gt;9),""R3 - A3"",
AND(OR(""3x3 FMC""=C100,""3x3 MBLD""=C100),COUNTIF($C$7:indirect(""C""&amp;row()"&amp;"),indirect(""C""&amp;row()))=9,
COUNTIF($C$7:$C$102,indirect(""C""&amp;row()))&lt;=9),""Final - A3"",
AND(OR(""3x3 FMC""=C100,""3x3 MBLD""=C100),COUNTIF($C$7:indirect(""C""&amp;row()),indirect(""C""&amp;row()))=8,
COUNTIF($C$7:$C$102,indirect(""C""&amp;row()))&gt;9),""R3 - A2"",
A"&amp;"ND(OR(""3x3 FMC""=C100,""3x3 MBLD""=C100),COUNTIF($C$7:indirect(""C""&amp;row()),indirect(""C""&amp;row()))=8,
COUNTIF($C$7:$C$102,indirect(""C""&amp;row()))&lt;=9),""Final - A2"",
AND(OR(""3x3 FMC""=C100,""3x3 MBLD""=C100),COUNTIF($C$7:indirect(""C""&amp;row()),indirect("""&amp;"C""&amp;row()))=7,
COUNTIF($C$7:$C$102,indirect(""C""&amp;row()))&gt;9),""R3 - A1"",
AND(OR(""3x3 FMC""=C100,""3x3 MBLD""=C100),COUNTIF($C$7:indirect(""C""&amp;row()),indirect(""C""&amp;row()))=7,
COUNTIF($C$7:$C$102,indirect(""C""&amp;row()))&lt;=9),""Final - A1"",
AND(OR(""3x3 F"&amp;"MC""=C100,""3x3 MBLD""=C100),COUNTIF($C$7:indirect(""C""&amp;row()),indirect(""C""&amp;row()))=6,
COUNTIF($C$7:$C$102,indirect(""C""&amp;row()))&gt;6),""R2 - A3"",
AND(OR(""3x3 FMC""=C100,""3x3 MBLD""=C100),COUNTIF($C$7:indirect(""C""&amp;row()),indirect(""C""&amp;row()))=6,
CO"&amp;"UNTIF($C$7:$C$102,indirect(""C""&amp;row()))&lt;=6),""Final - A3"",
AND(OR(""3x3 FMC""=C100,""3x3 MBLD""=C100),COUNTIF($C$7:indirect(""C""&amp;row()),indirect(""C""&amp;row()))=5,
COUNTIF($C$7:$C$102,indirect(""C""&amp;row()))&gt;6),""R2 - A2"",
AND(OR(""3x3 FMC""=C100,""3x3 M"&amp;"BLD""=C100),COUNTIF($C$7:indirect(""C""&amp;row()),indirect(""C""&amp;row()))=5,
COUNTIF($C$7:$C$102,indirect(""C""&amp;row()))&lt;=6),""Final - A2"",
AND(OR(""3x3 FMC""=C100,""3x3 MBLD""=C100),COUNTIF($C$7:indirect(""C""&amp;row()),indirect(""C""&amp;row()))=4,
COUNTIF($C$7:$C"&amp;"$102,indirect(""C""&amp;row()))&gt;6),""R2 - A1"",
AND(OR(""3x3 FMC""=C100,""3x3 MBLD""=C100),COUNTIF($C$7:indirect(""C""&amp;row()),indirect(""C""&amp;row()))=4,
COUNTIF($C$7:$C$102,indirect(""C""&amp;row()))&lt;=6),""Final - A1"",
AND(OR(""3x3 FMC""=C100,""3x3 MBLD""=C100),C"&amp;"OUNTIF($C$7:indirect(""C""&amp;row()),indirect(""C""&amp;row()))=3),""R1 - A3"",
AND(OR(""3x3 FMC""=C100,""3x3 MBLD""=C100),COUNTIF($C$7:indirect(""C""&amp;row()),indirect(""C""&amp;row()))=2),""R1 - A2"",
AND(OR(""3x3 FMC""=C100,""3x3 MBLD""=C100),COUNTIF($C$7:indirect("&amp;"""C""&amp;row()),indirect(""C""&amp;row()))=1),""R1 - A1"",
COUNTIF($C$7:indirect(""C""&amp;row()),indirect(""C""&amp;row()))&gt;4,""E - Error"",
COUNTIF($C$7:indirect(""C""&amp;row()),indirect(""C""&amp;row()))=4,""Final"",
AND(COUNTIF($C$7:indirect(""C""&amp;row()),indirect(""C""&amp;row"&amp;"()))=3,COUNTIF($C$7:$C$102,indirect(""C""&amp;row()))&gt;COUNTIF($C$7:indirect(""C""&amp;row()),indirect(""C""&amp;row()))),3,
AND(COUNTIF($C$7:indirect(""C""&amp;row()),indirect(""C""&amp;row()))=3,COUNTIF($C$7:$C$102,indirect(""C""&amp;row()))=COUNTIF($C$7:indirect(""C""&amp;row()),i"&amp;"ndirect(""C""&amp;row())),COUNTIF($C$7:indirect(""C""&amp;row()),indirect(""C""&amp;row()))&lt;FILTER(Info!$I$2:I100, Info!$A$2:A100 = C100),ROUNDUP((FILTER(Info!$H$2:H100,Info!$A$2:A100=C100)/FILTER(Info!$H$2:H100,Info!$A$2:A100=$K$2))*$I$2)&gt;99),3,
AND(COUNTIF($C$7:ind"&amp;"irect(""C""&amp;row()),indirect(""C""&amp;row()))=3,COUNTIF($C$7:$C$102,indirect(""C""&amp;row()))=COUNTIF($C$7:indirect(""C""&amp;row()),indirect(""C""&amp;row()))),""Final"",
AND(COUNTIF($C$7:indirect(""C""&amp;row()),indirect(""C""&amp;row()))=2,COUNTIF($C$7:$C$102,indirect(""C"""&amp;"&amp;row()))&gt;COUNTIF($C$7:indirect(""C""&amp;row()),indirect(""C""&amp;row()))),2,
AND(COUNTIF($C$7:indirect(""C""&amp;row()),indirect(""C""&amp;row()))=2,COUNTIF($C$7:$C$102,indirect(""C""&amp;row()))=COUNTIF($C$7:indirect(""C""&amp;row()),indirect(""C""&amp;row())),COUNTIF($C$7:indire"&amp;"ct(""C""&amp;row()),indirect(""C""&amp;row()))&lt;FILTER(Info!$I$2:I100, Info!$A$2:A100 = C100),ROUNDUP((FILTER(Info!$H$2:H100,Info!$A$2:A100=C100)/FILTER(Info!$H$2:H100,Info!$A$2:A100=$K$2))*$I$2)&gt;15),2,
AND(COUNTIF($C$7:indirect(""C""&amp;row()),indirect(""C""&amp;row()))"&amp;"=2,COUNTIF($C$7:$C$102,indirect(""C""&amp;row()))=COUNTIF($C$7:indirect(""C""&amp;row()),indirect(""C""&amp;row()))),""Final"",
COUNTIF($C$7:indirect(""C""&amp;row()),indirect(""C""&amp;row()))=1,1,
COUNTIF($C$7:indirect(""C""&amp;row()),indirect(""C""&amp;row()))=0,"""")"),"")</f>
        <v/>
      </c>
      <c r="F100" s="64" t="str">
        <f>IFERROR(__xludf.DUMMYFUNCTION("IFS(C100="""","""",
AND(C100=""3x3 FMC"",MOD(COUNTIF($C$7:indirect(""C""&amp;row()),indirect(""C""&amp;row())),3)=0),""Mean of 3"",
AND(C100=""3x3 MBLD"",MOD(COUNTIF($C$7:indirect(""C""&amp;row()),indirect(""C""&amp;row())),3)=0),""Best of 3"",
AND(C100=""3x3 FMC"",MOD(C"&amp;"OUNTIF($C$7:indirect(""C""&amp;row()),indirect(""C""&amp;row())),3)=2,
COUNTIF($C$7:$C$102,indirect(""C""&amp;row()))&lt;=COUNTIF($C$7:indirect(""C""&amp;row()),indirect(""C""&amp;row()))),""Best of 2"",
AND(C100=""3x3 FMC"",MOD(COUNTIF($C$7:indirect(""C""&amp;row()),indirect(""C"""&amp;"&amp;row())),3)=2,
COUNTIF($C$7:$C$102,indirect(""C""&amp;row()))&gt;COUNTIF($C$7:indirect(""C""&amp;row()),indirect(""C""&amp;row()))),""Mean of 3"",
AND(C100=""3x3 MBLD"",MOD(COUNTIF($C$7:indirect(""C""&amp;row()),indirect(""C""&amp;row())),3)=2,
COUNTIF($C$7:$C$102,indirect(""C"&amp;"""&amp;row()))&lt;=COUNTIF($C$7:indirect(""C""&amp;row()),indirect(""C""&amp;row()))),""Best of 2"",
AND(C100=""3x3 MBLD"",MOD(COUNTIF($C$7:indirect(""C""&amp;row()),indirect(""C""&amp;row())),3)=2,
COUNTIF($C$7:$C$102,indirect(""C""&amp;row()))&gt;COUNTIF($C$7:indirect(""C""&amp;row()),i"&amp;"ndirect(""C""&amp;row()))),""Best of 3"",
AND(C100=""3x3 FMC"",MOD(COUNTIF($C$7:indirect(""C""&amp;row()),indirect(""C""&amp;row())),3)=1,
COUNTIF($C$7:$C$102,indirect(""C""&amp;row()))&lt;=COUNTIF($C$7:indirect(""C""&amp;row()),indirect(""C""&amp;row()))),""Best of 1"",
AND(C100="&amp;"""3x3 FMC"",MOD(COUNTIF($C$7:indirect(""C""&amp;row()),indirect(""C""&amp;row())),3)=1,
COUNTIF($C$7:$C$102,indirect(""C""&amp;row()))=COUNTIF($C$7:indirect(""C""&amp;row()),indirect(""C""&amp;row()))+1),""Best of 2"",
AND(C100=""3x3 FMC"",MOD(COUNTIF($C$7:indirect(""C""&amp;row"&amp;"()),indirect(""C""&amp;row())),3)=1,
COUNTIF($C$7:$C$102,indirect(""C""&amp;row()))&gt;COUNTIF($C$7:indirect(""C""&amp;row()),indirect(""C""&amp;row()))),""Mean of 3"",
AND(C100=""3x3 MBLD"",MOD(COUNTIF($C$7:indirect(""C""&amp;row()),indirect(""C""&amp;row())),3)=1,
COUNTIF($C$7:$C"&amp;"$102,indirect(""C""&amp;row()))&lt;=COUNTIF($C$7:indirect(""C""&amp;row()),indirect(""C""&amp;row()))),""Best of 1"",
AND(C100=""3x3 MBLD"",MOD(COUNTIF($C$7:indirect(""C""&amp;row()),indirect(""C""&amp;row())),3)=1,
COUNTIF($C$7:$C$102,indirect(""C""&amp;row()))=COUNTIF($C$7:indire"&amp;"ct(""C""&amp;row()),indirect(""C""&amp;row()))+1),""Best of 2"",
AND(C100=""3x3 MBLD"",MOD(COUNTIF($C$7:indirect(""C""&amp;row()),indirect(""C""&amp;row())),3)=1,
COUNTIF($C$7:$C$102,indirect(""C""&amp;row()))&gt;COUNTIF($C$7:indirect(""C""&amp;row()),indirect(""C""&amp;row()))),""Best"&amp;" of 3"",
TRUE,(IFERROR(FILTER(Info!$D$2:D100, Info!$A$2:A100 = C100), """")))"),"")</f>
        <v/>
      </c>
      <c r="G100" s="64" t="str">
        <f>IFERROR(__xludf.DUMMYFUNCTION("IFS(OR(COUNTIF(Info!$A$22:A100,C100)&gt;0,C100=""""),"""",
OR(""3x3 MBLD""=C100,""3x3 FMC""=C100),60,
AND(E100=1,FILTER(Info!$F$2:F100, Info!$A$2:A100 = C100) = ""No""),FILTER(Info!$P$2:P100, Info!$A$2:A100 = C100),
AND(E100=2,FILTER(Info!$F$2:F100, Info!$A$"&amp;"2:A100 = C100) = ""No""),FILTER(Info!$Q$2:Q100, Info!$A$2:A100 = C100),
AND(E100=3,FILTER(Info!$F$2:F100, Info!$A$2:A100 = C100) = ""No""),FILTER(Info!$R$2:R100, Info!$A$2:A100 = C100),
AND(E100=""Final"",FILTER(Info!$F$2:F100, Info!$A$2:A100 = C100) = """&amp;"No""),FILTER(Info!$S$2:S100, Info!$A$2:A100 = C100),
FILTER(Info!$F$2:F100, Info!$A$2:A100 = C100) = ""Yes"","""")"),"")</f>
        <v/>
      </c>
      <c r="H100" s="64" t="str">
        <f>IFERROR(__xludf.DUMMYFUNCTION("IFS(OR(COUNTIF(Info!$A$22:A100,C100)&gt;0,C100=""""),"""",
OR(""3x3 MBLD""=C100,""3x3 FMC""=C100)=TRUE,"""",
FILTER(Info!$F$2:F100, Info!$A$2:A100 = C100) = ""Yes"",FILTER(Info!$O$2:O100, Info!$A$2:A100 = C100),
FILTER(Info!$F$2:F100, Info!$A$2:A100 = C100) "&amp;"= ""No"",IF(G100="""",FILTER(Info!$O$2:O100, Info!$A$2:A100 = C100),""""))"),"")</f>
        <v/>
      </c>
      <c r="I100" s="64" t="str">
        <f>IFERROR(__xludf.DUMMYFUNCTION("IFS(OR(COUNTIF(Info!$A$22:A100,C100)&gt;0,C100="""",H100&lt;&gt;""""),"""",
AND(E100&lt;&gt;1,E100&lt;&gt;""R1 - A1"",E100&lt;&gt;""R1 - A2"",E100&lt;&gt;""R1 - A3""),"""",
FILTER(Info!$E$2:E100, Info!$A$2:A100 = C100) = ""Yes"",IF(H100="""",FILTER(Info!$L$2:L100, Info!$A$2:A100 = C100),"&amp;"""""),
FILTER(Info!$E$2:E100, Info!$A$2:A100 = C100) = ""No"","""")"),"")</f>
        <v/>
      </c>
      <c r="J100" s="64" t="str">
        <f>IFERROR(__xludf.DUMMYFUNCTION("IFS(OR(COUNTIF(Info!$A$22:A100,C100)&gt;0,C100="""",""3x3 MBLD""=C100,""3x3 FMC""=C100),"""",
AND(E100=1,FILTER(Info!$H$2:H100,Info!$A$2:A100 = C100)&lt;=FILTER(Info!$H$2:H100,Info!$A$2:A100=$K$2)),
ROUNDUP((FILTER(Info!$H$2:H100,Info!$A$2:A100 = C100)/FILTER(I"&amp;"nfo!$H$2:H100,Info!$A$2:A100=$K$2))*$I$2),
AND(E100=1,FILTER(Info!$H$2:H100,Info!$A$2:A100 = C100)&gt;FILTER(Info!$H$2:H100,Info!$A$2:A100=$K$2)),""K2 - Error"",
AND(E100=2,FILTER($J$7:indirect(""J""&amp;row()-1),$C$7:indirect(""C""&amp;row()-1)=C100)&lt;=7),""J - Erro"&amp;"r"",
E100=2,FLOOR(FILTER($J$7:indirect(""J""&amp;row()-1),$C$7:indirect(""C""&amp;row()-1)=C100)*Info!$T$32),
AND(E100=3,FILTER($J$7:indirect(""J""&amp;row()-1),$C$7:indirect(""C""&amp;row()-1)=C100)&lt;=15),""J - Error"",
E100=3,FLOOR(Info!$T$32*FLOOR(FILTER($J$7:indirect("&amp;"""J""&amp;row()-1),$C$7:indirect(""C""&amp;row()-1)=C100)*Info!$T$32)),
AND(E100=""Final"",COUNTIF($C$7:$C$102,C100)=2,FILTER($J$7:indirect(""J""&amp;row()-1),$C$7:indirect(""C""&amp;row()-1)=C100)&lt;=7),""J - Error"",
AND(E100=""Final"",COUNTIF($C$7:$C$102,C100)=2),
MIN(P"&amp;"100,FLOOR(FILTER($J$7:indirect(""J""&amp;row()-1),$C$7:indirect(""C""&amp;row()-1)=C100)*Info!$T$32)),
AND(E100=""Final"",COUNTIF($C$7:$C$102,C100)=3,FILTER($J$7:indirect(""J""&amp;row()-1),$C$7:indirect(""C""&amp;row()-1)=C100)&lt;=15),""J - Error"",
AND(E100=""Final"",COU"&amp;"NTIF($C$7:$C$102,C100)=3),
MIN(P100,FLOOR(Info!$T$32*FLOOR(FILTER($J$7:indirect(""J""&amp;row()-1),$C$7:indirect(""C""&amp;row()-1)=C100)*Info!$T$32))),
AND(E100=""Final"",COUNTIF($C$7:$C$102,C100)&gt;=4,FILTER($J$7:indirect(""J""&amp;row()-1),$C$7:indirect(""C""&amp;row()-"&amp;"1)=C100)&lt;=99),""J - Error"",
AND(E100=""Final"",COUNTIF($C$7:$C$102,C100)&gt;=4),
MIN(P100,FLOOR(Info!$T$32*FLOOR(Info!$T$32*FLOOR(FILTER($J$7:indirect(""J""&amp;row()-1),$C$7:indirect(""C""&amp;row()-1)=C100)*Info!$T$32)))))"),"")</f>
        <v/>
      </c>
      <c r="K100" s="41" t="str">
        <f>IFERROR(__xludf.DUMMYFUNCTION("IFS(AND(indirect(""D""&amp;row()+2)&lt;&gt;$E$2,indirect(""D""&amp;row()+1)=""""),CONCATENATE(""Tom rad! Kopiera hela rad ""&amp;row()&amp;"" dit""),
AND(indirect(""D""&amp;row()-1)&lt;&gt;""Rum"",indirect(""D""&amp;row()-1)=""""),CONCATENATE(""Tom rad! Kopiera hela rad ""&amp;row()&amp;"" dit""),
"&amp;"C100="""","""",
COUNTIF(Info!$A$22:A100,$K$2)&gt;0,""Det tyckte du var roligt? ( ͡❛ ͜ʖ ͡❛)"",
AND($M$2&gt;=2,$E$4=""""),""Skriv 1:a sidorummets namn i E4"",
AND($M$2&gt;=3,$K$4=""""),""Skriv 2:a sidorummets namn i K4"",
AND($M$2&gt;=4,$Q$4=""""),""Skriv 3:e sidorumme"&amp;"ts namn i Q4"",
AND($M$2&lt;2,$E$4&lt;&gt;""""),""Finns fler än 2 rum - ta bort i E4"",
AND($M$2&lt;3,$K$4&lt;&gt;""""),""Finns fler än 3 rum - ta bort i K4"",
AND($M$2&lt;4,$Q$4&lt;&gt;""""),""Finns fler än 4 rum - ta bort i Q4"",
OR(AND(D100&lt;&gt;$E$2,D100&lt;&gt;$E$4,D100&lt;&gt;$K$4,D100&lt;&gt;$Q$4"&amp;"),D100=""""),CONCATENATE(""Rum: ""&amp;D100&amp;"" finns ej, byt i D""&amp;row()),
AND(indirect(""D""&amp;row()-1)=""Rum"",C100=""""),CONCATENATE(""För att börja: skriv i cell C""&amp;row()),
AND(C100=""Paus"",M100&lt;=0),CONCATENATE(""Skriv pausens längd i M""&amp;row()),
OR(COUNT"&amp;"IF(Info!$A$22:A100,C100)&gt;0,C100=""""),"""",
AND(D100&lt;&gt;$E$2,$O$2=""Yes"",A100=""=time(hh;mm;ss)""),CONCATENATE(""Skriv starttid för ""&amp;C100&amp;"" i A""&amp;row()),
E100=""E - Error"",CONCATENATE(""För många ""&amp;C100&amp;"" rundor!""),
AND(C100&lt;&gt;""3x3 FMC"",C100&lt;&gt;""3x3"&amp;" MBLD"",E100&lt;&gt;1,E100&lt;&gt;""Final"",IFERROR(FILTER($E$7:indirect(""E""&amp;row()-1),
$E$7:indirect(""E""&amp;row()-1)=E100-1,$C$7:indirect(""C""&amp;row()-1)=C100))=FALSE),CONCATENATE(""Kan ej vara R""&amp;E100&amp;"", saknar R""&amp;(E100-1)),
AND(indirect(""E""&amp;row()-1)&lt;&gt;""Omgång"&amp;""",IFERROR(FILTER($E$7:indirect(""E""&amp;row()-1),
$E$7:indirect(""E""&amp;row()-1)=E100,$C$7:indirect(""C""&amp;row()-1)=C100)=E100)=TRUE),CONCATENATE(""Runda ""&amp;E100&amp;"" i ""&amp;C100&amp;"" finns redan""),
AND(C100&lt;&gt;""3x3 BLD"",C100&lt;&gt;""4x4 BLD"",C100&lt;&gt;""5x5 BLD"",C100&lt;&gt;"""&amp;"4x4 / 5x5 BLD"",OR(E100=2,E100=3,E100=""Final""),H100&lt;&gt;""""),CONCATENATE(E100&amp;""-rundor brukar ej ha c.t.l.""),
AND(OR(E100=2,E100=3,E100=""Final""),I100&lt;&gt;""""),CONCATENATE(E100&amp;""-rundor brukar ej ha cutoff""),
AND(OR(C100=""3x3 FMC"",C100=""3x3 MBLD""),"&amp;"OR(E100=1,E100=2,E100=3,E100=""Final"")),CONCATENATE(C100&amp;""s omgång är Rx - Ax""),
AND(C100&lt;&gt;""3x3 MBLD"",C100&lt;&gt;""3x3 FMC"",FILTER(Info!$D$2:D100, Info!$A$2:A100 = C100)&lt;&gt;F100),CONCATENATE(C100&amp;"" måste ha formatet ""&amp;FILTER(Info!$D$2:D100, Info!$A$2:A10"&amp;"0 = C100)),
AND(C100=""3x3 MBLD"",OR(F100=""Avg of 5"",F100=""Mean of 3"")),CONCATENATE(""Ogiltigt format för ""&amp;C100),
AND(C100=""3x3 FMC"",OR(F100=""Avg of 5"",F100=""Best of 3"")),CONCATENATE(""Ogiltigt format för ""&amp;C100),
AND(OR(F100=""Best of 1"",F1"&amp;"00=""Best of 2"",F100=""Best of 3""),I100&lt;&gt;""""),CONCATENATE(F100&amp;""-rundor får ej ha cutoff""),
AND(OR(C100=""3x3 FMC"",C100=""3x3 MBLD""),G100&lt;&gt;60),CONCATENATE(C100&amp;"" måste ha time limit: 60""),
AND(OR(C100=""3x3 FMC"",C100=""3x3 MBLD""),H100&lt;&gt;""""),CO"&amp;"NCATENATE(C100&amp;"" kan inte ha c.t.l.""),
AND(G100&lt;&gt;"""",H100&lt;&gt;""""),""Välj time limit ELLER c.t.l"",
AND(C100=""6x6 / 7x7"",G100="""",H100=""""),""Sätt time limit (x / y) eller c.t.l (z)"",
AND(G100="""",H100=""""),""Sätt en time limit eller c.t.l"",
AND("&amp;"OR(C100=""6x6 / 7x7"",C100=""4x4 / 5x5 BLD""),G100&lt;&gt;"""",REGEXMATCH(TO_TEXT(G100),"" / "")=FALSE),CONCATENATE(""Time limit måste vara x / y""),
AND(H100&lt;&gt;"""",I100&lt;&gt;""""),CONCATENATE(C100&amp;"" brukar ej ha cutoff OCH c.t.l""),
AND(E100=1,H100="""",I100="""""&amp;",OR(FILTER(Info!$E$2:E100, Info!$A$2:A100 = C100) = ""Yes"",FILTER(Info!$F$2:F100, Info!$A$2:A100 = C100) = ""Yes""),OR(F100=""Avg of 5"",F100=""Mean of 3"")),CONCATENATE(C100&amp;"" bör ha cutoff eller c.t.l""),
AND(C100=""6x6 / 7x7"",I100&lt;&gt;"""",REGEXMATCH(T"&amp;"O_TEXT(I100),"" / "")=FALSE),CONCATENATE(""Cutoff måste vara x / y""),
AND(H100&lt;&gt;"""",ISNUMBER(H100)=FALSE),""C.t.l. måste vara positivt tal (x)"",
AND(C100&lt;&gt;""6x6 / 7x7"",I100&lt;&gt;"""",ISNUMBER(I100)=FALSE),""Cutoff måste vara positivt tal (x)"",
AND(H100&lt;&gt;"&amp;""""",FILTER(Info!$E$2:E100, Info!$A$2:A100 = C100) = ""No"",FILTER(Info!$F$2:F100, Info!$A$2:A100 = C100) = ""No""),CONCATENATE(C100&amp;"" brukar inte ha c.t.l.""),
AND(I100&lt;&gt;"""",FILTER(Info!$E$2:E100, Info!$A$2:A100 = C100) = ""No"",FILTER(Info!$F$2:F100, "&amp;"Info!$A$2:A100 = C100) = ""No""),CONCATENATE(C100&amp;"" brukar inte ha cutoff""),
AND(H100="""",FILTER(Info!$F$2:F100, Info!$A$2:A100 = C100) = ""Yes""),CONCATENATE(C100&amp;"" brukar ha c.t.l.""),
AND(C100&lt;&gt;""6x6 / 7x7"",C100&lt;&gt;""4x4 / 5x5 BLD"",G100&lt;&gt;"""",ISNUM"&amp;"BER(G100)=FALSE),""Time limit måste vara positivt tal (x)"",
J100=""J - Error"",CONCATENATE(""För få deltagare i R1 för ""&amp;COUNTIF($C$7:$C$102,indirect(""C""&amp;row()))&amp;"" rundor""),
J100=""K2 - Error"",CONCATENATE(C100&amp;"" är mer populär - byt i K2!""),
AND("&amp;"C100&lt;&gt;""6x6 / 7x7"",C100&lt;&gt;""4x4 / 5x5 BLD"",G100&lt;&gt;"""",I100&lt;&gt;"""",G100&lt;=I100),""Time limit måste vara &gt; cutoff"",
AND(C100&lt;&gt;""6x6 / 7x7"",C100&lt;&gt;""4x4 / 5x5 BLD"",H100&lt;&gt;"""",I100&lt;&gt;"""",H100&lt;=I100),""C.t.l. måste vara &gt; cutoff"",
AND(C100&lt;&gt;""3x3 FMC"",C100&lt;"&amp;"&gt;""3x3 MBLD"",J100=""""),CONCATENATE(""Fyll i antal deltagare i J""&amp;row()),
AND(C100="""",OR(E100&lt;&gt;"""",F100&lt;&gt;"""",G100&lt;&gt;"""",H100&lt;&gt;"""",I100&lt;&gt;"""",J100&lt;&gt;"""")),""Skriv ALLTID gren / aktivitet först"",
AND(I100="""",H100="""",J100&lt;&gt;""""),J100,
OR(""3x3 FM"&amp;"C""=C100,""3x3 MBLD""=C100),J100,
AND(I100&lt;&gt;"""",""6x6 / 7x7""=C100),
IFS(ArrayFormula(SUM(IFERROR(SPLIT(I100,"" / ""))))&lt;(Info!$J$6+Info!$J$7)*2/3,CONCATENATE(""Höj helst cutoffs i ""&amp;C100),
ArrayFormula(SUM(IFERROR(SPLIT(I100,"" / ""))))&lt;=(Info!$J$6+Inf"&amp;"o!$J$7),ROUNDUP(J100*Info!$J$22),
ArrayFormula(SUM(IFERROR(SPLIT(I100,"" / ""))))&lt;=Info!$J$6+Info!$J$7,ROUNDUP(J100*Info!$K$22),
ArrayFormula(SUM(IFERROR(SPLIT(I100,"" / ""))))&lt;=Info!$K$6+Info!$K$7,ROUNDUP(J100*Info!L$22),
ArrayFormula(SUM(IFERROR(SPLIT(I"&amp;"100,"" / ""))))&lt;=Info!$L$6+Info!$L$7,ROUNDUP(J100*Info!$M$22),
ArrayFormula(SUM(IFERROR(SPLIT(I100,"" / ""))))&lt;=Info!$M$6+Info!$M$7,ROUNDUP(J100*Info!$N$22),
ArrayFormula(SUM(IFERROR(SPLIT(I100,"" / ""))))&lt;=(Info!$N$6+Info!$N$7)*3/2,ROUNDUP(J100*Info!$J$2"&amp;"6),
ArrayFormula(SUM(IFERROR(SPLIT(I100,"" / ""))))&gt;(Info!$N$6+Info!$N$7)*3/2,CONCATENATE(""Sänk helst cutoffs i ""&amp;C100)),
AND(I100&lt;&gt;"""",FILTER(Info!$E$2:E100, Info!$A$2:A100 = C100) = ""Yes""),
IFS(I100&lt;FILTER(Info!$J$2:J100, Info!$A$2:A100 = C100)*2/3"&amp;",CONCATENATE(""Höj helst cutoff i ""&amp;C100),
I100&lt;=FILTER(Info!$J$2:J100, Info!$A$2:A100 = C100),ROUNDUP(J100*Info!$J$22),
I100&lt;=FILTER(Info!$K$2:K100, Info!$A$2:A100 = C100),ROUNDUP(J100*Info!$K$22),
I100&lt;=FILTER(Info!$L$2:L100, Info!$A$2:A100 = C100),ROU"&amp;"NDUP(J100*Info!L$22),
I100&lt;=FILTER(Info!$M$2:M100, Info!$A$2:A100 = C100),ROUNDUP(J100*Info!$M$22),
I100&lt;=FILTER(Info!$N$2:N100, Info!$A$2:A100 = C100),ROUNDUP(J100*Info!$N$22),
I100&lt;=FILTER(Info!$N$2:N100, Info!$A$2:A100 = C100)*3/2,ROUNDUP(J100*Info!$J$"&amp;"26),
I100&gt;FILTER(Info!$N$2:N100, Info!$A$2:A100 = C100)*3/2,CONCATENATE(""Sänk helst cutoff i ""&amp;C100)),
AND(H100&lt;&gt;"""",""6x6 / 7x7""=C100),
IFS(H100/3&lt;=(Info!$J$6+Info!$J$7)*2/3,""Höj helst cumulative time limit"",
H100/3&lt;=Info!$J$6+Info!$J$7,ROUNDUP(J10"&amp;"0*Info!$J$24),
H100/3&lt;=Info!$K$6+Info!$K$7,ROUNDUP(J100*Info!$K$24),
H100/3&lt;=Info!$L$6+Info!$L$7,ROUNDUP(J100*Info!L$24),
H100/3&lt;=Info!$M$6+Info!$M$7,ROUNDUP(J100*Info!$M$24),
H100/3&lt;=Info!$N$6+Info!$N$7,ROUNDUP(J100*Info!$N$24),
H100/3&lt;=(Info!$N$6+Info!$"&amp;"N$7)*3/2,ROUNDUP(J100*Info!$L$26),
H100/3&gt;(Info!$J$6+Info!$J$7)*3/2,""Sänk helst cumulative time limit""),
AND(H100&lt;&gt;"""",FILTER(Info!$F$2:F100, Info!$A$2:A100 = C100) = ""Yes""),
IFS(H100&lt;=FILTER(Info!$J$2:J100, Info!$A$2:A100 = C100)*2/3,CONCATENATE(""H"&amp;"öj helst c.t.l. i ""&amp;C100),
H100&lt;=FILTER(Info!$J$2:J100, Info!$A$2:A100 = C100),ROUNDUP(J100*Info!$J$24),
H100&lt;=FILTER(Info!$K$2:K100, Info!$A$2:A100 = C100),ROUNDUP(J100*Info!$K$24),
H100&lt;=FILTER(Info!$L$2:L100, Info!$A$2:A100 = C100),ROUNDUP(J100*Info!L"&amp;"$24),
H100&lt;=FILTER(Info!$M$2:M100, Info!$A$2:A100 = C100),ROUNDUP(J100*Info!$M$24),
H100&lt;=FILTER(Info!$N$2:N100, Info!$A$2:A100 = C100),ROUNDUP(J100*Info!$N$24),
H100&lt;=FILTER(Info!$N$2:N100, Info!$A$2:A100 = C100)*3/2,ROUNDUP(J100*Info!$L$26),
H100&gt;FILTER"&amp;"(Info!$N$2:N100, Info!$A$2:A100 = C100)*3/2,CONCATENATE(""Sänk helst c.t.l. i ""&amp;C100)),
AND(H100&lt;&gt;"""",FILTER(Info!$F$2:F100, Info!$A$2:A100 = C100) = ""No""),
IFS(H100/AA100&lt;=FILTER(Info!$J$2:J100, Info!$A$2:A100 = C100)*2/3,CONCATENATE(""Höj helst c.t."&amp;"l. i ""&amp;C100),
H100/AA100&lt;=FILTER(Info!$J$2:J100, Info!$A$2:A100 = C100),ROUNDUP(J100*Info!$J$24),
H100/AA100&lt;=FILTER(Info!$K$2:K100, Info!$A$2:A100 = C100),ROUNDUP(J100*Info!$K$24),
H100/AA100&lt;=FILTER(Info!$L$2:L100, Info!$A$2:A100 = C100),ROUNDUP(J100*I"&amp;"nfo!L$24),
H100/AA100&lt;=FILTER(Info!$M$2:M100, Info!$A$2:A100 = C100),ROUNDUP(J100*Info!$M$24),
H100/AA100&lt;=FILTER(Info!$N$2:N100, Info!$A$2:A100 = C100),ROUNDUP(J100*Info!$N$24),
H100/AA100&lt;=FILTER(Info!$N$2:N100, Info!$A$2:A100 = C100)*3/2,ROUNDUP(J100*I"&amp;"nfo!$L$26),
H100/AA100&gt;FILTER(Info!$N$2:N100, Info!$A$2:A100 = C100)*3/2,CONCATENATE(""Sänk helst c.t.l. i ""&amp;C100)),
AND(I100="""",H100&lt;&gt;"""",J100&lt;&gt;""""),ROUNDUP(J100*Info!$T$29),
AND(I100&lt;&gt;"""",H100="""",J100&lt;&gt;""""),ROUNDUP(J100*Info!$T$26))"),"")</f>
        <v/>
      </c>
      <c r="L100" s="42">
        <f>IFERROR(__xludf.DUMMYFUNCTION("IFS(C100="""",0,
C100=""3x3 FMC"",Info!$B$9*N100+M100, C100=""3x3 MBLD"",Info!$B$18*N100+M100,
COUNTIF(Info!$A$22:A100,C100)&gt;0,FILTER(Info!$B$22:B100,Info!$A$22:A100=C100)+M100,
AND(C100&lt;&gt;"""",E100=""""),CONCATENATE(""Fyll i E""&amp;row()),
AND(C100&lt;&gt;"""",E10"&amp;"0&lt;&gt;"""",E100&lt;&gt;1,E100&lt;&gt;2,E100&lt;&gt;3,E100&lt;&gt;""Final""),CONCATENATE(""Fel format på E""&amp;row()),
K100=CONCATENATE(""Runda ""&amp;E100&amp;"" i ""&amp;C100&amp;"" finns redan""),CONCATENATE(""Fel i E""&amp;row()),
AND(C100&lt;&gt;"""",F100=""""),CONCATENATE(""Fyll i F""&amp;row()),
K100=CONCAT"&amp;"ENATE(C100&amp;"" måste ha formatet ""&amp;FILTER(Info!$D$2:D100, Info!$A$2:A100 = C100)),CONCATENATE(""Fel format på F""&amp;row()),
AND(C100&lt;&gt;"""",D100=1,H100="""",FILTER(Info!$F$2:F100, Info!$A$2:A100 = C100) = ""Yes""),CONCATENATE(""Fyll i H""&amp;row()),
AND(C100&lt;&gt;"&amp;""""",D100=1,I100="""",FILTER(Info!$E$2:E100, Info!$A$2:A100 = C100) = ""Yes""),CONCATENATE(""Fyll i I""&amp;row()),
AND(C100&lt;&gt;"""",J100=""""),CONCATENATE(""Fyll i J""&amp;row()),
AND(C100&lt;&gt;"""",K100="""",OR(H100&lt;&gt;"""",I100&lt;&gt;"""")),CONCATENATE(""Fyll i K""&amp;row()),"&amp;"
AND(C100&lt;&gt;"""",K100=""""),CONCATENATE(""Skriv samma i K""&amp;row()&amp;"" som i J""&amp;row()),
AND(OR(C100=""4x4 BLD"",C100=""5x5 BLD"",C100=""4x4 / 5x5 BLD"")=TRUE,V100&lt;=P100),
MROUND(H100*(Info!$T$20-((Info!$T$20-1)/2)*(1-V100/P100))*(1+((J100/K100)-1)*(1-Info!$"&amp;"J$24))*N100+(Info!$T$11/2)+(N100*Info!$T$11)+(N100*Info!$T$14*(O100-1)),0.01)+M100,
AND(OR(C100=""4x4 BLD"",C100=""5x5 BLD"",C100=""4x4 / 5x5 BLD"")=TRUE,V100&gt;P100),
MROUND((((J100*Z100+K100*(AA100-Z100))*(H100*Info!$T$20/AA100))/X100)*(1+((J100/K100)-1)*"&amp;"(1-Info!$J$24))*(1+(X100-Info!$T$8)/100)+(Info!$T$11/2)+(N100*Info!$T$11)+(N100*Info!$T$14*(O100-1)),0.01)+M100,
AND(C100=""3x3 BLD"",V100&lt;=P100),
MROUND(H100*(Info!$T$23-((Info!$T$23-1)/2)*(1-V100/P100))*(1+((J100/K100)-1)*(1-Info!$J$24))*N100+(Info!$T$1"&amp;"1/2)+(N100*Info!$T$11)+(N100*Info!$T$14*(O100-1)),0.01)+M100,
AND(C100=""3x3 BLD"",V100&gt;P100),
MROUND((((J100*Z100+K100*(AA100-Z100))*(H100*Info!$T$23/AA100))/X100)*(1+((J100/K100)-1)*(1-Info!$J$24))*(1+(X100-Info!$T$8)/100)+(Info!$T$11/2)+(N100*Info!$T$1"&amp;"1)+(N100*Info!$T$14*(O100-1)),0.01)+M100,
E100=1,MROUND((((J100*Z100+K100*(AA100-Z100))*Y100)/X100)*(1+(X100-Info!$T$8)/100)+(N100*Info!$T$11)+(N100*Info!$T$14*(O100-1)),0.01)+M100,
AND(E100=""Final"",N100=1,FILTER(Info!$G$2:$G$20,Info!$A$2:$A$20=C100)="""&amp;"Mycket svår""),
MROUND((((J100*Z100+K100*(AA100-Z100))*(Y100*Info!$T$38))/X100)*(1+(X100-Info!$T$8)/100)+(N100*Info!$T$11)+(N100*Info!$T$14*(O100-1)),0.01)+M100,
AND(E100=""Final"",N100=1,FILTER(Info!$G$2:$G$20,Info!$A$2:$A$20=C100)=""Svår""),
MROUND((((J"&amp;"100*Z100+K100*(AA100-Z100))*(Y100*Info!$T$35))/X100)*(1+(X100-Info!$T$8)/100)+(N100*Info!$T$11)+(N100*Info!$T$14*(O100-1)),0.01)+M100,
E100=""Final"",MROUND((((J100*Z100+K100*(AA100-Z100))*(Y100*Info!$T$5))/X100)*(1+(X100-Info!$T$8)/100)+(N100*Info!$T$11)"&amp;"+(N100*Info!$T$14*(O100-1)),0.01)+M100,
OR(E100=2,E100=3),MROUND((((J100*Z100+K100*(AA100-Z100))*(Y100*Info!$T$2))/X100)*(1+(X100-Info!$T$8)/100)+(N100*Info!$T$11)+(N100*Info!$T$14*(O100-1)),0.01)+M100)"),0.0)</f>
        <v>0</v>
      </c>
      <c r="M100" s="43">
        <f t="shared" si="9"/>
        <v>0</v>
      </c>
      <c r="N100" s="43" t="str">
        <f>IFS(OR(COUNTIF(Info!$A$22:A100,C100)&gt;0,C100=""),"",
OR(C100="4x4 BLD",C100="5x5 BLD",C100="3x3 MBLD",C100="3x3 FMC",C100="4x4 / 5x5 BLD"),1,
AND(E100="Final",Q100="Yes",MAX(1,ROUNDUP(J100/P100))&gt;1),MAX(2,ROUNDUP(J100/P100)),
AND(E100="Final",Q100="No",MAX(1,ROUNDUP(J100/((P100*2)+2.625-Y100*1.5)))&gt;1),MAX(2,ROUNDUP(J100/((P100*2)+2.625-Y100*1.5))),
E100="Final",1,
Q100="Yes",MAX(2,ROUNDUP(J100/P100)),
TRUE,MAX(2,ROUNDUP(J100/((P100*2)+2.625-Y100*1.5))))</f>
        <v/>
      </c>
      <c r="O100" s="43" t="str">
        <f>IFS(OR(COUNTIF(Info!$A$22:A100,C100)&gt;0,C100=""),"",
OR("3x3 MBLD"=C100,"3x3 FMC"=C100)=TRUE,"",
D100=$E$4,$G$6,D100=$K$4,$M$6,D100=$Q$4,$S$6,D100=$W$4,$Y$6,
TRUE,$S$2)</f>
        <v/>
      </c>
      <c r="P100" s="43" t="str">
        <f>IFS(OR(COUNTIF(Info!$A$22:A100,C100)&gt;0,C100=""),"",
OR("3x3 MBLD"=C100,"3x3 FMC"=C100)=TRUE,"",
D100=$E$4,$E$6,D100=$K$4,$K$6,D100=$Q$4,$Q$6,D100=$W$4,$W$6,
TRUE,$Q$2)</f>
        <v/>
      </c>
      <c r="Q100" s="44" t="str">
        <f>IFS(OR(COUNTIF(Info!$A$22:A100,C100)&gt;0,C100=""),"",
OR("3x3 MBLD"=C100,"3x3 FMC"=C100)=TRUE,"",
D100=$E$4,$I$6,D100=$K$4,$O$6,D100=$Q$4,$U$6,D100=$W$4,$AA$6,
TRUE,$U$2)</f>
        <v/>
      </c>
      <c r="R100" s="65" t="str">
        <f>IFERROR(__xludf.DUMMYFUNCTION("IF(C100="""","""",IFERROR(FILTER(Info!$B$22:B100,Info!$A$22:A100=C100)+M100,""?""))"),"")</f>
        <v/>
      </c>
      <c r="S100" s="66" t="str">
        <f>IFS(OR(COUNTIF(Info!$A$22:A100,C100)&gt;0,C100=""),"",
AND(H100="",I100=""),J100,
TRUE,"?")</f>
        <v/>
      </c>
      <c r="T100" s="65" t="str">
        <f>IFS(OR(COUNTIF(Info!$A$22:A100,C100)&gt;0,C100=""),"",
AND(L100&lt;&gt;0,OR(R100="?",R100="")),"Fyll i R-kolumnen",
OR(C100="3x3 FMC",C100="3x3 MBLD"),R100,
AND(L100&lt;&gt;0,OR(S100="?",S100="")),"Fyll i S-kolumnen",
OR(COUNTIF(Info!$A$22:A100,C100)&gt;0,C100=""),"",
TRUE,Y100*R100/L100)</f>
        <v/>
      </c>
      <c r="U100" s="65"/>
      <c r="V100" s="67" t="str">
        <f>IFS(OR(COUNTIF(Info!$A$22:A100,C100)&gt;0,C100=""),"",
OR("3x3 MBLD"=C100,"3x3 FMC"=C100)=TRUE,"",
TRUE,MROUND((J100/N100),0.01))</f>
        <v/>
      </c>
      <c r="W100" s="68" t="str">
        <f>IFS(OR(COUNTIF(Info!$A$22:A100,C100)&gt;0,C100=""),"",
TRUE,L100/N100)</f>
        <v/>
      </c>
      <c r="X100" s="67" t="str">
        <f>IFS(OR(COUNTIF(Info!$A$22:A100,C100)&gt;0,C100=""),"",
OR("3x3 MBLD"=C100,"3x3 FMC"=C100)=TRUE,"",
OR(C100="4x4 BLD",C100="5x5 BLD",C100="4x4 / 5x5 BLD",AND(C100="3x3 BLD",H100&lt;&gt;""))=TRUE,MIN(V100,P100),
TRUE,MIN(P100,V100,MROUND(((V100*2/3)+((Y100-1.625)/2)),0.01)))</f>
        <v/>
      </c>
      <c r="Y100" s="68" t="str">
        <f>IFERROR(__xludf.DUMMYFUNCTION("IFS(OR(COUNTIF(Info!$A$22:A100,C100)&gt;0,C100=""""),"""",
FILTER(Info!$F$2:F100, Info!$A$2:A100 = C100) = ""Yes"",H100/AA100,
""3x3 FMC""=C100,Info!$B$9,""3x3 MBLD""=C100,Info!$B$18,
AND(E100=1,I100="""",H100="""",Q100=""No"",G100&gt;SUMIF(Info!$A$2:A100,C100,"&amp;"Info!$B$2:B100)*1.5),
MIN(SUMIF(Info!$A$2:A100,C100,Info!$B$2:B100)*1.1,SUMIF(Info!$A$2:A100,C100,Info!$B$2:B100)*(1.15-(0.15*(SUMIF(Info!$A$2:A100,C100,Info!$B$2:B100)*1.5)/G100))),
AND(E100=1,I100="""",H100="""",Q100=""Yes"",G100&gt;SUMIF(Info!$A$2:A100,C1"&amp;"00,Info!$C$2:C100)*1.5),
MIN(SUMIF(Info!$A$2:A100,C100,Info!$C$2:C100)*1.1,SUMIF(Info!$A$2:A100,C100,Info!$C$2:C100)*(1.15-(0.15*(SUMIF(Info!$A$2:A100,C100,Info!$C$2:C100)*1.5)/G100))),
Q100=""No"",SUMIF(Info!$A$2:A100,C100,Info!$B$2:B100),
Q100=""Yes"",S"&amp;"UMIF(Info!$A$2:A100,C100,Info!$C$2:C100))"),"")</f>
        <v/>
      </c>
      <c r="Z100" s="67" t="str">
        <f>IFS(OR(COUNTIF(Info!$A$22:A100,C100)&gt;0,C100=""),"",
AND(OR("3x3 FMC"=C100,"3x3 MBLD"=C100),I100&lt;&gt;""),1,
AND(OR(H100&lt;&gt;"",I100&lt;&gt;""),F100="Avg of 5"),2,
F100="Avg of 5",AA100,
AND(OR(H100&lt;&gt;"",I100&lt;&gt;""),F100="Mean of 3",C100="6x6 / 7x7"),2,
AND(OR(H100&lt;&gt;"",I100&lt;&gt;""),F100="Mean of 3"),1,
F100="Mean of 3",AA100,
AND(OR(H100&lt;&gt;"",I100&lt;&gt;""),F100="Best of 3",C100="4x4 / 5x5 BLD"),2,
AND(OR(H100&lt;&gt;"",I100&lt;&gt;""),F100="Best of 3"),1,
F100="Best of 2",AA100,
F100="Best of 1",AA100)</f>
        <v/>
      </c>
      <c r="AA100" s="67" t="str">
        <f>IFS(OR(COUNTIF(Info!$A$22:A100,C100)&gt;0,C100=""),"",
AND(OR("3x3 MBLD"=C100,"3x3 FMC"=C100),F100="Best of 1"=TRUE),1,
AND(OR("3x3 MBLD"=C100,"3x3 FMC"=C100),F100="Best of 2"=TRUE),2,
AND(OR("3x3 MBLD"=C100,"3x3 FMC"=C100),OR(F100="Best of 3",F100="Mean of 3")=TRUE),3,
AND(F100="Mean of 3",C100="6x6 / 7x7"),6,
AND(F100="Best of 3",C100="4x4 / 5x5 BLD"),6,
F100="Avg of 5",5,F100="Mean of 3",3,F100="Best of 3",3,F100="Best of 2",2,F100="Best of 1",1)</f>
        <v/>
      </c>
      <c r="AB100" s="69"/>
    </row>
    <row r="101" ht="15.75" customHeight="1">
      <c r="A101" s="62">
        <f>IFERROR(__xludf.DUMMYFUNCTION("IFS(indirect(""A""&amp;row()-1)=""Start"",TIME(indirect(""A""&amp;row()-2),indirect(""B""&amp;row()-2),0),
$O$2=""No"",TIME(0,($A$6*60+$B$6)+CEILING(SUM($L$7:indirect(""L""&amp;row()-1)),5),0),
D101=$E$2,TIME(0,($A$6*60+$B$6)+CEILING(SUM(IFERROR(FILTER($L$7:indirect(""L"&amp;"""&amp;row()-1),REGEXMATCH($D$7:indirect(""D""&amp;row()-1),$E$2)),0)),5),0),
TRUE,""=time(hh;mm;ss)"")"),0.3541666666666665)</f>
        <v>0.3541666667</v>
      </c>
      <c r="B101" s="63">
        <f>IFERROR(__xludf.DUMMYFUNCTION("IFS($O$2=""No"",TIME(0,($A$6*60+$B$6)+CEILING(SUM($L$7:indirect(""L""&amp;row())),5),0),
D101=$E$2,TIME(0,($A$6*60+$B$6)+CEILING(SUM(FILTER($L$7:indirect(""L""&amp;row()),REGEXMATCH($D$7:indirect(""D""&amp;row()),$E$2))),5),0),
A101=""=time(hh;mm;ss)"",CONCATENATE("""&amp;"Skriv tid i A""&amp;row()),
AND(A101&lt;&gt;"""",A101&lt;&gt;""=time(hh;mm;ss)""),A101+TIME(0,CEILING(indirect(""L""&amp;row()),5),0))"),0.3541666666666665)</f>
        <v>0.3541666667</v>
      </c>
      <c r="C101" s="37"/>
      <c r="D101" s="64" t="str">
        <f t="shared" si="10"/>
        <v>Stora salen</v>
      </c>
      <c r="E101" s="64" t="str">
        <f>IFERROR(__xludf.DUMMYFUNCTION("IFS(COUNTIF(Info!$A$22:A101,C101)&gt;0,"""",
AND(OR(""3x3 FMC""=C101,""3x3 MBLD""=C101),COUNTIF($C$7:indirect(""C""&amp;row()),indirect(""C""&amp;row()))&gt;=13),""E - Error"",
AND(OR(""3x3 FMC""=C101,""3x3 MBLD""=C101),COUNTIF($C$7:indirect(""C""&amp;row()),indirect(""C"""&amp;"&amp;row()))=12),""Final - A3"",
AND(OR(""3x3 FMC""=C101,""3x3 MBLD""=C101),COUNTIF($C$7:indirect(""C""&amp;row()),indirect(""C""&amp;row()))=11),""Final - A2"",
AND(OR(""3x3 FMC""=C101,""3x3 MBLD""=C101),COUNTIF($C$7:indirect(""C""&amp;row()),indirect(""C""&amp;row()))=10),"&amp;"""Final - A1"",
AND(OR(""3x3 FMC""=C101,""3x3 MBLD""=C101),COUNTIF($C$7:indirect(""C""&amp;row()),indirect(""C""&amp;row()))=9,
COUNTIF($C$7:$C$102,indirect(""C""&amp;row()))&gt;9),""R3 - A3"",
AND(OR(""3x3 FMC""=C101,""3x3 MBLD""=C101),COUNTIF($C$7:indirect(""C""&amp;row()"&amp;"),indirect(""C""&amp;row()))=9,
COUNTIF($C$7:$C$102,indirect(""C""&amp;row()))&lt;=9),""Final - A3"",
AND(OR(""3x3 FMC""=C101,""3x3 MBLD""=C101),COUNTIF($C$7:indirect(""C""&amp;row()),indirect(""C""&amp;row()))=8,
COUNTIF($C$7:$C$102,indirect(""C""&amp;row()))&gt;9),""R3 - A2"",
A"&amp;"ND(OR(""3x3 FMC""=C101,""3x3 MBLD""=C101),COUNTIF($C$7:indirect(""C""&amp;row()),indirect(""C""&amp;row()))=8,
COUNTIF($C$7:$C$102,indirect(""C""&amp;row()))&lt;=9),""Final - A2"",
AND(OR(""3x3 FMC""=C101,""3x3 MBLD""=C101),COUNTIF($C$7:indirect(""C""&amp;row()),indirect("""&amp;"C""&amp;row()))=7,
COUNTIF($C$7:$C$102,indirect(""C""&amp;row()))&gt;9),""R3 - A1"",
AND(OR(""3x3 FMC""=C101,""3x3 MBLD""=C101),COUNTIF($C$7:indirect(""C""&amp;row()),indirect(""C""&amp;row()))=7,
COUNTIF($C$7:$C$102,indirect(""C""&amp;row()))&lt;=9),""Final - A1"",
AND(OR(""3x3 F"&amp;"MC""=C101,""3x3 MBLD""=C101),COUNTIF($C$7:indirect(""C""&amp;row()),indirect(""C""&amp;row()))=6,
COUNTIF($C$7:$C$102,indirect(""C""&amp;row()))&gt;6),""R2 - A3"",
AND(OR(""3x3 FMC""=C101,""3x3 MBLD""=C101),COUNTIF($C$7:indirect(""C""&amp;row()),indirect(""C""&amp;row()))=6,
CO"&amp;"UNTIF($C$7:$C$102,indirect(""C""&amp;row()))&lt;=6),""Final - A3"",
AND(OR(""3x3 FMC""=C101,""3x3 MBLD""=C101),COUNTIF($C$7:indirect(""C""&amp;row()),indirect(""C""&amp;row()))=5,
COUNTIF($C$7:$C$102,indirect(""C""&amp;row()))&gt;6),""R2 - A2"",
AND(OR(""3x3 FMC""=C101,""3x3 M"&amp;"BLD""=C101),COUNTIF($C$7:indirect(""C""&amp;row()),indirect(""C""&amp;row()))=5,
COUNTIF($C$7:$C$102,indirect(""C""&amp;row()))&lt;=6),""Final - A2"",
AND(OR(""3x3 FMC""=C101,""3x3 MBLD""=C101),COUNTIF($C$7:indirect(""C""&amp;row()),indirect(""C""&amp;row()))=4,
COUNTIF($C$7:$C"&amp;"$102,indirect(""C""&amp;row()))&gt;6),""R2 - A1"",
AND(OR(""3x3 FMC""=C101,""3x3 MBLD""=C101),COUNTIF($C$7:indirect(""C""&amp;row()),indirect(""C""&amp;row()))=4,
COUNTIF($C$7:$C$102,indirect(""C""&amp;row()))&lt;=6),""Final - A1"",
AND(OR(""3x3 FMC""=C101,""3x3 MBLD""=C101),C"&amp;"OUNTIF($C$7:indirect(""C""&amp;row()),indirect(""C""&amp;row()))=3),""R1 - A3"",
AND(OR(""3x3 FMC""=C101,""3x3 MBLD""=C101),COUNTIF($C$7:indirect(""C""&amp;row()),indirect(""C""&amp;row()))=2),""R1 - A2"",
AND(OR(""3x3 FMC""=C101,""3x3 MBLD""=C101),COUNTIF($C$7:indirect("&amp;"""C""&amp;row()),indirect(""C""&amp;row()))=1),""R1 - A1"",
COUNTIF($C$7:indirect(""C""&amp;row()),indirect(""C""&amp;row()))&gt;4,""E - Error"",
COUNTIF($C$7:indirect(""C""&amp;row()),indirect(""C""&amp;row()))=4,""Final"",
AND(COUNTIF($C$7:indirect(""C""&amp;row()),indirect(""C""&amp;row"&amp;"()))=3,COUNTIF($C$7:$C$102,indirect(""C""&amp;row()))&gt;COUNTIF($C$7:indirect(""C""&amp;row()),indirect(""C""&amp;row()))),3,
AND(COUNTIF($C$7:indirect(""C""&amp;row()),indirect(""C""&amp;row()))=3,COUNTIF($C$7:$C$102,indirect(""C""&amp;row()))=COUNTIF($C$7:indirect(""C""&amp;row()),i"&amp;"ndirect(""C""&amp;row())),COUNTIF($C$7:indirect(""C""&amp;row()),indirect(""C""&amp;row()))&lt;FILTER(Info!$I$2:I101, Info!$A$2:A101 = C101),ROUNDUP((FILTER(Info!$H$2:H101,Info!$A$2:A101=C101)/FILTER(Info!$H$2:H101,Info!$A$2:A101=$K$2))*$I$2)&gt;99),3,
AND(COUNTIF($C$7:ind"&amp;"irect(""C""&amp;row()),indirect(""C""&amp;row()))=3,COUNTIF($C$7:$C$102,indirect(""C""&amp;row()))=COUNTIF($C$7:indirect(""C""&amp;row()),indirect(""C""&amp;row()))),""Final"",
AND(COUNTIF($C$7:indirect(""C""&amp;row()),indirect(""C""&amp;row()))=2,COUNTIF($C$7:$C$102,indirect(""C"""&amp;"&amp;row()))&gt;COUNTIF($C$7:indirect(""C""&amp;row()),indirect(""C""&amp;row()))),2,
AND(COUNTIF($C$7:indirect(""C""&amp;row()),indirect(""C""&amp;row()))=2,COUNTIF($C$7:$C$102,indirect(""C""&amp;row()))=COUNTIF($C$7:indirect(""C""&amp;row()),indirect(""C""&amp;row())),COUNTIF($C$7:indire"&amp;"ct(""C""&amp;row()),indirect(""C""&amp;row()))&lt;FILTER(Info!$I$2:I101, Info!$A$2:A101 = C101),ROUNDUP((FILTER(Info!$H$2:H101,Info!$A$2:A101=C101)/FILTER(Info!$H$2:H101,Info!$A$2:A101=$K$2))*$I$2)&gt;15),2,
AND(COUNTIF($C$7:indirect(""C""&amp;row()),indirect(""C""&amp;row()))"&amp;"=2,COUNTIF($C$7:$C$102,indirect(""C""&amp;row()))=COUNTIF($C$7:indirect(""C""&amp;row()),indirect(""C""&amp;row()))),""Final"",
COUNTIF($C$7:indirect(""C""&amp;row()),indirect(""C""&amp;row()))=1,1,
COUNTIF($C$7:indirect(""C""&amp;row()),indirect(""C""&amp;row()))=0,"""")"),"")</f>
        <v/>
      </c>
      <c r="F101" s="64" t="str">
        <f>IFERROR(__xludf.DUMMYFUNCTION("IFS(C101="""","""",
AND(C101=""3x3 FMC"",MOD(COUNTIF($C$7:indirect(""C""&amp;row()),indirect(""C""&amp;row())),3)=0),""Mean of 3"",
AND(C101=""3x3 MBLD"",MOD(COUNTIF($C$7:indirect(""C""&amp;row()),indirect(""C""&amp;row())),3)=0),""Best of 3"",
AND(C101=""3x3 FMC"",MOD(C"&amp;"OUNTIF($C$7:indirect(""C""&amp;row()),indirect(""C""&amp;row())),3)=2,
COUNTIF($C$7:$C$102,indirect(""C""&amp;row()))&lt;=COUNTIF($C$7:indirect(""C""&amp;row()),indirect(""C""&amp;row()))),""Best of 2"",
AND(C101=""3x3 FMC"",MOD(COUNTIF($C$7:indirect(""C""&amp;row()),indirect(""C"""&amp;"&amp;row())),3)=2,
COUNTIF($C$7:$C$102,indirect(""C""&amp;row()))&gt;COUNTIF($C$7:indirect(""C""&amp;row()),indirect(""C""&amp;row()))),""Mean of 3"",
AND(C101=""3x3 MBLD"",MOD(COUNTIF($C$7:indirect(""C""&amp;row()),indirect(""C""&amp;row())),3)=2,
COUNTIF($C$7:$C$102,indirect(""C"&amp;"""&amp;row()))&lt;=COUNTIF($C$7:indirect(""C""&amp;row()),indirect(""C""&amp;row()))),""Best of 2"",
AND(C101=""3x3 MBLD"",MOD(COUNTIF($C$7:indirect(""C""&amp;row()),indirect(""C""&amp;row())),3)=2,
COUNTIF($C$7:$C$102,indirect(""C""&amp;row()))&gt;COUNTIF($C$7:indirect(""C""&amp;row()),i"&amp;"ndirect(""C""&amp;row()))),""Best of 3"",
AND(C101=""3x3 FMC"",MOD(COUNTIF($C$7:indirect(""C""&amp;row()),indirect(""C""&amp;row())),3)=1,
COUNTIF($C$7:$C$102,indirect(""C""&amp;row()))&lt;=COUNTIF($C$7:indirect(""C""&amp;row()),indirect(""C""&amp;row()))),""Best of 1"",
AND(C101="&amp;"""3x3 FMC"",MOD(COUNTIF($C$7:indirect(""C""&amp;row()),indirect(""C""&amp;row())),3)=1,
COUNTIF($C$7:$C$102,indirect(""C""&amp;row()))=COUNTIF($C$7:indirect(""C""&amp;row()),indirect(""C""&amp;row()))+1),""Best of 2"",
AND(C101=""3x3 FMC"",MOD(COUNTIF($C$7:indirect(""C""&amp;row"&amp;"()),indirect(""C""&amp;row())),3)=1,
COUNTIF($C$7:$C$102,indirect(""C""&amp;row()))&gt;COUNTIF($C$7:indirect(""C""&amp;row()),indirect(""C""&amp;row()))),""Mean of 3"",
AND(C101=""3x3 MBLD"",MOD(COUNTIF($C$7:indirect(""C""&amp;row()),indirect(""C""&amp;row())),3)=1,
COUNTIF($C$7:$C"&amp;"$102,indirect(""C""&amp;row()))&lt;=COUNTIF($C$7:indirect(""C""&amp;row()),indirect(""C""&amp;row()))),""Best of 1"",
AND(C101=""3x3 MBLD"",MOD(COUNTIF($C$7:indirect(""C""&amp;row()),indirect(""C""&amp;row())),3)=1,
COUNTIF($C$7:$C$102,indirect(""C""&amp;row()))=COUNTIF($C$7:indire"&amp;"ct(""C""&amp;row()),indirect(""C""&amp;row()))+1),""Best of 2"",
AND(C101=""3x3 MBLD"",MOD(COUNTIF($C$7:indirect(""C""&amp;row()),indirect(""C""&amp;row())),3)=1,
COUNTIF($C$7:$C$102,indirect(""C""&amp;row()))&gt;COUNTIF($C$7:indirect(""C""&amp;row()),indirect(""C""&amp;row()))),""Best"&amp;" of 3"",
TRUE,(IFERROR(FILTER(Info!$D$2:D101, Info!$A$2:A101 = C101), """")))"),"")</f>
        <v/>
      </c>
      <c r="G101" s="64" t="str">
        <f>IFERROR(__xludf.DUMMYFUNCTION("IFS(OR(COUNTIF(Info!$A$22:A101,C101)&gt;0,C101=""""),"""",
OR(""3x3 MBLD""=C101,""3x3 FMC""=C101),60,
AND(E101=1,FILTER(Info!$F$2:F101, Info!$A$2:A101 = C101) = ""No""),FILTER(Info!$P$2:P101, Info!$A$2:A101 = C101),
AND(E101=2,FILTER(Info!$F$2:F101, Info!$A$"&amp;"2:A101 = C101) = ""No""),FILTER(Info!$Q$2:Q101, Info!$A$2:A101 = C101),
AND(E101=3,FILTER(Info!$F$2:F101, Info!$A$2:A101 = C101) = ""No""),FILTER(Info!$R$2:R101, Info!$A$2:A101 = C101),
AND(E101=""Final"",FILTER(Info!$F$2:F101, Info!$A$2:A101 = C101) = """&amp;"No""),FILTER(Info!$S$2:S101, Info!$A$2:A101 = C101),
FILTER(Info!$F$2:F101, Info!$A$2:A101 = C101) = ""Yes"","""")"),"")</f>
        <v/>
      </c>
      <c r="H101" s="64" t="str">
        <f>IFERROR(__xludf.DUMMYFUNCTION("IFS(OR(COUNTIF(Info!$A$22:A101,C101)&gt;0,C101=""""),"""",
OR(""3x3 MBLD""=C101,""3x3 FMC""=C101)=TRUE,"""",
FILTER(Info!$F$2:F101, Info!$A$2:A101 = C101) = ""Yes"",FILTER(Info!$O$2:O101, Info!$A$2:A101 = C101),
FILTER(Info!$F$2:F101, Info!$A$2:A101 = C101) "&amp;"= ""No"",IF(G101="""",FILTER(Info!$O$2:O101, Info!$A$2:A101 = C101),""""))"),"")</f>
        <v/>
      </c>
      <c r="I101" s="64" t="str">
        <f>IFERROR(__xludf.DUMMYFUNCTION("IFS(OR(COUNTIF(Info!$A$22:A101,C101)&gt;0,C101="""",H101&lt;&gt;""""),"""",
AND(E101&lt;&gt;1,E101&lt;&gt;""R1 - A1"",E101&lt;&gt;""R1 - A2"",E101&lt;&gt;""R1 - A3""),"""",
FILTER(Info!$E$2:E101, Info!$A$2:A101 = C101) = ""Yes"",IF(H101="""",FILTER(Info!$L$2:L101, Info!$A$2:A101 = C101),"&amp;"""""),
FILTER(Info!$E$2:E101, Info!$A$2:A101 = C101) = ""No"","""")"),"")</f>
        <v/>
      </c>
      <c r="J101" s="64" t="str">
        <f>IFERROR(__xludf.DUMMYFUNCTION("IFS(OR(COUNTIF(Info!$A$22:A101,C101)&gt;0,C101="""",""3x3 MBLD""=C101,""3x3 FMC""=C101),"""",
AND(E101=1,FILTER(Info!$H$2:H101,Info!$A$2:A101 = C101)&lt;=FILTER(Info!$H$2:H101,Info!$A$2:A101=$K$2)),
ROUNDUP((FILTER(Info!$H$2:H101,Info!$A$2:A101 = C101)/FILTER(I"&amp;"nfo!$H$2:H101,Info!$A$2:A101=$K$2))*$I$2),
AND(E101=1,FILTER(Info!$H$2:H101,Info!$A$2:A101 = C101)&gt;FILTER(Info!$H$2:H101,Info!$A$2:A101=$K$2)),""K2 - Error"",
AND(E101=2,FILTER($J$7:indirect(""J""&amp;row()-1),$C$7:indirect(""C""&amp;row()-1)=C101)&lt;=7),""J - Erro"&amp;"r"",
E101=2,FLOOR(FILTER($J$7:indirect(""J""&amp;row()-1),$C$7:indirect(""C""&amp;row()-1)=C101)*Info!$T$32),
AND(E101=3,FILTER($J$7:indirect(""J""&amp;row()-1),$C$7:indirect(""C""&amp;row()-1)=C101)&lt;=15),""J - Error"",
E101=3,FLOOR(Info!$T$32*FLOOR(FILTER($J$7:indirect("&amp;"""J""&amp;row()-1),$C$7:indirect(""C""&amp;row()-1)=C101)*Info!$T$32)),
AND(E101=""Final"",COUNTIF($C$7:$C$102,C101)=2,FILTER($J$7:indirect(""J""&amp;row()-1),$C$7:indirect(""C""&amp;row()-1)=C101)&lt;=7),""J - Error"",
AND(E101=""Final"",COUNTIF($C$7:$C$102,C101)=2),
MIN(P"&amp;"101,FLOOR(FILTER($J$7:indirect(""J""&amp;row()-1),$C$7:indirect(""C""&amp;row()-1)=C101)*Info!$T$32)),
AND(E101=""Final"",COUNTIF($C$7:$C$102,C101)=3,FILTER($J$7:indirect(""J""&amp;row()-1),$C$7:indirect(""C""&amp;row()-1)=C101)&lt;=15),""J - Error"",
AND(E101=""Final"",COU"&amp;"NTIF($C$7:$C$102,C101)=3),
MIN(P101,FLOOR(Info!$T$32*FLOOR(FILTER($J$7:indirect(""J""&amp;row()-1),$C$7:indirect(""C""&amp;row()-1)=C101)*Info!$T$32))),
AND(E101=""Final"",COUNTIF($C$7:$C$102,C101)&gt;=4,FILTER($J$7:indirect(""J""&amp;row()-1),$C$7:indirect(""C""&amp;row()-"&amp;"1)=C101)&lt;=99),""J - Error"",
AND(E101=""Final"",COUNTIF($C$7:$C$102,C101)&gt;=4),
MIN(P101,FLOOR(Info!$T$32*FLOOR(Info!$T$32*FLOOR(FILTER($J$7:indirect(""J""&amp;row()-1),$C$7:indirect(""C""&amp;row()-1)=C101)*Info!$T$32)))))"),"")</f>
        <v/>
      </c>
      <c r="K101" s="41" t="str">
        <f>IFERROR(__xludf.DUMMYFUNCTION("IFS(AND(indirect(""D""&amp;row()+2)&lt;&gt;$E$2,indirect(""D""&amp;row()+1)=""""),CONCATENATE(""Tom rad! Kopiera hela rad ""&amp;row()&amp;"" dit""),
AND(indirect(""D""&amp;row()-1)&lt;&gt;""Rum"",indirect(""D""&amp;row()-1)=""""),CONCATENATE(""Tom rad! Kopiera hela rad ""&amp;row()&amp;"" dit""),
"&amp;"C101="""","""",
COUNTIF(Info!$A$22:A101,$K$2)&gt;0,""Det tyckte du var roligt? ( ͡❛ ͜ʖ ͡❛)"",
AND($M$2&gt;=2,$E$4=""""),""Skriv 1:a sidorummets namn i E4"",
AND($M$2&gt;=3,$K$4=""""),""Skriv 2:a sidorummets namn i K4"",
AND($M$2&gt;=4,$Q$4=""""),""Skriv 3:e sidorumme"&amp;"ts namn i Q4"",
AND($M$2&lt;2,$E$4&lt;&gt;""""),""Finns fler än 2 rum - ta bort i E4"",
AND($M$2&lt;3,$K$4&lt;&gt;""""),""Finns fler än 3 rum - ta bort i K4"",
AND($M$2&lt;4,$Q$4&lt;&gt;""""),""Finns fler än 4 rum - ta bort i Q4"",
OR(AND(D101&lt;&gt;$E$2,D101&lt;&gt;$E$4,D101&lt;&gt;$K$4,D101&lt;&gt;$Q$4"&amp;"),D101=""""),CONCATENATE(""Rum: ""&amp;D101&amp;"" finns ej, byt i D""&amp;row()),
AND(indirect(""D""&amp;row()-1)=""Rum"",C101=""""),CONCATENATE(""För att börja: skriv i cell C""&amp;row()),
AND(C101=""Paus"",M101&lt;=0),CONCATENATE(""Skriv pausens längd i M""&amp;row()),
OR(COUNT"&amp;"IF(Info!$A$22:A101,C101)&gt;0,C101=""""),"""",
AND(D101&lt;&gt;$E$2,$O$2=""Yes"",A101=""=time(hh;mm;ss)""),CONCATENATE(""Skriv starttid för ""&amp;C101&amp;"" i A""&amp;row()),
E101=""E - Error"",CONCATENATE(""För många ""&amp;C101&amp;"" rundor!""),
AND(C101&lt;&gt;""3x3 FMC"",C101&lt;&gt;""3x3"&amp;" MBLD"",E101&lt;&gt;1,E101&lt;&gt;""Final"",IFERROR(FILTER($E$7:indirect(""E""&amp;row()-1),
$E$7:indirect(""E""&amp;row()-1)=E101-1,$C$7:indirect(""C""&amp;row()-1)=C101))=FALSE),CONCATENATE(""Kan ej vara R""&amp;E101&amp;"", saknar R""&amp;(E101-1)),
AND(indirect(""E""&amp;row()-1)&lt;&gt;""Omgång"&amp;""",IFERROR(FILTER($E$7:indirect(""E""&amp;row()-1),
$E$7:indirect(""E""&amp;row()-1)=E101,$C$7:indirect(""C""&amp;row()-1)=C101)=E101)=TRUE),CONCATENATE(""Runda ""&amp;E101&amp;"" i ""&amp;C101&amp;"" finns redan""),
AND(C101&lt;&gt;""3x3 BLD"",C101&lt;&gt;""4x4 BLD"",C101&lt;&gt;""5x5 BLD"",C101&lt;&gt;"""&amp;"4x4 / 5x5 BLD"",OR(E101=2,E101=3,E101=""Final""),H101&lt;&gt;""""),CONCATENATE(E101&amp;""-rundor brukar ej ha c.t.l.""),
AND(OR(E101=2,E101=3,E101=""Final""),I101&lt;&gt;""""),CONCATENATE(E101&amp;""-rundor brukar ej ha cutoff""),
AND(OR(C101=""3x3 FMC"",C101=""3x3 MBLD""),"&amp;"OR(E101=1,E101=2,E101=3,E101=""Final"")),CONCATENATE(C101&amp;""s omgång är Rx - Ax""),
AND(C101&lt;&gt;""3x3 MBLD"",C101&lt;&gt;""3x3 FMC"",FILTER(Info!$D$2:D101, Info!$A$2:A101 = C101)&lt;&gt;F101),CONCATENATE(C101&amp;"" måste ha formatet ""&amp;FILTER(Info!$D$2:D101, Info!$A$2:A10"&amp;"1 = C101)),
AND(C101=""3x3 MBLD"",OR(F101=""Avg of 5"",F101=""Mean of 3"")),CONCATENATE(""Ogiltigt format för ""&amp;C101),
AND(C101=""3x3 FMC"",OR(F101=""Avg of 5"",F101=""Best of 3"")),CONCATENATE(""Ogiltigt format för ""&amp;C101),
AND(OR(F101=""Best of 1"",F1"&amp;"01=""Best of 2"",F101=""Best of 3""),I101&lt;&gt;""""),CONCATENATE(F101&amp;""-rundor får ej ha cutoff""),
AND(OR(C101=""3x3 FMC"",C101=""3x3 MBLD""),G101&lt;&gt;60),CONCATENATE(C101&amp;"" måste ha time limit: 60""),
AND(OR(C101=""3x3 FMC"",C101=""3x3 MBLD""),H101&lt;&gt;""""),CO"&amp;"NCATENATE(C101&amp;"" kan inte ha c.t.l.""),
AND(G101&lt;&gt;"""",H101&lt;&gt;""""),""Välj time limit ELLER c.t.l"",
AND(C101=""6x6 / 7x7"",G101="""",H101=""""),""Sätt time limit (x / y) eller c.t.l (z)"",
AND(G101="""",H101=""""),""Sätt en time limit eller c.t.l"",
AND("&amp;"OR(C101=""6x6 / 7x7"",C101=""4x4 / 5x5 BLD""),G101&lt;&gt;"""",REGEXMATCH(TO_TEXT(G101),"" / "")=FALSE),CONCATENATE(""Time limit måste vara x / y""),
AND(H101&lt;&gt;"""",I101&lt;&gt;""""),CONCATENATE(C101&amp;"" brukar ej ha cutoff OCH c.t.l""),
AND(E101=1,H101="""",I101="""""&amp;",OR(FILTER(Info!$E$2:E101, Info!$A$2:A101 = C101) = ""Yes"",FILTER(Info!$F$2:F101, Info!$A$2:A101 = C101) = ""Yes""),OR(F101=""Avg of 5"",F101=""Mean of 3"")),CONCATENATE(C101&amp;"" bör ha cutoff eller c.t.l""),
AND(C101=""6x6 / 7x7"",I101&lt;&gt;"""",REGEXMATCH(T"&amp;"O_TEXT(I101),"" / "")=FALSE),CONCATENATE(""Cutoff måste vara x / y""),
AND(H101&lt;&gt;"""",ISNUMBER(H101)=FALSE),""C.t.l. måste vara positivt tal (x)"",
AND(C101&lt;&gt;""6x6 / 7x7"",I101&lt;&gt;"""",ISNUMBER(I101)=FALSE),""Cutoff måste vara positivt tal (x)"",
AND(H101&lt;&gt;"&amp;""""",FILTER(Info!$E$2:E101, Info!$A$2:A101 = C101) = ""No"",FILTER(Info!$F$2:F101, Info!$A$2:A101 = C101) = ""No""),CONCATENATE(C101&amp;"" brukar inte ha c.t.l.""),
AND(I101&lt;&gt;"""",FILTER(Info!$E$2:E101, Info!$A$2:A101 = C101) = ""No"",FILTER(Info!$F$2:F101, "&amp;"Info!$A$2:A101 = C101) = ""No""),CONCATENATE(C101&amp;"" brukar inte ha cutoff""),
AND(H101="""",FILTER(Info!$F$2:F101, Info!$A$2:A101 = C101) = ""Yes""),CONCATENATE(C101&amp;"" brukar ha c.t.l.""),
AND(C101&lt;&gt;""6x6 / 7x7"",C101&lt;&gt;""4x4 / 5x5 BLD"",G101&lt;&gt;"""",ISNUM"&amp;"BER(G101)=FALSE),""Time limit måste vara positivt tal (x)"",
J101=""J - Error"",CONCATENATE(""För få deltagare i R1 för ""&amp;COUNTIF($C$7:$C$102,indirect(""C""&amp;row()))&amp;"" rundor""),
J101=""K2 - Error"",CONCATENATE(C101&amp;"" är mer populär - byt i K2!""),
AND("&amp;"C101&lt;&gt;""6x6 / 7x7"",C101&lt;&gt;""4x4 / 5x5 BLD"",G101&lt;&gt;"""",I101&lt;&gt;"""",G101&lt;=I101),""Time limit måste vara &gt; cutoff"",
AND(C101&lt;&gt;""6x6 / 7x7"",C101&lt;&gt;""4x4 / 5x5 BLD"",H101&lt;&gt;"""",I101&lt;&gt;"""",H101&lt;=I101),""C.t.l. måste vara &gt; cutoff"",
AND(C101&lt;&gt;""3x3 FMC"",C101&lt;"&amp;"&gt;""3x3 MBLD"",J101=""""),CONCATENATE(""Fyll i antal deltagare i J""&amp;row()),
AND(C101="""",OR(E101&lt;&gt;"""",F101&lt;&gt;"""",G101&lt;&gt;"""",H101&lt;&gt;"""",I101&lt;&gt;"""",J101&lt;&gt;"""")),""Skriv ALLTID gren / aktivitet först"",
AND(I101="""",H101="""",J101&lt;&gt;""""),J101,
OR(""3x3 FM"&amp;"C""=C101,""3x3 MBLD""=C101),J101,
AND(I101&lt;&gt;"""",""6x6 / 7x7""=C101),
IFS(ArrayFormula(SUM(IFERROR(SPLIT(I101,"" / ""))))&lt;(Info!$J$6+Info!$J$7)*2/3,CONCATENATE(""Höj helst cutoffs i ""&amp;C101),
ArrayFormula(SUM(IFERROR(SPLIT(I101,"" / ""))))&lt;=(Info!$J$6+Inf"&amp;"o!$J$7),ROUNDUP(J101*Info!$J$22),
ArrayFormula(SUM(IFERROR(SPLIT(I101,"" / ""))))&lt;=Info!$J$6+Info!$J$7,ROUNDUP(J101*Info!$K$22),
ArrayFormula(SUM(IFERROR(SPLIT(I101,"" / ""))))&lt;=Info!$K$6+Info!$K$7,ROUNDUP(J101*Info!L$22),
ArrayFormula(SUM(IFERROR(SPLIT(I"&amp;"101,"" / ""))))&lt;=Info!$L$6+Info!$L$7,ROUNDUP(J101*Info!$M$22),
ArrayFormula(SUM(IFERROR(SPLIT(I101,"" / ""))))&lt;=Info!$M$6+Info!$M$7,ROUNDUP(J101*Info!$N$22),
ArrayFormula(SUM(IFERROR(SPLIT(I101,"" / ""))))&lt;=(Info!$N$6+Info!$N$7)*3/2,ROUNDUP(J101*Info!$J$2"&amp;"6),
ArrayFormula(SUM(IFERROR(SPLIT(I101,"" / ""))))&gt;(Info!$N$6+Info!$N$7)*3/2,CONCATENATE(""Sänk helst cutoffs i ""&amp;C101)),
AND(I101&lt;&gt;"""",FILTER(Info!$E$2:E101, Info!$A$2:A101 = C101) = ""Yes""),
IFS(I101&lt;FILTER(Info!$J$2:J101, Info!$A$2:A101 = C101)*2/3"&amp;",CONCATENATE(""Höj helst cutoff i ""&amp;C101),
I101&lt;=FILTER(Info!$J$2:J101, Info!$A$2:A101 = C101),ROUNDUP(J101*Info!$J$22),
I101&lt;=FILTER(Info!$K$2:K101, Info!$A$2:A101 = C101),ROUNDUP(J101*Info!$K$22),
I101&lt;=FILTER(Info!$L$2:L101, Info!$A$2:A101 = C101),ROU"&amp;"NDUP(J101*Info!L$22),
I101&lt;=FILTER(Info!$M$2:M101, Info!$A$2:A101 = C101),ROUNDUP(J101*Info!$M$22),
I101&lt;=FILTER(Info!$N$2:N101, Info!$A$2:A101 = C101),ROUNDUP(J101*Info!$N$22),
I101&lt;=FILTER(Info!$N$2:N101, Info!$A$2:A101 = C101)*3/2,ROUNDUP(J101*Info!$J$"&amp;"26),
I101&gt;FILTER(Info!$N$2:N101, Info!$A$2:A101 = C101)*3/2,CONCATENATE(""Sänk helst cutoff i ""&amp;C101)),
AND(H101&lt;&gt;"""",""6x6 / 7x7""=C101),
IFS(H101/3&lt;=(Info!$J$6+Info!$J$7)*2/3,""Höj helst cumulative time limit"",
H101/3&lt;=Info!$J$6+Info!$J$7,ROUNDUP(J10"&amp;"1*Info!$J$24),
H101/3&lt;=Info!$K$6+Info!$K$7,ROUNDUP(J101*Info!$K$24),
H101/3&lt;=Info!$L$6+Info!$L$7,ROUNDUP(J101*Info!L$24),
H101/3&lt;=Info!$M$6+Info!$M$7,ROUNDUP(J101*Info!$M$24),
H101/3&lt;=Info!$N$6+Info!$N$7,ROUNDUP(J101*Info!$N$24),
H101/3&lt;=(Info!$N$6+Info!$"&amp;"N$7)*3/2,ROUNDUP(J101*Info!$L$26),
H101/3&gt;(Info!$J$6+Info!$J$7)*3/2,""Sänk helst cumulative time limit""),
AND(H101&lt;&gt;"""",FILTER(Info!$F$2:F101, Info!$A$2:A101 = C101) = ""Yes""),
IFS(H101&lt;=FILTER(Info!$J$2:J101, Info!$A$2:A101 = C101)*2/3,CONCATENATE(""H"&amp;"öj helst c.t.l. i ""&amp;C101),
H101&lt;=FILTER(Info!$J$2:J101, Info!$A$2:A101 = C101),ROUNDUP(J101*Info!$J$24),
H101&lt;=FILTER(Info!$K$2:K101, Info!$A$2:A101 = C101),ROUNDUP(J101*Info!$K$24),
H101&lt;=FILTER(Info!$L$2:L101, Info!$A$2:A101 = C101),ROUNDUP(J101*Info!L"&amp;"$24),
H101&lt;=FILTER(Info!$M$2:M101, Info!$A$2:A101 = C101),ROUNDUP(J101*Info!$M$24),
H101&lt;=FILTER(Info!$N$2:N101, Info!$A$2:A101 = C101),ROUNDUP(J101*Info!$N$24),
H101&lt;=FILTER(Info!$N$2:N101, Info!$A$2:A101 = C101)*3/2,ROUNDUP(J101*Info!$L$26),
H101&gt;FILTER"&amp;"(Info!$N$2:N101, Info!$A$2:A101 = C101)*3/2,CONCATENATE(""Sänk helst c.t.l. i ""&amp;C101)),
AND(H101&lt;&gt;"""",FILTER(Info!$F$2:F101, Info!$A$2:A101 = C101) = ""No""),
IFS(H101/AA101&lt;=FILTER(Info!$J$2:J101, Info!$A$2:A101 = C101)*2/3,CONCATENATE(""Höj helst c.t."&amp;"l. i ""&amp;C101),
H101/AA101&lt;=FILTER(Info!$J$2:J101, Info!$A$2:A101 = C101),ROUNDUP(J101*Info!$J$24),
H101/AA101&lt;=FILTER(Info!$K$2:K101, Info!$A$2:A101 = C101),ROUNDUP(J101*Info!$K$24),
H101/AA101&lt;=FILTER(Info!$L$2:L101, Info!$A$2:A101 = C101),ROUNDUP(J101*I"&amp;"nfo!L$24),
H101/AA101&lt;=FILTER(Info!$M$2:M101, Info!$A$2:A101 = C101),ROUNDUP(J101*Info!$M$24),
H101/AA101&lt;=FILTER(Info!$N$2:N101, Info!$A$2:A101 = C101),ROUNDUP(J101*Info!$N$24),
H101/AA101&lt;=FILTER(Info!$N$2:N101, Info!$A$2:A101 = C101)*3/2,ROUNDUP(J101*I"&amp;"nfo!$L$26),
H101/AA101&gt;FILTER(Info!$N$2:N101, Info!$A$2:A101 = C101)*3/2,CONCATENATE(""Sänk helst c.t.l. i ""&amp;C101)),
AND(I101="""",H101&lt;&gt;"""",J101&lt;&gt;""""),ROUNDUP(J101*Info!$T$29),
AND(I101&lt;&gt;"""",H101="""",J101&lt;&gt;""""),ROUNDUP(J101*Info!$T$26))"),"")</f>
        <v/>
      </c>
      <c r="L101" s="42">
        <f>IFERROR(__xludf.DUMMYFUNCTION("IFS(C101="""",0,
C101=""3x3 FMC"",Info!$B$9*N101+M101, C101=""3x3 MBLD"",Info!$B$18*N101+M101,
COUNTIF(Info!$A$22:A101,C101)&gt;0,FILTER(Info!$B$22:B101,Info!$A$22:A101=C101)+M101,
AND(C101&lt;&gt;"""",E101=""""),CONCATENATE(""Fyll i E""&amp;row()),
AND(C101&lt;&gt;"""",E10"&amp;"1&lt;&gt;"""",E101&lt;&gt;1,E101&lt;&gt;2,E101&lt;&gt;3,E101&lt;&gt;""Final""),CONCATENATE(""Fel format på E""&amp;row()),
K101=CONCATENATE(""Runda ""&amp;E101&amp;"" i ""&amp;C101&amp;"" finns redan""),CONCATENATE(""Fel i E""&amp;row()),
AND(C101&lt;&gt;"""",F101=""""),CONCATENATE(""Fyll i F""&amp;row()),
K101=CONCAT"&amp;"ENATE(C101&amp;"" måste ha formatet ""&amp;FILTER(Info!$D$2:D101, Info!$A$2:A101 = C101)),CONCATENATE(""Fel format på F""&amp;row()),
AND(C101&lt;&gt;"""",D101=1,H101="""",FILTER(Info!$F$2:F101, Info!$A$2:A101 = C101) = ""Yes""),CONCATENATE(""Fyll i H""&amp;row()),
AND(C101&lt;&gt;"&amp;""""",D101=1,I101="""",FILTER(Info!$E$2:E101, Info!$A$2:A101 = C101) = ""Yes""),CONCATENATE(""Fyll i I""&amp;row()),
AND(C101&lt;&gt;"""",J101=""""),CONCATENATE(""Fyll i J""&amp;row()),
AND(C101&lt;&gt;"""",K101="""",OR(H101&lt;&gt;"""",I101&lt;&gt;"""")),CONCATENATE(""Fyll i K""&amp;row()),"&amp;"
AND(C101&lt;&gt;"""",K101=""""),CONCATENATE(""Skriv samma i K""&amp;row()&amp;"" som i J""&amp;row()),
AND(OR(C101=""4x4 BLD"",C101=""5x5 BLD"",C101=""4x4 / 5x5 BLD"")=TRUE,V101&lt;=P101),
MROUND(H101*(Info!$T$20-((Info!$T$20-1)/2)*(1-V101/P101))*(1+((J101/K101)-1)*(1-Info!$"&amp;"J$24))*N101+(Info!$T$11/2)+(N101*Info!$T$11)+(N101*Info!$T$14*(O101-1)),0.01)+M101,
AND(OR(C101=""4x4 BLD"",C101=""5x5 BLD"",C101=""4x4 / 5x5 BLD"")=TRUE,V101&gt;P101),
MROUND((((J101*Z101+K101*(AA101-Z101))*(H101*Info!$T$20/AA101))/X101)*(1+((J101/K101)-1)*"&amp;"(1-Info!$J$24))*(1+(X101-Info!$T$8)/100)+(Info!$T$11/2)+(N101*Info!$T$11)+(N101*Info!$T$14*(O101-1)),0.01)+M101,
AND(C101=""3x3 BLD"",V101&lt;=P101),
MROUND(H101*(Info!$T$23-((Info!$T$23-1)/2)*(1-V101/P101))*(1+((J101/K101)-1)*(1-Info!$J$24))*N101+(Info!$T$1"&amp;"1/2)+(N101*Info!$T$11)+(N101*Info!$T$14*(O101-1)),0.01)+M101,
AND(C101=""3x3 BLD"",V101&gt;P101),
MROUND((((J101*Z101+K101*(AA101-Z101))*(H101*Info!$T$23/AA101))/X101)*(1+((J101/K101)-1)*(1-Info!$J$24))*(1+(X101-Info!$T$8)/100)+(Info!$T$11/2)+(N101*Info!$T$1"&amp;"1)+(N101*Info!$T$14*(O101-1)),0.01)+M101,
E101=1,MROUND((((J101*Z101+K101*(AA101-Z101))*Y101)/X101)*(1+(X101-Info!$T$8)/100)+(N101*Info!$T$11)+(N101*Info!$T$14*(O101-1)),0.01)+M101,
AND(E101=""Final"",N101=1,FILTER(Info!$G$2:$G$20,Info!$A$2:$A$20=C101)="""&amp;"Mycket svår""),
MROUND((((J101*Z101+K101*(AA101-Z101))*(Y101*Info!$T$38))/X101)*(1+(X101-Info!$T$8)/100)+(N101*Info!$T$11)+(N101*Info!$T$14*(O101-1)),0.01)+M101,
AND(E101=""Final"",N101=1,FILTER(Info!$G$2:$G$20,Info!$A$2:$A$20=C101)=""Svår""),
MROUND((((J"&amp;"101*Z101+K101*(AA101-Z101))*(Y101*Info!$T$35))/X101)*(1+(X101-Info!$T$8)/100)+(N101*Info!$T$11)+(N101*Info!$T$14*(O101-1)),0.01)+M101,
E101=""Final"",MROUND((((J101*Z101+K101*(AA101-Z101))*(Y101*Info!$T$5))/X101)*(1+(X101-Info!$T$8)/100)+(N101*Info!$T$11)"&amp;"+(N101*Info!$T$14*(O101-1)),0.01)+M101,
OR(E101=2,E101=3),MROUND((((J101*Z101+K101*(AA101-Z101))*(Y101*Info!$T$2))/X101)*(1+(X101-Info!$T$8)/100)+(N101*Info!$T$11)+(N101*Info!$T$14*(O101-1)),0.01)+M101)"),0.0)</f>
        <v>0</v>
      </c>
      <c r="M101" s="43">
        <f t="shared" si="9"/>
        <v>0</v>
      </c>
      <c r="N101" s="43" t="str">
        <f>IFS(OR(COUNTIF(Info!$A$22:A101,C101)&gt;0,C101=""),"",
OR(C101="4x4 BLD",C101="5x5 BLD",C101="3x3 MBLD",C101="3x3 FMC",C101="4x4 / 5x5 BLD"),1,
AND(E101="Final",Q101="Yes",MAX(1,ROUNDUP(J101/P101))&gt;1),MAX(2,ROUNDUP(J101/P101)),
AND(E101="Final",Q101="No",MAX(1,ROUNDUP(J101/((P101*2)+2.625-Y101*1.5)))&gt;1),MAX(2,ROUNDUP(J101/((P101*2)+2.625-Y101*1.5))),
E101="Final",1,
Q101="Yes",MAX(2,ROUNDUP(J101/P101)),
TRUE,MAX(2,ROUNDUP(J101/((P101*2)+2.625-Y101*1.5))))</f>
        <v/>
      </c>
      <c r="O101" s="43" t="str">
        <f>IFS(OR(COUNTIF(Info!$A$22:A101,C101)&gt;0,C101=""),"",
OR("3x3 MBLD"=C101,"3x3 FMC"=C101)=TRUE,"",
D101=$E$4,$G$6,D101=$K$4,$M$6,D101=$Q$4,$S$6,D101=$W$4,$Y$6,
TRUE,$S$2)</f>
        <v/>
      </c>
      <c r="P101" s="43" t="str">
        <f>IFS(OR(COUNTIF(Info!$A$22:A101,C101)&gt;0,C101=""),"",
OR("3x3 MBLD"=C101,"3x3 FMC"=C101)=TRUE,"",
D101=$E$4,$E$6,D101=$K$4,$K$6,D101=$Q$4,$Q$6,D101=$W$4,$W$6,
TRUE,$Q$2)</f>
        <v/>
      </c>
      <c r="Q101" s="44" t="str">
        <f>IFS(OR(COUNTIF(Info!$A$22:A101,C101)&gt;0,C101=""),"",
OR("3x3 MBLD"=C101,"3x3 FMC"=C101)=TRUE,"",
D101=$E$4,$I$6,D101=$K$4,$O$6,D101=$Q$4,$U$6,D101=$W$4,$AA$6,
TRUE,$U$2)</f>
        <v/>
      </c>
      <c r="R101" s="65" t="str">
        <f>IFERROR(__xludf.DUMMYFUNCTION("IF(C101="""","""",IFERROR(FILTER(Info!$B$22:B101,Info!$A$22:A101=C101)+M101,""?""))"),"")</f>
        <v/>
      </c>
      <c r="S101" s="66" t="str">
        <f>IFS(OR(COUNTIF(Info!$A$22:A101,C101)&gt;0,C101=""),"",
AND(H101="",I101=""),J101,
TRUE,"?")</f>
        <v/>
      </c>
      <c r="T101" s="65" t="str">
        <f>IFS(OR(COUNTIF(Info!$A$22:A101,C101)&gt;0,C101=""),"",
AND(L101&lt;&gt;0,OR(R101="?",R101="")),"Fyll i R-kolumnen",
OR(C101="3x3 FMC",C101="3x3 MBLD"),R101,
AND(L101&lt;&gt;0,OR(S101="?",S101="")),"Fyll i S-kolumnen",
OR(COUNTIF(Info!$A$22:A101,C101)&gt;0,C101=""),"",
TRUE,Y101*R101/L101)</f>
        <v/>
      </c>
      <c r="U101" s="65"/>
      <c r="V101" s="67" t="str">
        <f>IFS(OR(COUNTIF(Info!$A$22:A101,C101)&gt;0,C101=""),"",
OR("3x3 MBLD"=C101,"3x3 FMC"=C101)=TRUE,"",
TRUE,MROUND((J101/N101),0.01))</f>
        <v/>
      </c>
      <c r="W101" s="68" t="str">
        <f>IFS(OR(COUNTIF(Info!$A$22:A101,C101)&gt;0,C101=""),"",
TRUE,L101/N101)</f>
        <v/>
      </c>
      <c r="X101" s="67" t="str">
        <f>IFS(OR(COUNTIF(Info!$A$22:A101,C101)&gt;0,C101=""),"",
OR("3x3 MBLD"=C101,"3x3 FMC"=C101)=TRUE,"",
OR(C101="4x4 BLD",C101="5x5 BLD",C101="4x4 / 5x5 BLD",AND(C101="3x3 BLD",H101&lt;&gt;""))=TRUE,MIN(V101,P101),
TRUE,MIN(P101,V101,MROUND(((V101*2/3)+((Y101-1.625)/2)),0.01)))</f>
        <v/>
      </c>
      <c r="Y101" s="68" t="str">
        <f>IFERROR(__xludf.DUMMYFUNCTION("IFS(OR(COUNTIF(Info!$A$22:A101,C101)&gt;0,C101=""""),"""",
FILTER(Info!$F$2:F101, Info!$A$2:A101 = C101) = ""Yes"",H101/AA101,
""3x3 FMC""=C101,Info!$B$9,""3x3 MBLD""=C101,Info!$B$18,
AND(E101=1,I101="""",H101="""",Q101=""No"",G101&gt;SUMIF(Info!$A$2:A101,C101,"&amp;"Info!$B$2:B101)*1.5),
MIN(SUMIF(Info!$A$2:A101,C101,Info!$B$2:B101)*1.1,SUMIF(Info!$A$2:A101,C101,Info!$B$2:B101)*(1.15-(0.15*(SUMIF(Info!$A$2:A101,C101,Info!$B$2:B101)*1.5)/G101))),
AND(E101=1,I101="""",H101="""",Q101=""Yes"",G101&gt;SUMIF(Info!$A$2:A101,C1"&amp;"01,Info!$C$2:C101)*1.5),
MIN(SUMIF(Info!$A$2:A101,C101,Info!$C$2:C101)*1.1,SUMIF(Info!$A$2:A101,C101,Info!$C$2:C101)*(1.15-(0.15*(SUMIF(Info!$A$2:A101,C101,Info!$C$2:C101)*1.5)/G101))),
Q101=""No"",SUMIF(Info!$A$2:A101,C101,Info!$B$2:B101),
Q101=""Yes"",S"&amp;"UMIF(Info!$A$2:A101,C101,Info!$C$2:C101))"),"")</f>
        <v/>
      </c>
      <c r="Z101" s="67" t="str">
        <f>IFS(OR(COUNTIF(Info!$A$22:A101,C101)&gt;0,C101=""),"",
AND(OR("3x3 FMC"=C101,"3x3 MBLD"=C101),I101&lt;&gt;""),1,
AND(OR(H101&lt;&gt;"",I101&lt;&gt;""),F101="Avg of 5"),2,
F101="Avg of 5",AA101,
AND(OR(H101&lt;&gt;"",I101&lt;&gt;""),F101="Mean of 3",C101="6x6 / 7x7"),2,
AND(OR(H101&lt;&gt;"",I101&lt;&gt;""),F101="Mean of 3"),1,
F101="Mean of 3",AA101,
AND(OR(H101&lt;&gt;"",I101&lt;&gt;""),F101="Best of 3",C101="4x4 / 5x5 BLD"),2,
AND(OR(H101&lt;&gt;"",I101&lt;&gt;""),F101="Best of 3"),1,
F101="Best of 2",AA101,
F101="Best of 1",AA101)</f>
        <v/>
      </c>
      <c r="AA101" s="67" t="str">
        <f>IFS(OR(COUNTIF(Info!$A$22:A101,C101)&gt;0,C101=""),"",
AND(OR("3x3 MBLD"=C101,"3x3 FMC"=C101),F101="Best of 1"=TRUE),1,
AND(OR("3x3 MBLD"=C101,"3x3 FMC"=C101),F101="Best of 2"=TRUE),2,
AND(OR("3x3 MBLD"=C101,"3x3 FMC"=C101),OR(F101="Best of 3",F101="Mean of 3")=TRUE),3,
AND(F101="Mean of 3",C101="6x6 / 7x7"),6,
AND(F101="Best of 3",C101="4x4 / 5x5 BLD"),6,
F101="Avg of 5",5,F101="Mean of 3",3,F101="Best of 3",3,F101="Best of 2",2,F101="Best of 1",1)</f>
        <v/>
      </c>
      <c r="AB101" s="69"/>
    </row>
    <row r="102" ht="15.75" customHeight="1">
      <c r="A102" s="70" t="s">
        <v>61</v>
      </c>
      <c r="B102" s="3"/>
      <c r="C102" s="71" t="str">
        <f>CONCATENATE("Klistra in ev. extra
dag ovanför rad "&amp;row(),)</f>
        <v>Klistra in ev. extra
dag ovanför rad 102</v>
      </c>
      <c r="D102" s="72"/>
      <c r="E102" s="6"/>
      <c r="F102" s="54"/>
      <c r="G102" s="55"/>
      <c r="H102" s="55"/>
      <c r="I102" s="55"/>
      <c r="J102" s="55"/>
      <c r="K102" s="55"/>
      <c r="L102" s="56"/>
      <c r="M102" s="55"/>
      <c r="N102" s="55"/>
      <c r="O102" s="55"/>
      <c r="P102" s="55"/>
      <c r="Q102" s="55"/>
      <c r="R102" s="56" t="str">
        <f>$L$51</f>
        <v/>
      </c>
      <c r="S102" s="55"/>
      <c r="T102" s="55"/>
      <c r="U102" s="55"/>
      <c r="V102" s="55"/>
      <c r="W102" s="55"/>
      <c r="X102" s="55"/>
      <c r="Y102" s="55"/>
      <c r="Z102" s="55"/>
      <c r="AA102" s="55"/>
      <c r="AB102" s="56"/>
    </row>
    <row r="103" ht="15.75" customHeight="1">
      <c r="A103" s="10"/>
      <c r="B103" s="11"/>
      <c r="C103" s="10"/>
      <c r="D103" s="73" t="str">
        <f>$E$2</f>
        <v>Stora salen</v>
      </c>
      <c r="E103" s="59"/>
      <c r="F103" s="28"/>
      <c r="G103" s="74"/>
      <c r="H103" s="74"/>
      <c r="I103" s="74"/>
      <c r="J103" s="74"/>
      <c r="K103" s="74"/>
      <c r="L103" s="75">
        <f>IFERROR(__xludf.DUMMYFUNCTION("IF($O$2=""No"",5760-($A$6*60+$B$6)-SUM($L$7:indirect(""L""&amp;row()-2)),
5760-($A$6*60+$B$6)-SUM(FILTER($L$7:indirect(""L""&amp;row()-2),REGEXMATCH($D$7:indirect(""D""&amp;row()-2),$E$2))))"),930.0)</f>
        <v>930</v>
      </c>
      <c r="M103" s="60"/>
      <c r="N103" s="60"/>
      <c r="O103" s="74"/>
      <c r="P103" s="74"/>
      <c r="Q103" s="60"/>
      <c r="R103" s="61">
        <f>$L$103</f>
        <v>930</v>
      </c>
      <c r="S103" s="60"/>
      <c r="T103" s="60"/>
      <c r="U103" s="60"/>
      <c r="V103" s="60"/>
      <c r="W103" s="60"/>
      <c r="X103" s="60"/>
      <c r="Y103" s="74"/>
      <c r="Z103" s="74"/>
      <c r="AA103" s="60"/>
      <c r="AB103" s="61"/>
    </row>
    <row r="104" ht="15.75" customHeight="1">
      <c r="A104" s="76" t="str">
        <f>CONCATENATE("Tävlingen tog totalt:")</f>
        <v>Tävlingen tog totalt:</v>
      </c>
      <c r="C104" s="77">
        <f>$C$6</f>
        <v>44562</v>
      </c>
      <c r="E104" s="77">
        <f>$C$29</f>
        <v>44563</v>
      </c>
      <c r="G104" s="78">
        <f>$C$52</f>
        <v>44564</v>
      </c>
      <c r="H104" s="2"/>
      <c r="I104" s="78">
        <f>$C$78</f>
        <v>44565</v>
      </c>
      <c r="J104" s="3"/>
      <c r="K104" s="79" t="s">
        <v>62</v>
      </c>
      <c r="L104" s="2"/>
      <c r="M104" s="79" t="s">
        <v>63</v>
      </c>
      <c r="N104" s="3"/>
      <c r="O104" s="79" t="s">
        <v>64</v>
      </c>
      <c r="P104" s="3"/>
      <c r="Q104" s="79" t="s">
        <v>65</v>
      </c>
      <c r="R104" s="2"/>
      <c r="S104" s="79" t="s">
        <v>66</v>
      </c>
      <c r="T104" s="3"/>
      <c r="U104" s="79" t="s">
        <v>67</v>
      </c>
      <c r="V104" s="3"/>
      <c r="W104" s="79" t="str">
        <f>CONCATENATE("Rundor med fler än "&amp;Info!$T$8&amp;" timers")</f>
        <v>Rundor med fler än 16 timers</v>
      </c>
      <c r="X104" s="3"/>
      <c r="Y104" s="79" t="s">
        <v>68</v>
      </c>
      <c r="Z104" s="3"/>
      <c r="AA104" s="79" t="s">
        <v>69</v>
      </c>
      <c r="AB104" s="3"/>
    </row>
    <row r="105" ht="15.75" customHeight="1">
      <c r="A105" s="80" t="str">
        <f>IFERROR(__xludf.DUMMYFUNCTION("IFS(SUM($L$7:$L$102)=$L$29+$L$52+$L$78,""Tom tävling - lägg till grenar!"",
IFERROR(FILTER($T$7:$T$102,$T$7:$T$102=""Fyll i R-kolumnen"")=""Fyll i R-kolumnen"")=TRUE,""Fyll först i kolumn R"",
SUM($L$7:$L$102)&lt;=SUM($R$7:$R$102),CONCATENATE((MROUND(SUM($R$"&amp;"7:$R$102)-SUM($L$7:$L$102),0.01))&amp;"" min längre än planerat""),
TRUE,CONCATENATE((MROUND(SUM($L$7:$L$102)-SUM($R$7:$R$102),0.01))&amp;"" min kortare än planerat""))"),"Tom tävling - lägg till grenar!")</f>
        <v>Tom tävling - lägg till grenar!</v>
      </c>
      <c r="B105" s="10"/>
      <c r="C105" s="80" t="str">
        <f>IFERROR(__xludf.DUMMYFUNCTION("IFS(SUM($L$7:$L$28)=0,""Tom tävling - lägg till grenar!"",
IFERROR(FILTER($T$7:$T$28,$T$7:$T$28=""Fyll i R-kolumnen"")=""Fyll i R-kolumnen"")=TRUE,""Fyll först i kolumn R"", 
SUM($L$7:$L$28)&lt;=SUM($R$7:$R$28),CONCATENATE((MROUND(SUM($R$7:$R$28)-SUM($L$7:$L"&amp;"$28),0.01))&amp;"" min längre än plan""),
TRUE,CONCATENATE((MROUND(SUM($L$7:$L$28)-SUM($R$7:$R$28),0.01))&amp;"" min kortare än plan""))"),"Tom tävling - lägg till grenar!")</f>
        <v>Tom tävling - lägg till grenar!</v>
      </c>
      <c r="D105" s="10"/>
      <c r="E105" s="81" t="str">
        <f>IFERROR(__xludf.DUMMYFUNCTION("IFS(SUM($L$30:$L$51)=0,""Ej tävling denna dag"",
IFERROR(FILTER($T$30:$T$51,$T$30:$T$51=""Fyll i R-kolumnen"")=""Fyll i R-kolumnen"")=TRUE,""Fyll först i kolumn R"",
SUM($L$30:$L$51)&lt;=SUM($R$30:$R$51),CONCATENATE((MROUND(SUM($R$30:$R$51)-SUM($L$30:$L$51),"&amp;"0.01))&amp;"" min längre än plan""),
TRUE,CONCATENATE((MROUND(SUM($L$30:$L$51)-SUM($R$30:$R$51),0.01))&amp;"" min kortare än plan""))"),"Ej tävling denna dag")</f>
        <v>Ej tävling denna dag</v>
      </c>
      <c r="F105" s="10"/>
      <c r="G105" s="82" t="str">
        <f>IFERROR(__xludf.DUMMYFUNCTION("IFS(SUM($L$53:$L$77)=0,""Ej tävling denna dag"",
IFERROR(FILTER($T$53:$T$77,$T$53:$T$77=""Fyll i R-kolumnen"")=""Fyll i R-kolumnen"")=TRUE,""Fyll först i kolumn R"",
SUM($L$53:$L$77)&lt;=SUM($R$53:$R$77),CONCATENATE((MROUND(SUM($R$53:$R$77)-SUM($L$53:$L$77),"&amp;"0.01))&amp;"" min längre än plan""),
TRUE,CONCATENATE((MROUND(SUM($L$53:$L$77)-SUM($R$53:$R$77),0.01))&amp;"" min kortare än plan""))"),"Ej tävling denna dag")</f>
        <v>Ej tävling denna dag</v>
      </c>
      <c r="H105" s="10"/>
      <c r="I105" s="82" t="str">
        <f>IFERROR(__xludf.DUMMYFUNCTION("IFS(SUM($L$79:$L$102)=0,""Ej tävling denna dag"",
IFERROR(FILTER($T$79:$T$102,$T$79:$T$102=""Fyll i R-kolumnen"")=""Fyll i R-kolumnen"")=TRUE,""Fyll först i kolumn R"",
SUM($L$79:$L$102)&lt;=SUM($R$79:$R$102),CONCATENATE((MROUND(SUM($R$79:$R$102)-SUM($L$79:$"&amp;"L$102),0.01))&amp;"" min längre än plan""),
TRUE,CONCATENATE((MROUND(SUM($L$79:$L$102)-SUM($R$79:$R$102),0.01))&amp;"" min kortare än plan""))"),"Ej tävling denna dag")</f>
        <v>Ej tävling denna dag</v>
      </c>
      <c r="J105" s="11"/>
      <c r="K105" s="83" t="str">
        <f>IFERROR(__xludf.DUMMYFUNCTION("IFS(SUM($L$7:$L$102)=$L$29+$L$52+$L$78,""Tom tävling - lägg till grenar!"",
IFERROR(FILTER($T$7:$T$102,$T$7:$T$102=""Fyll i R-kolumnen"")=""Fyll i R-kolumnen"")=TRUE,""Fyll först i kolumn R"",
SUMIF($E$7:$E$102,1,$L$7:$L$102)&lt;=SUMIF($E$7:$E$102,1,$R$7:$R$"&amp;"102),CONCATENATE((MROUND(SUMIF($E$7:$E$102,1,$R$7:$R$102)-SUMIF($E$7:$E$102,1,$L$7:$L$102),0.01))&amp;"" min längre än planerat""),
TRUE,CONCATENATE((MROUND(SUMIF($E$7:$E$102,1,$L$7:$L$102)-SUMIF($E$7:$E$102,1,$R$7:$R$102),0.01))&amp;"" min kortare än planerat"")"&amp;")"),"Tom tävling - lägg till grenar!")</f>
        <v>Tom tävling - lägg till grenar!</v>
      </c>
      <c r="M105" s="21" t="str">
        <f>IFERROR(__xludf.DUMMYFUNCTION("IFS(SUMIF($E$7:$E$102,3,$L$7:$L$102)=0,""Finns inga 3:e-rundor"",
IFERROR(FILTER($T$7:$T$102,$T$7:$T$102=""Fyll i R-kolumnen"")=""Fyll i R-kolumnen"")=TRUE,""Fyll först i kolumn R"",
SUMIF($E$7:$E$102,3,$L$7:$L$102)&lt;=SUMIF($E$7:$E$102,3,$R$7:$R$102),CONCA"&amp;"TENATE((MROUND(SUMIF($E$7:$E$102,3,$R$7:$R$102)-SUMIF($E$7:$E$102,3,$L$7:$L$102),0.01))&amp;"" min längre än planerat""),
TRUE,CONCATENATE((MROUND(SUMIF($E$7:$E$102,3,$L$7:$L$102)-SUMIF($E$7:$E$102,3,$R$7:$R$102),0.01))&amp;"" min kortare än planerat""))"),"Finns inga 3:e-rundor")</f>
        <v>Finns inga 3:e-rundor</v>
      </c>
      <c r="N105" s="24"/>
      <c r="O105" s="21" t="str">
        <f>IFERROR(__xludf.DUMMYFUNCTION("IFS((SUMIFS($L$7:$L$102,$E$7:$E$102,""Final"",$C$7:$C$102,""6x6"")+SUMIFS($L$7:$L$102,$E$7:$E$102,""Final"",$C$7:$C$102,""7x7"")+SUMIFS($L$7:$L$102,$E$7:$E$102,""Final"",$C$7:$C$102,""6x6 / 7x7"")+SUMIFS($L$7:$L$102,$E$7:$E$102,""Final"",$C$7:$C$102,""Meg"&amp;"aminx"")+SUMIFS($L$7:$L$102,$E$7:$E$102,""Final"",$C$7:$C$102,""Square-1""))=0,""Finns inga svårblandade finaler"",
IFERROR(FILTER($T$7:$T$102,$T$7:$T$102=""Fyll i R-kolumnen"")=""Fyll i R-kolumnen"")=TRUE,""Fyll först i kolumn R"",
(SUMIFS($L$7:$L$102,$E"&amp;"$7:$E$102,""Final"",$C$7:$C$102,""6x6"")+SUMIFS($L$7:$L$102,$E$7:$E$102,""Final"",$C$7:$C$102,""7x7"")+SUMIFS($L$7:$L$102,$E$7:$E$102,""Final"",$C$7:$C$102,""6x6 / 7x7"")+SUMIFS($L$7:$L$102,$E$7:$E$102,""Final"",$C$7:$C$102,""Megaminx"")+SUMIFS($L$7:$L$10"&amp;"2,$E$7:$E$102,""Final"",$C$7:$C$102,""Square-1""))&lt;=(SUMIFS($R$7:$R$102,$E$7:$E$102,""Final"",$C$7:$C$102,""6x6"")+SUMIFS($R$7:$R$102,$E$7:$E$102,""Final"",$C$7:$C$102,""7x7"")+SUMIFS($R$7:$R$102,$E$7:$E$102,""Final"",$C$7:$C$102,""6x6 / 7x7"")+SUMIFS($R$"&amp;"7:$R$102,$E$7:$E$102,""Final"",$C$7:$C$102,""Megaminx"")+SUMIFS($R$7:$R$102,$E$7:$E$102,""Final"",$C$7:$C$102,""Square-1"")),CONCATENATE((MROUND((SUMIFS($R$7:$R$102,$E$7:$E$102,""Final"",$C$7:$C$102,""6x6"")+SUMIFS($R$7:$R$102,$E$7:$E$102,""Final"",$C$7:$"&amp;"C$102,""7x7"")+SUMIFS($R$7:$R$102,$E$7:$E$102,""Final"",$C$7:$C$102,""6x6 / 7x7"")+SUMIFS($R$7:$R$102,$E$7:$E$102,""Final"",$C$7:$C$102,""Megaminx"")+SUMIFS($R$7:$R$102,$E$7:$E$102,""Final"",$C$7:$C$102,""Square-1""))-(SUMIFS($L$7:$L$102,$E$7:$E$102,""Fin"&amp;"al"",$C$7:$C$102,""6x6"")+SUMIFS($L$7:$L$102,$E$7:$E$102,""Final"",$C$7:$C$102,""7x7"")+SUMIFS($L$7:$L$102,$E$7:$E$102,""Final"",$C$7:$C$102,""6x6 / 7x7"")+SUMIFS($L$7:$L$102,$E$7:$E$102,""Final"",$C$7:$C$102,""Megaminx"")+SUMIFS($L$7:$L$102,$E$7:$E$102,"&amp;"""Final"",$C$7:$C$102,""Square-1"")),0.01))&amp;"" min längre än planerat""),
TRUE,CONCATENATE((MROUND((SUMIFS($L$7:$L$102,$E$7:$E$102,""Final"",$C$7:$C$102,""6x6"")+SUMIFS($L$7:$L$102,$E$7:$E$102,""Final"",$C$7:$C$102,""7x7"")+SUMIFS($L$7:$L$102,$E$7:$E$102,"&amp;"""Final"",$C$7:$C$102,""6x6 / 7x7"")+SUMIFS($L$7:$L$102,$E$7:$E$102,""Final"",$C$7:$C$102,""Megaminx"")+SUMIFS($L$7:$L$102,$E$7:$E$102,""Final"",$C$7:$C$102,""Square-1""))-(SUMIFS($R$7:$R$102,$E$7:$E$102,""Final"",$C$7:$C$102,""6x6"")+SUMIFS($R$7:$R$102,$"&amp;"E$7:$E$102,""Final"",$C$7:$C$102,""7x7"")+SUMIFS($R$7:$R$102,$E$7:$E$102,""Final"",$C$7:$C$102,""6x6 / 7x7"")+SUMIFS($R$7:$R$102,$E$7:$E$102,""Final"",$C$7:$C$102,""Megaminx"")+SUMIFS($R$7:$R$102,$E$7:$E$102,""Final"",$C$7:$C$102,""Square-1"")),0.01))&amp;"" "&amp;"min kortare än planerat""))"),"Finns inga svårblandade finaler")</f>
        <v>Finns inga svårblandade finaler</v>
      </c>
      <c r="P105" s="24"/>
      <c r="Q105" s="21" t="str">
        <f>IFERROR(__xludf.DUMMYFUNCTION("IFS(SUMIFS($L$7:$L$102,$I$7:$I$102,""&gt;0"")=0,""Inga rundor påverkas av cutoff"",
IFERROR(FILTER($T$7:$T$102,$T$7:$T$102=""Fyll i R-kolumnen"")=""Fyll i R-kolumnen"")=TRUE,""Fyll först i kolumn R"",
SUMIFS($L$7:$L$102,$I$7:$I$102,""&gt;0"")&lt;=SUMIFS($R$7:$R$10"&amp;"2,$I$7:$I$102,""&gt;0""),CONCATENATE((MROUND(SUMIFS($R$7:$R$102,$I$7:$I$102,""&gt;0"")-SUMIFS($L$7:$L$102,$I$7:$I$102,""&gt;0""),0.01))&amp;"" min längre än planerat""),
TRUE,CONCATENATE((MROUND(SUMIFS($L$7:$L$102,$I$7:$I$102,""&gt;0"")-SUMIFS($R$7:$R$102,$I$7:$I$102,""&gt;"&amp;"0""),0.01))&amp;"" min kortare än planerat""))"),"Inga rundor påverkas av cutoff")</f>
        <v>Inga rundor påverkas av cutoff</v>
      </c>
      <c r="S105" s="21" t="str">
        <f>IFERROR(__xludf.DUMMYFUNCTION("IFS((SUMIFS($L$7:$L$102,$E$7:$E$102,1,$C$7:$C$102,""3x3"")+SUMIFS($L$7:$L$102,$E$7:$E$102,1,$C$7:$C$102,""2x2"")+SUMIFS($L$7:$L$102,$E$7:$E$102,1,$C$7:$C$102,""Pyraminx"")+SUMIFS($L$7:$L$102,$E$7:$E$102,1,$C$7:$C$102,""Skewb""))=0,""Finns inga sådana rund"&amp;"or"",
IFERROR(FILTER($T$7:$T$102,$T$7:$T$102=""Fyll i R-kolumnen"")=""Fyll i R-kolumnen"")=TRUE,""Fyll först i kolumn R"",
(SUMIFS($L$7:$L$102,$E$7:$E$102,1,$C$7:$C$102,""3x3"")+SUMIFS($L$7:$L$102,$E$7:$E$102,1,$C$7:$C$102,""2x2"")+SUMIFS($L$7:$L$102,$E$7"&amp;":$E$102,1,$C$7:$C$102,""Pyraminx"")+SUMIFS($L$7:$L$102,$E$7:$E$102,1,$C$7:$C$102,""Skewb""))&lt;=(SUMIFS($R$7:$R$102,$E$7:$E$102,1,$C$7:$C$102,""3x3"")+SUMIFS($R$7:$R$102,$E$7:$E$102,1,$C$7:$C$102,""2x2"")+SUMIFS($R$7:$R$102,$E$7:$E$102,1,$C$7:$C$102,""Pyram"&amp;"inx"")+SUMIFS($R$7:$R$102,$E$7:$E$102,1,$C$7:$C$102,""Skewb"")),CONCATENATE((MROUND((SUMIFS($R$7:$R$102,$E$7:$E$102,1,$C$7:$C$102,""3x3"")+SUMIFS($R$7:$R$102,$E$7:$E$102,1,$C$7:$C$102,""2x2"")+SUMIFS($R$7:$R$102,$E$7:$E$102,1,$C$7:$C$102,""Pyraminx"")+SUM"&amp;"IFS($R$7:$R$102,$E$7:$E$102,1,$C$7:$C$102,""Skewb""))-(SUMIFS($L$7:$L$102,$E$7:$E$102,1,$C$7:$C$102,""3x3"")+SUMIFS($L$7:$L$102,$E$7:$E$102,1,$C$7:$C$102,""2x2"")+SUMIFS($L$7:$L$102,$E$7:$E$102,1,$C$7:$C$102,""Pyraminx"")+SUMIFS($L$7:$L$102,$E$7:$E$102,1,"&amp;"$C$7:$C$102,""Skewb"")),0.01))&amp;"" min längre än planerat""),
TRUE,CONCATENATE((MROUND((SUMIFS($L$7:$L$102,$E$7:$E$102,1,$C$7:$C$102,""3x3"")+SUMIFS($L$7:$L$102,$E$7:$E$102,1,$C$7:$C$102,""2x2"")+SUMIFS($L$7:$L$102,$E$7:$E$102,1,$C$7:$C$102,""Pyraminx"")+S"&amp;"UMIFS($L$7:$L$102,$E$7:$E$102,1,$C$7:$C$102,""Skewb""))-(SUMIFS($R$7:$R$102,$E$7:$E$102,1,$C$7:$C$102,""3x3"")+SUMIFS($R$7:$R$102,$E$7:$E$102,1,$C$7:$C$102,""2x2"")+SUMIFS($R$7:$R$102,$E$7:$E$102,1,$C$7:$C$102,""Pyraminx"")+SUMIFS($R$7:$R$102,$E$7:$E$102,"&amp;"1,$C$7:$C$102,""Skewb"")),0.01))&amp;"" min kortare än planerat""))"),"Finns inga sådana rundor")</f>
        <v>Finns inga sådana rundor</v>
      </c>
      <c r="T105" s="24"/>
      <c r="U105" s="21" t="str">
        <f>IFERROR(__xludf.DUMMYFUNCTION("IFS(SUMIF($Q$7:$Q$102,""No"",$L$7:$L$102)=0,""Inga rundor utan fixed seating"",
IFERROR(FILTER($T$7:$T$102,$T$7:$T$102=""Fyll i R-kolumnen"")=""Fyll i R-kolumnen"")=TRUE,""Fyll först i kolumn R"",
SUMIF($Q$7:$Q$102,""No"",$L$7:$L$102)&lt;=SUMIF($Q$7:$Q$102,"&amp;"""No"",$R$7:$R$102),CONCATENATE((MROUND(SUMIF($Q$7:$Q$102,""No"",$R$7:$R$102)-SUMIF($Q$7:$Q$102,""No"",$L$7:$L$102),0.01))&amp;"" min längre än planerat""),
TRUE,CONCATENATE((MROUND(SUMIF($Q$7:$Q$102,""No"",$L$7:$L$102)-SUMIF($Q$7:$Q$102,""No"",$R$7:$R$102),0"&amp;".01))&amp;"" min kortare än planerat""))"),"Inga rundor utan fixed seating")</f>
        <v>Inga rundor utan fixed seating</v>
      </c>
      <c r="V105" s="24"/>
      <c r="W105" s="21" t="str">
        <f>IFERROR(__xludf.DUMMYFUNCTION("IFS(SUMIF($X$7:$X$102,""&gt;16"",$L$7:$L$102)=0,""Inga rundor med fler än 16 timers"",
IFERROR(FILTER($T$7:$T$102,$T$7:$T$102=""Fyll i R-kolumnen"")=""Fyll i R-kolumnen"")=TRUE,""Fyll först i kolumn R"",
SUMIF($X$7:$X$102,""&gt;16"",$L$7:$L$102)&lt;=SUMIF($X$7:$X$"&amp;"102,""&gt;16"",$R$7:$R$102),CONCATENATE((MROUND(SUMIF($X$7:$X$102,""&gt;16"",$R$7:$R$102)-SUMIF($X$7:$X$102,""&gt;16"",$L$7:$L$102),0.01))&amp;"" min längre än planerat""),
TRUE,CONCATENATE((MROUND(SUMIF($X$7:$X$102,""&gt;16"",$L$7:$L$102)-SUMIF($X$7:$X$102,""&gt;16"",$R$7:"&amp;"$R$102),0.01))&amp;"" min kortare än planerat""))"),"Inga rundor med fler än 16 timers")</f>
        <v>Inga rundor med fler än 16 timers</v>
      </c>
      <c r="X105" s="24"/>
      <c r="Y105" s="21" t="str">
        <f>IFERROR(__xludf.DUMMYFUNCTION("IFS((SUMIF($C$7:$C$102,""4x4 BLD"",$L$7:$L$102)+SUMIF($C$7:$C$102,""5x5 BLD"",$L$7:$L$102)+SUMIF($C$7:$C$102,""4x4 / 5x5 BLD"",$L$7:$L$102))=0,""Inga långa blindgrenar"",
IFERROR(FILTER($T$7:$T$102,$T$7:$T$102=""Fyll i R-kolumnen"")=""Fyll i R-kolumnen"")"&amp;"=TRUE,""Fyll först i kolumn R"",
(SUMIF($C$7:$C$102,""4x4 BLD"",$L$7:$L$102)+SUMIF($C$7:$C$102,""5x5 BLD"",$L$7:$L$102)+SUMIF($C$7:$C$102,""4x4 / 5x5 BLD"",$L$7:$L$102))&lt;=(SUMIF($C$7:$C$102,""4x4 BLD"",$R$7:$R$102)+SUMIF($C$7:$C$102,""5x5 BLD"",$R$7:$R$10"&amp;"2)+SUMIF($C$7:$C$102,""4x4 / 5x5 BLD"",$R$7:$R$102)),CONCATENATE((MROUND((SUMIF($C$7:$C$102,""4x4 BLD"",$R$7:$R$102)+SUMIF($C$7:$C$102,""5x5 BLD"",$R$7:$R$102)+SUMIF($C$7:$C$102,""4x4 / 5x5 BLD"",$R$7:$R$102))-(SUMIF($C$7:$C$102,""4x4 BLD"",$L$7:$L$102)+S"&amp;"UMIF($C$7:$C$102,""5x5 BLD"",$L$7:$L$102)+SUMIF($C$7:$C$102,""4x4 / 5x5 BLD"",$L$7:$L$102)),0.01))&amp;"" min längre än planerat""),
TRUE,CONCATENATE((MROUND((SUMIF($C$7:$C$102,""4x4 BLD"",$L$7:$L$102)+SUMIF($C$7:$C$102,""5x5 BLD"",$L$7:$L$102)+SUMIF($C$7:$C$"&amp;"102,""4x4 / 5x5 BLD"",$L$7:$L$102))-(SUMIF($C$7:$C$102,""4x4 BLD"",$R$7:$R$102)+SUMIF($C$7:$C$102,""5x5 BLD"",$R$7:$R$102)+SUMIF($C$7:$C$102,""4x4 / 5x5 BLD"",$R$7:$R$102)),0.01))&amp;"" min kortare än planerat""))"),"Inga långa blindgrenar")</f>
        <v>Inga långa blindgrenar</v>
      </c>
      <c r="Z105" s="24"/>
      <c r="AA105" s="21" t="str">
        <f>IFERROR(__xludf.DUMMYFUNCTION("IFS(SUMIF($C$7:$C$102,""3x3 FMC"",$L$7:$L$102)=0,""Inga rundor 3x3 FMC"",
IFERROR(FILTER($T$7:$T$102,$T$7:$T$102=""Fyll i R-kolumnen"")=""Fyll i R-kolumnen"")=TRUE,""Fyll först i kolumn R"",
SUMIF($C$7:$C$102,""3x3 FMC"",$L$7:$L$102)&lt;=SUMIF($C$7:$C$102,"""&amp;"3x3 FMC"",$R$7:$R$102),CONCATENATE((MROUND(SUMIF($C$7:$C$102,""3x3 FMC"",$R$7:$R$102)-SUMIF($C$7:$C$102,""3x3 FMC"",$L$7:$L$102),0.01))&amp;"" min längre än plan""),
TRUE,CONCATENATE((MROUND(SUMIF($C$7:$C$102,""3x3 FMC"",$L$7:$L$102)-SUMIF($C$7:$C$102,""3x3 F"&amp;"MC"",$R$7:$R$102),0.01))&amp;"" min kortare än plan""))  "),"Inga rundor 3x3 FMC")</f>
        <v>Inga rundor 3x3 FMC</v>
      </c>
      <c r="AB105" s="24"/>
    </row>
    <row r="106" ht="15.75" customHeight="1">
      <c r="A106" s="76" t="str">
        <f>CONCATENATE("Grenarna i "&amp;$E$2&amp;":")</f>
        <v>Grenarna i Stora salen:</v>
      </c>
      <c r="C106" s="76" t="str">
        <f>CONCATENATE("Grenarna i "&amp;$E$4&amp;":")</f>
        <v>Grenarna i :</v>
      </c>
      <c r="E106" s="76" t="str">
        <f>CONCATENATE("Grenarna i "&amp;$K$4&amp;":")</f>
        <v>Grenarna i :</v>
      </c>
      <c r="G106" s="76" t="str">
        <f>CONCATENATE("Grenarna i "&amp;$Q$4&amp;":")</f>
        <v>Grenarna i :</v>
      </c>
      <c r="I106" s="76" t="str">
        <f>CONCATENATE("Grenarna i "&amp;$W$4&amp;":")</f>
        <v>Grenarna i :</v>
      </c>
      <c r="K106" s="84" t="s">
        <v>70</v>
      </c>
      <c r="M106" s="85" t="s">
        <v>71</v>
      </c>
      <c r="N106" s="24"/>
      <c r="O106" s="85" t="s">
        <v>72</v>
      </c>
      <c r="P106" s="24"/>
      <c r="Q106" s="85" t="s">
        <v>73</v>
      </c>
      <c r="S106" s="85" t="s">
        <v>74</v>
      </c>
      <c r="T106" s="24"/>
      <c r="U106" s="85" t="s">
        <v>75</v>
      </c>
      <c r="V106" s="24"/>
      <c r="W106" s="85" t="str">
        <f>CONCATENATE("Rundor med färre än "&amp;Info!$T$8&amp;" timers")</f>
        <v>Rundor med färre än 16 timers</v>
      </c>
      <c r="X106" s="24"/>
      <c r="Y106" s="85" t="s">
        <v>76</v>
      </c>
      <c r="Z106" s="24"/>
      <c r="AA106" s="85" t="s">
        <v>77</v>
      </c>
      <c r="AB106" s="24"/>
    </row>
    <row r="107" ht="15.75" customHeight="1">
      <c r="A107" s="86" t="str">
        <f>IFERROR(__xludf.DUMMYFUNCTION("IFS(SUMIF($D$7:$D$102,$E$2,$L$7:$L$28)=$L$29+$L$52+$L$78,""Tom tävling - lägg till grenar!"",
IFERROR(FILTER($T$7:$T$102,$T$7:$T$102=""Fyll i R-kolumnen"")=""Fyll i R-kolumnen"")=TRUE,""Fyll först i kolumn R"",
(SUMIF($D$7:$D$28,$E$2,$L$7:$L$28)+SUMIF($D$"&amp;"30:$D$51,$E$2,$L$30:$L$51)+SUMIF($D$53:$D$77,$E$2,$L$53:$L$77)+SUMIF($D$79:$D$102,$E$2,$L$79:$L$102))&lt;=(SUMIF($D$7:$D$28,$E$2,$R$7:$R$28)+SUMIF($D$30:$D$51,$E$2,$R$30:$R$51)+SUMIF($D$53:$D$77,$E$2,$R$53:$R$77)+SUMIF($D$79:$D$102,$E$2,$R$79:$R$102)),CONCAT"&amp;"ENATE((MROUND((SUMIF($D$7:$D$28,$E$2,$R$7:$R$28)+SUMIF($D$30:$D$51,$E$2,$R$30:$R$51)+SUMIF($D$53:$D$77,$E$2,$R$53:$R$77)+SUMIF($D$79:$D$102,$E$2,$R$79:$R$102))-(SUMIF($D$7:$D$28,$E$2,$L$7:$L$28)+SUMIF($D$30:$D$51,$E$2,$L$30:$L$51)+SUMIF($D$53:$D$77,$E$2,$"&amp;"L$53:$L$77)+SUMIF($D$79:$D$102,$E$2,$L$79:$L$102)),0.01))&amp;"" min längre än planerat""),
TRUE,CONCATENATE((MROUND((SUMIF($D$7:$D$28,$E$2,$L$7:$L$28)+SUMIF($D$30:$D$51,$E$2,$L$30:$L$51)+SUMIF($D$53:$D$77,$E$2,$L$53:$L$77)+SUMIF($D$79:$D$102,$E$2,$L$79:$L$10"&amp;"2))-(SUMIF($D$7:$D$28,$E$2,$R$7:$R$28)+SUMIF($D$30:$D$51,$E$2,$R$30:$R$51)+SUMIF($D$53:$D$77,$E$2,$R$53:$R$77)+SUMIF($D$79:$D$102,$E$2,$R$79:$R$102)),0.01))&amp;"" min kortare än planerat""))"),"Tom tävling - lägg till grenar!")</f>
        <v>Tom tävling - lägg till grenar!</v>
      </c>
      <c r="C107" s="21" t="str">
        <f>IFERROR(__xludf.DUMMYFUNCTION("IFS($E$4="""",""Rummet användes ej"",
IFERROR(FILTER($T$7:$T$102,$T$7:$T$102=""Fyll i R-kolumnen"")=""Fyll i R-kolumnen"")=TRUE,""Fyll först i kolumn R"",
(SUMIF($D$7:$D$28,$E$4,$L$7:$L$28)+SUMIF($D$30:$D$51,$E$4,$L$30:$L$51)+SUMIF($D$53:$D$77,$E$4,$L$53:"&amp;"$L$77)+SUMIF($D$79:$D$102,$E$4,$L$79:$L$102))&lt;=(SUMIF($D$7:$D$28,$E$4,$R$7:$R$28)+SUMIF($D$30:$D$51,$E$4,$R$30:$R$51)+SUMIF($D$53:$D$77,$E$4,$R$53:$R$77)+SUMIF($D$79:$D$102,$E$4,$R$79:$R$102)),CONCATENATE((MROUND((SUMIF($D$7:$D$28,$E$4,$R$7:$R$28)+SUMIF($"&amp;"D$30:$D$51,$E$4,$R$30:$R$51)+SUMIF($D$53:$D$77,$E$4,$R$53:$R$77)+SUMIF($D$79:$D$102,$E$4,$R$79:$R$102))-(SUMIF($D$7:$D$28,$E$4,$L$7:$L$28)+SUMIF($D$30:$D$51,$E$4,$L$30:$L$51)+SUMIF($D$53:$D$77,$E$4,$L$53:$L$77)+SUMIF($D$79:$D$102,$E$4,$L$79:$L$102)),0.01)"&amp;")&amp;"" min längre än planerat""),
TRUE,CONCATENATE((MROUND((SUMIF($D$7:$D$28,$E$4,$L$7:$L$28)+SUMIF($D$30:$D$51,$E$4,$L$30:$L$51)+SUMIF($D$53:$D$77,$E$4,$L$53:$L$77)+SUMIF($D$79:$D$102,$E$4,$L$79:$L$102))-(SUMIF($D$7:$D$28,$E$4,$R$7:$R$28)+SUMIF($D$30:$D$51"&amp;",$E$4,$R$30:$R$51)+SUMIF($D$53:$D$77,$E$4,$R$53:$R$77)+SUMIF($D$79:$D$102,$E$4,$R$79:$R$102)),0.01))&amp;"" min kortare än planerat""))"),"Rummet användes ej")</f>
        <v>Rummet användes ej</v>
      </c>
      <c r="E107" s="21" t="str">
        <f>IFERROR(__xludf.DUMMYFUNCTION("IFS($K$4="""",""Rummet användes ej"",
IFERROR(FILTER($T$7:$T$102,$T$7:$T$102=""Fyll i R-kolumnen"")=""Fyll i R-kolumnen"")=TRUE,""Fyll först i kolumn R"",
(SUMIF($D$7:$D$28,$K$4,$L$7:$L$28)+SUMIF($D$30:$D$51,$K$4,$L$30:$L$51)+SUMIF($D$53:$D$77,$K$4,$L$53:"&amp;"$L$77)+SUMIF($D$79:$D$102,$K$4,$L$79:$L$102))&lt;=(SUMIF($D$7:$D$28,$K$4,$R$7:$R$28)+SUMIF($D$30:$D$51,$K$4,$R$30:$R$51)+SUMIF($D$53:$D$77,$K$4,$R$53:$R$77)+SUMIF($D$79:$D$102,$K$4,$R$79:$R$102)),CONCATENATE((MROUND((SUMIF($D$7:$D$28,$K$4,$R$7:$R$28)+SUMIF($"&amp;"D$30:$D$51,$K$4,$R$30:$R$51)+SUMIF($D$53:$D$77,$K$4,$R$53:$R$77)+SUMIF($D$79:$D$102,$K$4,$R$79:$R$102))-(SUMIF($D$7:$D$28,$K$4,$L$7:$L$28)+SUMIF($D$30:$D$51,$K$4,$L$30:$L$51)+SUMIF($D$53:$D$77,$K$4,$L$53:$L$77)+SUMIF($D$79:$D$102,$K$4,$L$79:$L$102)),0.01)"&amp;")&amp;"" min längre än planerat""),
TRUE,CONCATENATE((MROUND((SUMIF($D$7:$D$28,$K$4,$L$7:$L$28)+SUMIF($D$30:$D$51,$K$4,$L$30:$L$51)+SUMIF($D$53:$D$77,$K$4,$L$53:$L$77)+SUMIF($D$79:$D$102,$K$4,$L$79:$L$102))-(SUMIF($D$7:$D$28,$K$4,$R$7:$R$28)+SUMIF($D$30:$D$51"&amp;",$K$4,$R$30:$R$51)+SUMIF($D$53:$D$77,$K$4,$R$53:$R$77)+SUMIF($D$79:$D$102,$K$4,$R$79:$R$102)),0.01))&amp;"" min kortare än planerat""))"),"Rummet användes ej")</f>
        <v>Rummet användes ej</v>
      </c>
      <c r="G107" s="21" t="str">
        <f>IFERROR(__xludf.DUMMYFUNCTION("IFS($Q$4="""",""Rummet användes ej"",
IFERROR(FILTER($T$7:$T$102,$T$7:$T$102=""Fyll i R-kolumnen"")=""Fyll i R-kolumnen"")=TRUE,""Fyll först i kolumn R"",
(SUMIF($D$7:$D$28,$Q$4,$L$7:$L$28)+SUMIF($D$30:$D$51,$Q$4,$L$30:$L$51)+SUMIF($D$53:$D$77,$Q$4,$L$53:"&amp;"$L$77)+SUMIF($D$79:$D$102,$Q$4,$L$79:$L$102))&lt;=(SUMIF($D$7:$D$28,$Q$4,$R$7:$R$28)+SUMIF($D$30:$D$51,$Q$4,$R$30:$R$51)+SUMIF($D$53:$D$77,$Q$4,$R$53:$R$77)+SUMIF($D$79:$D$102,$Q$4,$R$79:$R$102)),CONCATENATE((MROUND((SUMIF($D$7:$D$28,$Q$4,$R$7:$R$28)+SUMIF($"&amp;"D$30:$D$51,$Q$4,$R$30:$R$51)+SUMIF($D$53:$D$77,$Q$4,$R$53:$R$77)+SUMIF($D$79:$D$102,$Q$4,$R$79:$R$102))-(SUMIF($D$7:$D$28,$Q$4,$L$7:$L$28)+SUMIF($D$30:$D$51,$Q$4,$L$30:$L$51)+SUMIF($D$53:$D$77,$Q$4,$L$53:$L$77)+SUMIF($D$79:$D$102,$Q$4,$L$79:$L$102)),0.01)"&amp;")&amp;"" min längre än planerat""),
TRUE,CONCATENATE((MROUND((SUMIF($D$7:$D$28,$Q$4,$L$7:$L$28)+SUMIF($D$30:$D$51,$Q$4,$L$30:$L$51)+SUMIF($D$53:$D$77,$Q$4,$L$53:$L$77)+SUMIF($D$79:$D$102,$Q$4,$L$79:$L$102))-(SUMIF($D$7:$D$28,$Q$4,$R$7:$R$28)+SUMIF($D$30:$D$51"&amp;",$Q$4,$R$30:$R$51)+SUMIF($D$53:$D$77,$Q$4,$R$53:$R$77)+SUMIF($D$79:$D$102,$Q$4,$R$79:$R$102)),0.01))&amp;"" min kortare än planerat""))"),"Rummet användes ej")</f>
        <v>Rummet användes ej</v>
      </c>
      <c r="I107" s="21" t="str">
        <f>IFERROR(__xludf.DUMMYFUNCTION("IFS($W$4="""",""Rummet användes ej"",
IFERROR(FILTER($T$7:$T$102,$T$7:$T$102=""Fyll i R-kolumnen"")=""Fyll i R-kolumnen"")=TRUE,""Fyll först i kolumn R"",
(SUMIF($D$7:$D$28,$W$4,$L$7:$L$28)+SUMIF($D$30:$D$51,$W$4,$L$30:$L$51)+SUMIF($D$53:$D$77,$W$4,$L$53:"&amp;"$L$77)+SUMIF($D$79:$D$102,$W$4,$L$79:$L$102))&lt;=(SUMIF($D$7:$D$28,$W$4,$R$7:$R$28)+SUMIF($D$30:$D$51,$W$4,$R$30:$R$51)+SUMIF($D$53:$D$77,$W$4,$R$53:$R$77)+SUMIF($D$79:$D$102,$W$4,$R$79:$R$102)),CONCATENATE((MROUND((SUMIF($D$7:$D$28,$W$4,$R$7:$R$28)+SUMIF($"&amp;"D$30:$D$51,$W$4,$R$30:$R$51)+SUMIF($D$53:$D$77,$W$4,$R$53:$R$77)+SUMIF($D$79:$D$102,$W$4,$R$79:$R$102))-(SUMIF($D$7:$D$28,$W$4,$L$7:$L$28)+SUMIF($D$30:$D$51,$W$4,$L$30:$L$51)+SUMIF($D$53:$D$77,$W$4,$L$53:$L$77)+SUMIF($D$79:$D$102,$W$4,$L$79:$L$102)),0.01)"&amp;")&amp;"" min längre än planerat""),
TRUE,CONCATENATE((MROUND((SUMIF($D$7:$D$28,$W$4,$L$7:$L$28)+SUMIF($D$30:$D$51,$W$4,$L$30:$L$51)+SUMIF($D$53:$D$77,$W$4,$L$53:$L$77)+SUMIF($D$79:$D$102,$W$4,$L$79:$L$102))-(SUMIF($D$7:$D$28,$W$4,$R$7:$R$28)+SUMIF($D$30:$D$51"&amp;",$W$4,$R$30:$R$51)+SUMIF($D$53:$D$77,$W$4,$R$53:$R$77)+SUMIF($D$79:$D$102,$W$4,$R$79:$R$102)),0.01))&amp;"" min kortare än planerat""))"),"Rummet användes ej")</f>
        <v>Rummet användes ej</v>
      </c>
      <c r="K107" s="87" t="str">
        <f>IFERROR(__xludf.DUMMYFUNCTION("IFS(SUMIF($E$7:$E$102,2,$L$7:$L$102)=0,""Finns inga 2:a-rundor"",
IFERROR(FILTER($T$7:$T$102,$T$7:$T$102=""Fyll i R-kolumnen"")=""Fyll i R-kolumnen"")=TRUE,""Fyll först i kolumn R"",
SUMIF($E$7:$E$102,2,$L$7:$L$102)&lt;=SUMIF($E$7:$E$102,2,$R$7:$R$102),CONCA"&amp;"TENATE((MROUND(SUMIF($E$7:$E$102,2,$R$7:$R$102)-SUMIF($E$7:$E$102,2,$L$7:$L$102),0.01))&amp;"" min längre än planerat""),
TRUE,CONCATENATE((MROUND(SUMIF($E$7:$E$102,2,$L$7:$L$102)-SUMIF($E$7:$E$102,2,$R$7:$R$102),0.01))&amp;"" min kortare än planerat""))"),"Finns inga 2:a-rundor")</f>
        <v>Finns inga 2:a-rundor</v>
      </c>
      <c r="L107" s="10"/>
      <c r="M107" s="21" t="str">
        <f>IFERROR(__xludf.DUMMYFUNCTION("IFS(SUMIF($E$7:$E$102,""Final"",$L$7:$L$102)=0,""Finns inga finalrundor"",
IFERROR(FILTER($T$7:$T$102,$T$7:$T$102=""Fyll i R-kolumnen"")=""Fyll i R-kolumnen"")=TRUE,""Fyll först i kolumn R"",
SUMIF($E$7:$E$102,""Final"",$L$7:$L$102)&lt;=SUMIF($E$7:$E$102,""F"&amp;"inal"",$R$7:$R$102),CONCATENATE((MROUND(SUMIF($E$7:$E$102,""Final"",$R$7:$R$102)-SUMIF($E$7:$E$102,""Final"",$L$7:$L$102),0.01))&amp;"" min längre än planerat""),
TRUE,CONCATENATE((MROUND(SUMIF($E$7:$E$102,""Final"",$L$7:$L$102)-SUMIF($E$7:$E$102,""Final"",$R"&amp;"$7:$R$102),0.01))&amp;"" min kortare än planerat""))"),"Finns inga finalrundor")</f>
        <v>Finns inga finalrundor</v>
      </c>
      <c r="N107" s="24"/>
      <c r="O107" s="81" t="str">
        <f>IFERROR(__xludf.DUMMYFUNCTION("IFS((SUMIFS($L$7:$L$102,$E$7:$E$102,""Final"",$C$7:$C$102,""5x5"")+SUMIFS($L$7:$L$102,$E$7:$E$102,""Final"",$C$7:$C$102,""Clock""))=0,""Finns inga MYCKET svårblandade finaler"",
IFERROR(FILTER($T$7:$T$102,$T$7:$T$102=""Fyll i R-kolumnen"")=""Fyll i R-kolu"&amp;"mnen"")=TRUE,""Fyll först i kolumn R"",
(SUMIFS($L$7:$L$102,$E$7:$E$102,""Final"",$C$7:$C$102,""5x5"")+SUMIFS($L$7:$L$102,$E$7:$E$102,""Final"",$C$7:$C$102,""Clock""))&lt;=(SUMIFS($R$7:$R$102,$E$7:$E$102,""Final"",$C$7:$C$102,""5x5"")+SUMIFS($R$7:$R$102,$E$7"&amp;":$E$102,""Final"",$C$7:$C$102,""Clock"")),CONCATENATE((MROUND((SUMIFS($R$7:$R$102,$E$7:$E$102,""Final"",$C$7:$C$102,""5x5"")+SUMIFS($R$7:$R$102,$E$7:$E$102,""Final"",$C$7:$C$102,""Clock""))-(SUMIFS($L$7:$L$102,$E$7:$E$102,""Final"",$C$7:$C$102,""5x5"")+SU"&amp;"MIFS($L$7:$L$102,$E$7:$E$102,""Final"",$C$7:$C$102,""Clock"")),0.01))&amp;"" min längre än planerat""),
TRUE,CONCATENATE((MROUND((SUMIFS($L$7:$L$102,$E$7:$E$102,""Final"",$C$7:$C$102,""5x5"")+SUMIFS($L$7:$L$102,$E$7:$E$102,""Final"",$C$7:$C$102,""Clock""))-(S"&amp;"UMIFS($R$7:$R$102,$E$7:$E$102,""Final"",$C$7:$C$102,""5x5"")+SUMIFS($R$7:$R$102,$E$7:$E$102,""Final"",$C$7:$C$102,""Clock"")),0.01))&amp;"" min kortare än planerat""))"),"Finns inga MYCKET svårblandade finaler")</f>
        <v>Finns inga MYCKET svårblandade finaler</v>
      </c>
      <c r="P107" s="11"/>
      <c r="Q107" s="81" t="str">
        <f>IFERROR(__xludf.DUMMYFUNCTION("IFS(SUMIFS($L$7:$L$102,$H$7:$H$102,""&gt;0"")=0,""Inga rundor påverkas av c.t.l."",
IFERROR(FILTER($T$7:$T$102,$T$7:$T$102=""Fyll i R-kolumnen"")=""Fyll i R-kolumnen"")=TRUE,""Fyll först i kolumn R"",
SUMIFS($L$7:$L$102,$H$7:$H$102,""&gt;0"")&lt;=SUMIFS($R$7:$R$10"&amp;"2,$H$7:$H$102,""&gt;0""),CONCATENATE((MROUND(SUMIFS($R$7:$R$102,$H$7:$H$102,""&gt;0"")-SUMIFS($L$7:$L$102,$H$7:$H$102,""&gt;0""),0.01))&amp;"" min längre än planerat""),
TRUE,CONCATENATE((MROUND(SUMIFS($L$7:$L$102,$H$7:$H$102,""&gt;0"")-SUMIFS($R$7:$R$102,$H$7:$H$102,""&gt;"&amp;"0""),0.01))&amp;"" min kortare än planerat""))"),"Inga rundor påverkas av c.t.l.")</f>
        <v>Inga rundor påverkas av c.t.l.</v>
      </c>
      <c r="R107" s="10"/>
      <c r="S107" s="81" t="str">
        <f>IFERROR(__xludf.DUMMYFUNCTION("IFS(SUMIF($E$7:$E$102,""&lt;&gt;1"",$L$7:$L$102)=0,""Finns inga sådana rundor"",
IFERROR(FILTER($T$7:$T$102,$T$7:$T$102=""Fyll i R-kolumnen"")=""Fyll i R-kolumnen"")=TRUE,""Fyll först i kolumn R"",
SUMIF($E$7:$E$102,""&lt;&gt;1"",$L$7:$L$102)&lt;=SUMIF($E$7:$E$102,""&lt;&gt;1"&amp;""",$R$7:$R$102),CONCATENATE((MROUND(SUMIF($E$7:$E$102,""&lt;&gt;1"",$R$7:$R$102)-SUMIF($E$7:$E$102,""&lt;&gt;1"",$L$7:$L$102),0.01))&amp;"" min längre än planerat""),
TRUE,CONCATENATE((MROUND(SUMIF($E$7:$E$102,""&lt;&gt;1"",$L$7:$L$102)-SUMIF($E$7:$E$102,""&lt;&gt;1"",$R$7:$R$102),0"&amp;".01))&amp;"" min kortare än planerat""))"),"Finns inga sådana rundor")</f>
        <v>Finns inga sådana rundor</v>
      </c>
      <c r="T107" s="11"/>
      <c r="U107" s="81" t="str">
        <f>IFERROR(__xludf.DUMMYFUNCTION("IFS(SUMIF($Q$7:$Q$102,""Yes"",$L$7:$L$102)=0,""Inga rundor med fixed seating"",
IFERROR(FILTER($T$7:$T$102,$T$7:$T$102=""Fyll i R-kolumnen"")=""Fyll i R-kolumnen"")=TRUE,""Fyll först i kolumn R"",
SUMIF($Q$7:$Q$102,""Yes"",$L$7:$L$102)&lt;=SUMIF($Q$7:$Q$102,"&amp;"""Yes"",$R$7:$R$102),CONCATENATE((MROUND(SUMIF($Q$7:$Q$102,""Yes"",$R$7:$R$102)-SUMIF($Q$7:$Q$102,""Yes"",$L$7:$L$102),0.01))&amp;"" min längre än planerat""),
TRUE,CONCATENATE((MROUND(SUMIF($Q$7:$Q$102,""Yes"",$L$7:$L$102)-SUMIF($Q$7:$Q$102,""Yes"",$R$7:$R$1"&amp;"02),0.01))&amp;"" min kortare än planerat""))"),"Inga rundor med fixed seating")</f>
        <v>Inga rundor med fixed seating</v>
      </c>
      <c r="V107" s="11"/>
      <c r="W107" s="81" t="str">
        <f>IFERROR(__xludf.DUMMYFUNCTION("IFS(SUMIF($X$7:$X$102,""&lt;=16"",$L$7:$L$102)=0,""Inga rundor med 16 eller färre timers"",
IFERROR(FILTER($T$7:$T$102,$T$7:$T$102=""Fyll i R-kolumnen"")=""Fyll i R-kolumnen"")=TRUE,""Fyll först i kolumn R"",
SUMIF($X$7:$X$102,""&lt;=16"",$L$7:$L$102)&lt;=SUMIF($X"&amp;"$7:$X$102,""&lt;=16"",$R$7:$R$102),CONCATENATE((MROUND(SUMIF($X$7:$X$102,""&lt;=16"",$R$7:$R$102)-SUMIF($X$7:$X$102,""&lt;=16"",$L$7:$L$102),0.01))&amp;"" min längre än planerat""),
TRUE,CONCATENATE((MROUND(SUMIF($X$7:$X$102,""&lt;=16"",$L$7:$L$102)-SUMIF($X$7:$X$102,""&lt;"&amp;"=16"",$R$7:$R$102),0.01))&amp;"" min kortare än planerat""))"),"Inga rundor med 16 eller färre timers")</f>
        <v>Inga rundor med 16 eller färre timers</v>
      </c>
      <c r="X107" s="11"/>
      <c r="Y107" s="81" t="str">
        <f>IFERROR(__xludf.DUMMYFUNCTION("IFS(SUMIF($C$7:$C$102,""3x3 BLD"",$L$7:$L$102)=0,""Inga rundor 3x3 BLD"",
IFERROR(FILTER($T$7:$T$102,$T$7:$T$102=""Fyll i R-kolumnen"")=""Fyll i R-kolumnen"")=TRUE,""Fyll först i kolumn R"",
SUMIF($C$7:$C$102,""3x3 BLD"",$L$7:$L$102)&lt;=SUMIF($C$7:$C$102,"""&amp;"3x3 BLD"",$R$7:$R$102),CONCATENATE((MROUND(SUMIF($C$7:$C$102,""3x3 BLD"",$R$7:$R$102)-SUMIF($C$7:$C$102,""3x3 BLD"",$L$7:$L$102),0.01))&amp;"" min längre än planerat""),
TRUE,CONCATENATE((MROUND(SUMIF($C$7:$C$102,""3x3 BLD"",$L$7:$L$102)-SUMIF($C$7:$C$102,""3"&amp;"x3 BLD"",$R$7:$R$102),0.01))&amp;"" min kortare än planerat""))  "),"Inga rundor 3x3 BLD")</f>
        <v>Inga rundor 3x3 BLD</v>
      </c>
      <c r="Z107" s="11"/>
      <c r="AA107" s="81" t="str">
        <f>IFERROR(__xludf.DUMMYFUNCTION("IFS(SUMIF($C$7:$C$102,""3x3 MBLD"",$L$7:$L$102)=0,""Inga rundor 3x3 MBLD"",
IFERROR(FILTER($T$7:$T$102,$T$7:$T$102=""Fyll i R-kolumnen"")=""Fyll i R-kolumnen"")=TRUE,""Fyll först i kolumn R"",
SUMIF($C$7:$C$102,""3x3 MBLD"",$L$7:$L$102)&lt;=SUMIF($C$7:$C$102"&amp;",""3x3 MBLD"",$R$7:$R$102),CONCATENATE((MROUND(SUMIF($C$7:$C$102,""3x3 MBLD"",$R$7:$R$102)-SUMIF($C$7:$C$102,""3x3 MBLD"",$L$7:$L$102),0.01))&amp;"" min längre än plan""),
TRUE,CONCATENATE((MROUND(SUMIF($C$7:$C$102,""3x3 MBLD"",$L$7:$L$102)-SUMIF($C$7:$C$102,"&amp;"""3x3 MBLD"",$R$7:$R$102),0.01))&amp;"" min kortare än plan""))  "),"Inga rundor 3x3 MBLD")</f>
        <v>Inga rundor 3x3 MBLD</v>
      </c>
      <c r="AB107" s="11"/>
    </row>
    <row r="108" ht="15.75" customHeight="1">
      <c r="A108" s="88" t="s">
        <v>78</v>
      </c>
      <c r="B108" s="2"/>
      <c r="C108" s="2"/>
      <c r="D108" s="3"/>
      <c r="E108" s="88" t="s">
        <v>79</v>
      </c>
      <c r="F108" s="2"/>
      <c r="G108" s="2"/>
      <c r="H108" s="3"/>
      <c r="I108" s="89" t="s">
        <v>80</v>
      </c>
      <c r="J108" s="2"/>
      <c r="K108" s="2"/>
      <c r="L108" s="2"/>
      <c r="M108" s="89" t="s">
        <v>81</v>
      </c>
      <c r="N108" s="2"/>
      <c r="O108" s="2"/>
      <c r="P108" s="3"/>
      <c r="Q108" s="88" t="s">
        <v>82</v>
      </c>
      <c r="R108" s="3"/>
      <c r="S108" s="88" t="s">
        <v>83</v>
      </c>
      <c r="T108" s="3"/>
      <c r="U108" s="76" t="str">
        <f>"+10% fler deltagare än väntat:"</f>
        <v>+10% fler deltagare än väntat:</v>
      </c>
      <c r="V108" s="24"/>
      <c r="W108" s="88" t="s">
        <v>84</v>
      </c>
      <c r="X108" s="3"/>
      <c r="Y108" s="76" t="s">
        <v>85</v>
      </c>
      <c r="Z108" s="24"/>
      <c r="AA108" s="53"/>
      <c r="AB108" s="53"/>
    </row>
    <row r="109" ht="15.75" customHeight="1">
      <c r="A109" s="86" t="str">
        <f>IFERROR(__xludf.DUMMYFUNCTION("IFS(SUM($L$7:$L$102)=$L$29+$L$52+$L$78,""Tom tävling - lägg till grenar!"",
IFERROR(FILTER($T$7:$T$102,$T$7:$T$102=""Fyll i R-kolumnen"")=""Fyll i R-kolumnen"")=TRUE,""Fyll först i kolumn R"",
IFERROR(FILTER($T$7:$T$102,$T$7:$T$102=""Fyll i S-kolumnen"")="&amp;"""Fyll i S-kolumnen"")=TRUE,""Fyll först i kolumn S"",
COUNTIF($Q$7:$Q$102,""Yes"")=0,""Inga rundor med fixed seating"",
TRUE,ARRAYFORMULA(TEXTJOIN("", "",TRUE,IF(VALUE($B$113:$T$113)&gt;5,$B$112:$T$112,""""))))"),"Tom tävling - lägg till grenar!")</f>
        <v>Tom tävling - lägg till grenar!</v>
      </c>
      <c r="D109" s="24"/>
      <c r="E109" s="86" t="str">
        <f>IFERROR(__xludf.DUMMYFUNCTION("IFS(SUM($L$7:$L$102)=$L$29+$L$52+$L$78,""Tom tävling - lägg till grenar!"",
IFERROR(FILTER($T$7:$T$102,$T$7:$T$102=""Fyll i R-kolumnen"")=""Fyll i R-kolumnen"")=TRUE,""Fyll först i kolumn R"",
IFERROR(FILTER($T$7:$T$102,$T$7:$T$102=""Fyll i S-kolumnen"")="&amp;"""Fyll i S-kolumnen"")=TRUE,""Fyll först i kolumn S"",
COUNTIF($Q$7:$Q$102,""Yes"")=0,""Inga rundor med fixed seating"",
TRUE,ARRAYFORMULA(TEXTJOIN("", "",TRUE,IF(VALUE($B$113:$T$113)&gt;10,$B$112:$T$112,""""))))"),"Tom tävling - lägg till grenar!")</f>
        <v>Tom tävling - lägg till grenar!</v>
      </c>
      <c r="H109" s="24"/>
      <c r="I109" s="86" t="str">
        <f>IFERROR(__xludf.DUMMYFUNCTION("IFS(SUM($L$7:$L$102)=$L$29+$L$52+$L$78,""Tom tävling - lägg till grenar!"",
IFERROR(FILTER($T$7:$T$102,$T$7:$T$102=""Fyll i R-kolumnen"")=""Fyll i R-kolumnen"")=TRUE,""Fyll först i kolumn R"",
IFERROR(FILTER($T$7:$T$102,$T$7:$T$102=""Fyll i S-kolumnen"")="&amp;"""Fyll i S-kolumnen"")=TRUE,""Fyll först i kolumn S"",
COUNTIF($Q$7:$Q$102,""No"")=0,""Inga rundor utan fixed seating"",
TRUE,ARRAYFORMULA(TEXTJOIN("", "",TRUE,IF(VALUE($B$115:$T$115)&gt;5,$B$112:$T$112,""""))))"),"Tom tävling - lägg till grenar!")</f>
        <v>Tom tävling - lägg till grenar!</v>
      </c>
      <c r="L109" s="24"/>
      <c r="M109" s="83" t="str">
        <f>IFERROR(__xludf.DUMMYFUNCTION("IFS(SUM($L$7:$L$102)=$L$29+$L$52+$L$78,""Tom tävling - lägg till grenar!"",
IFERROR(FILTER($T$7:$T$102,$T$7:$T$102=""Fyll i R-kolumnen"")=""Fyll i R-kolumnen"")=TRUE,""Fyll först i kolumn R"",
IFERROR(FILTER($T$7:$T$102,$T$7:$T$102=""Fyll i S-kolumnen"")="&amp;"""Fyll i S-kolumnen"")=TRUE,""Fyll först i kolumn S"",
COUNTIF($Q$7:$Q$102,""No"")=0,""Inga rundor utan fixed seating"",
TRUE,ARRAYFORMULA(TEXTJOIN("", "",TRUE,IF(VALUE($B$115:$T$115)&gt;10,$B$112:$T$112,""""))))"),"Tom tävling - lägg till grenar!")</f>
        <v>Tom tävling - lägg till grenar!</v>
      </c>
      <c r="P109" s="24"/>
      <c r="Q109" s="83" t="str">
        <f>IFERROR(__xludf.DUMMYFUNCTION("CONCATENATE(FILTER($B$112:$T$112,$B$113:$T$113=INDIRECT(CELL(""address"",INDEX($B$113:$T$113,MATCH(MAX($B$113:$T$113),$B$113:$T$113,0)))))&amp;"" ""&amp;INDIRECT(CELL(""address"",INDEX($B$113:$T$113,MATCH(MAX($B$113:$T$113),$B$113:$T$113,0))))&amp;""%"")"),"#N/A")</f>
        <v>#N/A</v>
      </c>
      <c r="R109" s="24"/>
      <c r="S109" s="86" t="str">
        <f>IFERROR(__xludf.DUMMYFUNCTION("CONCATENATE(FILTER($B$112:$T$112,$B$115:$T$115=INDIRECT(CELL(""address"",INDEX($B$115:$T$115,MATCH(MAX($B$115:$T$115),$B$115:$T$115,0)))))&amp;"" ""&amp;INDIRECT(CELL(""address"",INDEX($B$115:$T$115,MATCH(MAX($B$115:$T$115),$B$115:$T$115,0))))&amp;""%"")"),"#N/A")</f>
        <v>#N/A</v>
      </c>
      <c r="T109" s="24"/>
      <c r="U109" s="86" t="str">
        <f>IFERROR(__xludf.DUMMYFUNCTION("IFS(SUM($L$7:$L$102)=$L$29+$L$52+$L$78,""Tom tävling - lägg till grenar!"",
IFERROR(FILTER($T$7:$T$102,$T$7:$T$102=""Fyll i R-kolumnen"")=""Fyll i R-kolumnen"")=TRUE,""Fyll först i kolumn R"",
IFERROR(FILTER($T$7:$T$102,$T$7:$T$102=""Fyll i S-kolumnen"")="&amp;"""Fyll i S-kolumnen"")=TRUE,""Fyll först i kolumn S"",
TRUE,ARRAYFORMULA(TEXTJOIN("", "",TRUE,IF(VALUE($B$117:$T$117)&gt;10,$B$112:$T$112,""""))))"),"Tom tävling - lägg till grenar!")</f>
        <v>Tom tävling - lägg till grenar!</v>
      </c>
      <c r="V109" s="24"/>
      <c r="W109" s="86" t="str">
        <f>IFERROR(__xludf.DUMMYFUNCTION("IFS(SUM($L$7:$L$102)=$L$29+$L$52+$L$78,""Tom tävling - lägg till grenar!"",
IFERROR(FILTER($T$7:$T$102,$T$7:$T$102=""Fyll i R-kolumnen"")=""Fyll i R-kolumnen"")=TRUE,""Fyll först i kolumn R"",
IFERROR(FILTER($T$7:$T$102,$T$7:$T$102=""Fyll i S-kolumnen"")="&amp;"""Fyll i S-kolumnen"")=TRUE,""Fyll först i kolumn S"",
SUMIFS($L$7:$L$102,$I$7:$I$102,""&gt;0"")=0,""Inga rundor med cutoffs"",
TRUE,ARRAYFORMULA(TEXTJOIN("", "",TRUE,IF(VALUE($B$119:$T$119)&gt;10,$B$112:$T$112,""""))))"),"Tom tävling - lägg till grenar!")</f>
        <v>Tom tävling - lägg till grenar!</v>
      </c>
      <c r="X109" s="24"/>
      <c r="Y109" s="86" t="str">
        <f>IFERROR(__xludf.DUMMYFUNCTION("IFS(SUM($L$7:$L$102)=$L$29+$L$52+$L$78,""Tom tävling - lägg till grenar!"",
IFERROR(FILTER($T$7:$T$102,$T$7:$T$102=""Fyll i R-kolumnen"")=""Fyll i R-kolumnen"")=TRUE,""Fyll först i kolumn R"",
IFERROR(FILTER($T$7:$T$102,$T$7:$T$102=""Fyll i S-kolumnen"")="&amp;"""Fyll i S-kolumnen"")=TRUE,""Fyll först i kolumn S"",
SUMIFS($L$7:$L$102,$H$7:$H$102,""&gt;0"")=0,""Inga rundor med c.t.l."",
TRUE,ARRAYFORMULA(TEXTJOIN("", "",TRUE,IF(VALUE($B$121:$T$121)&gt;10,$B$112:$T$112,""""))))"),"Tom tävling - lägg till grenar!")</f>
        <v>Tom tävling - lägg till grenar!</v>
      </c>
      <c r="Z109" s="24"/>
      <c r="AA109" s="90"/>
      <c r="AB109" s="90"/>
    </row>
    <row r="110" ht="15.75" customHeight="1">
      <c r="A110" s="76" t="s">
        <v>86</v>
      </c>
      <c r="D110" s="24"/>
      <c r="E110" s="76" t="s">
        <v>87</v>
      </c>
      <c r="H110" s="24"/>
      <c r="I110" s="91" t="s">
        <v>88</v>
      </c>
      <c r="M110" s="91" t="s">
        <v>89</v>
      </c>
      <c r="P110" s="24"/>
      <c r="Q110" s="76" t="s">
        <v>90</v>
      </c>
      <c r="R110" s="24"/>
      <c r="S110" s="76" t="s">
        <v>91</v>
      </c>
      <c r="T110" s="24"/>
      <c r="U110" s="76" t="str">
        <f>"-10% färre deltagare än väntat:"</f>
        <v>-10% färre deltagare än väntat:</v>
      </c>
      <c r="V110" s="24"/>
      <c r="W110" s="76" t="s">
        <v>92</v>
      </c>
      <c r="X110" s="24"/>
      <c r="Y110" s="76" t="s">
        <v>93</v>
      </c>
      <c r="Z110" s="24"/>
      <c r="AA110" s="90"/>
      <c r="AB110" s="90"/>
    </row>
    <row r="111" ht="15.75" customHeight="1">
      <c r="A111" s="80" t="str">
        <f>IFERROR(__xludf.DUMMYFUNCTION("IFS(SUM($L$7:$L$102)=$L$29+$L$52+$L$78,""Tom tävling - lägg till grenar!"",
IFERROR(FILTER($T$7:$T$102,$T$7:$T$102=""Fyll i R-kolumnen"")=""Fyll i R-kolumnen"")=TRUE,""Fyll först i kolumn R"",
IFERROR(FILTER($T$7:$T$102,$T$7:$T$102=""Fyll i S-kolumnen"")="&amp;"""Fyll i S-kolumnen"")=TRUE,""Fyll först i kolumn S"",
COUNTIF($Q$7:$Q$102,""Yes"")=0,""Inga rundor med fixed seating"",
TRUE,ARRAYFORMULA(TEXTJOIN("", "",TRUE,IF(VALUE($B$113:$T$113)&lt;-5,$B$112:$T$112,""""))))"),"Tom tävling - lägg till grenar!")</f>
        <v>Tom tävling - lägg till grenar!</v>
      </c>
      <c r="B111" s="10"/>
      <c r="C111" s="10"/>
      <c r="D111" s="11"/>
      <c r="E111" s="80" t="str">
        <f>IFERROR(__xludf.DUMMYFUNCTION("IFS(SUM($L$7:$L$102)=$L$29+$L$52+$L$78,""Tom tävling - lägg till grenar!"",
IFERROR(FILTER($T$7:$T$102,$T$7:$T$102=""Fyll i R-kolumnen"")=""Fyll i R-kolumnen"")=TRUE,""Fyll först i kolumn R"",
IFERROR(FILTER($T$7:$T$102,$T$7:$T$102=""Fyll i S-kolumnen"")="&amp;"""Fyll i S-kolumnen"")=TRUE,""Fyll först i kolumn S"",
COUNTIF($Q$7:$Q$102,""Yes"")=0,""Inga rundor med fixed seating"",
TRUE,ARRAYFORMULA(TEXTJOIN("", "",TRUE,IF(VALUE($B$113:$T$113)&lt;-10,$B$112:$T$112,""""))))"),"Tom tävling - lägg till grenar!")</f>
        <v>Tom tävling - lägg till grenar!</v>
      </c>
      <c r="F111" s="10"/>
      <c r="G111" s="10"/>
      <c r="H111" s="11"/>
      <c r="I111" s="92" t="str">
        <f>IFERROR(__xludf.DUMMYFUNCTION("IFS(SUM($L$7:$L$102)=$L$29+$L$52+$L$78,""Tom tävling - lägg till grenar!"",
IFERROR(FILTER($T$7:$T$102,$T$7:$T$102=""Fyll i R-kolumnen"")=""Fyll i R-kolumnen"")=TRUE,""Fyll först i kolumn R"",
IFERROR(FILTER($T$7:$T$102,$T$7:$T$102=""Fyll i S-kolumnen"")="&amp;"""Fyll i S-kolumnen"")=TRUE,""Fyll först i kolumn S"",
COUNTIF($Q$7:$Q$102,""No"")=0,""Inga rundor utan fixed seating"",
TRUE,ARRAYFORMULA(TEXTJOIN("", "",TRUE,IF(VALUE($B$115:$T$115)&lt;-5,$B$112:$T$112,""""))))"),"Tom tävling - lägg till grenar!")</f>
        <v>Tom tävling - lägg till grenar!</v>
      </c>
      <c r="J111" s="10"/>
      <c r="K111" s="10"/>
      <c r="L111" s="10"/>
      <c r="M111" s="92" t="str">
        <f>IFERROR(__xludf.DUMMYFUNCTION("IFS(SUM($L$7:$L$102)=$L$29+$L$52+$L$78,""Tom tävling - lägg till grenar!"",
IFERROR(FILTER($T$7:$T$102,$T$7:$T$102=""Fyll i R-kolumnen"")=""Fyll i R-kolumnen"")=TRUE,""Fyll först i kolumn R"",
IFERROR(FILTER($T$7:$T$102,$T$7:$T$102=""Fyll i S-kolumnen"")="&amp;"""Fyll i S-kolumnen"")=TRUE,""Fyll först i kolumn S"",
COUNTIF($Q$7:$Q$102,""No"")=0,""Inga rundor utan fixed seating"",
TRUE,ARRAYFORMULA(TEXTJOIN("", "",TRUE,IF(VALUE($B$115:$T$115)&lt;-10,$B$112:$T$112,""""))))                 "),"Tom tävling - lägg till grenar!")</f>
        <v>Tom tävling - lägg till grenar!</v>
      </c>
      <c r="N111" s="10"/>
      <c r="O111" s="10"/>
      <c r="P111" s="11"/>
      <c r="Q111" s="80" t="str">
        <f>IFERROR(__xludf.DUMMYFUNCTION("CONCATENATE(FILTER($B$112:$T$112,$B$113:$T$113=INDIRECT(CELL(""address"",INDEX($B$113:$T$113,MATCH(MIN($B$113:$T$113),$B$113:$T$113,0)))))&amp;"" ""&amp;INDIRECT(CELL(""address"",INDEX($B$113:$T$113,MATCH(MIN($B$113:$T$113),$B$113:$T$113,0))))&amp;""%"")"),"#N/A")</f>
        <v>#N/A</v>
      </c>
      <c r="R111" s="11"/>
      <c r="S111" s="80" t="str">
        <f>IFERROR(__xludf.DUMMYFUNCTION("CONCATENATE(FILTER($B$112:$T$112,$B$115:$T$115=INDIRECT(CELL(""address"",INDEX($B$115:$T$115,MATCH(MIN($B$115:$T$115),$B$115:$T$115,0)))))&amp;"" ""&amp;INDIRECT(CELL(""address"",INDEX($B$115:$T$115,MATCH(MIN($B$115:$T$115),$B$115:$T$115,0))))&amp;""%"")"),"#N/A")</f>
        <v>#N/A</v>
      </c>
      <c r="T111" s="11"/>
      <c r="U111" s="80" t="str">
        <f>IFERROR(__xludf.DUMMYFUNCTION("IFS(SUM($L$7:$L$102)=$L$29+$L$52+$L$78,""Tom tävling - lägg till grenar!"",
IFERROR(FILTER($T$7:$T$102,$T$7:$T$102=""Fyll i R-kolumnen"")=""Fyll i R-kolumnen"")=TRUE,""Fyll först i kolumn R"",
IFERROR(FILTER($T$7:$T$102,$T$7:$T$102=""Fyll i S-kolumnen"")="&amp;"""Fyll i S-kolumnen"")=TRUE,""Fyll först i kolumn S"",
TRUE,ARRAYFORMULA(TEXTJOIN("", "",TRUE,IF(VALUE($B$117:$T$117)&lt;-10,$B$112:$T$112,""""))))"),"Tom tävling - lägg till grenar!")</f>
        <v>Tom tävling - lägg till grenar!</v>
      </c>
      <c r="V111" s="11"/>
      <c r="W111" s="80" t="str">
        <f>IFERROR(__xludf.DUMMYFUNCTION("IFS(SUM($L$7:$L$102)=$L$29+$L$52+$L$78,""Tom tävling - lägg till grenar!"",
IFERROR(FILTER($T$7:$T$102,$T$7:$T$102=""Fyll i R-kolumnen"")=""Fyll i R-kolumnen"")=TRUE,""Fyll först i kolumn R"",
IFERROR(FILTER($T$7:$T$102,$T$7:$T$102=""Fyll i S-kolumnen"")="&amp;"""Fyll i S-kolumnen"")=TRUE,""Fyll först i kolumn S"",
SUMIFS($L$7:$L$102,$I$7:$I$102,""&gt;0"")=0,""Inga rundor med cutoffs"",
TRUE,ARRAYFORMULA(TEXTJOIN("", "",TRUE,IF(VALUE($B$119:$T$119)&lt;-10,$B$112:$T$112,""""))))"),"Tom tävling - lägg till grenar!")</f>
        <v>Tom tävling - lägg till grenar!</v>
      </c>
      <c r="X111" s="11"/>
      <c r="Y111" s="80" t="str">
        <f>IFERROR(__xludf.DUMMYFUNCTION("IFS(SUM($L$7:$L$102)=$L$29+$L$52+$L$78,""Tom tävling - lägg till grenar!"",
IFERROR(FILTER($T$7:$T$102,$T$7:$T$102=""Fyll i R-kolumnen"")=""Fyll i R-kolumnen"")=TRUE,""Fyll först i kolumn R"",
IFERROR(FILTER($T$7:$T$102,$T$7:$T$102=""Fyll i S-kolumnen"")="&amp;"""Fyll i S-kolumnen"")=TRUE,""Fyll först i kolumn S"",
SUMIFS($L$7:$L$102,$H$7:$H$102,""&gt;0"")=0,""Inga rundor med c.t.l."",
TRUE,ARRAYFORMULA(TEXTJOIN("", "",TRUE,IF(VALUE($B$121:$T$121)&lt;-10,$B$112:$T$112,""""))))"),"Tom tävling - lägg till grenar!")</f>
        <v>Tom tävling - lägg till grenar!</v>
      </c>
      <c r="Z111" s="11"/>
      <c r="AA111" s="90"/>
      <c r="AB111" s="90"/>
    </row>
    <row r="112" ht="15.75" customHeight="1">
      <c r="A112" s="86"/>
      <c r="C112" s="93" t="s">
        <v>12</v>
      </c>
      <c r="D112" s="93" t="s">
        <v>94</v>
      </c>
      <c r="E112" s="93" t="s">
        <v>95</v>
      </c>
      <c r="F112" s="93" t="s">
        <v>96</v>
      </c>
      <c r="G112" s="93" t="s">
        <v>97</v>
      </c>
      <c r="H112" s="93" t="s">
        <v>98</v>
      </c>
      <c r="I112" s="93" t="s">
        <v>99</v>
      </c>
      <c r="J112" s="93" t="s">
        <v>69</v>
      </c>
      <c r="K112" s="93" t="s">
        <v>100</v>
      </c>
      <c r="L112" s="93" t="s">
        <v>101</v>
      </c>
      <c r="M112" s="93" t="s">
        <v>102</v>
      </c>
      <c r="N112" s="93" t="s">
        <v>103</v>
      </c>
      <c r="O112" s="93" t="s">
        <v>104</v>
      </c>
      <c r="P112" s="93" t="s">
        <v>105</v>
      </c>
      <c r="Q112" s="93" t="s">
        <v>106</v>
      </c>
      <c r="R112" s="93" t="s">
        <v>107</v>
      </c>
      <c r="S112" s="93" t="s">
        <v>77</v>
      </c>
      <c r="T112" s="93" t="s">
        <v>108</v>
      </c>
      <c r="U112" s="94" t="s">
        <v>109</v>
      </c>
      <c r="V112" s="90"/>
      <c r="W112" s="90"/>
      <c r="X112" s="90"/>
      <c r="Y112" s="90"/>
      <c r="Z112" s="90"/>
      <c r="AA112" s="90"/>
      <c r="AB112" s="90"/>
    </row>
    <row r="113" ht="15.75" customHeight="1">
      <c r="A113" s="86" t="s">
        <v>110</v>
      </c>
      <c r="B113" s="24"/>
      <c r="C113" s="95" t="str">
        <f>IFERROR(__xludf.DUMMYFUNCTION("IFS(SUM($L$7:$L$102)=$L$29+$L$52+$L$78,""Tom tävling - lägg till grenar!"",
IFERROR(FILTER($T$7:$T$102,$T$7:$T$102=""Fyll i R-kolumnen"")=""Fyll i R-kolumnen"")=TRUE,""Fyll först i kolumn R"",
IFERROR(FILTER($T$7:$T$102,$T$7:$T$102=""Fyll i S-kolumnen"")="&amp;"""Fyll i S-kolumnen"")=TRUE,""Fyll först i kolumn S"",
OR(C$112=""3x3 BLD"",C$112=""4x4 BLD"",C$112=""5x5 BLD"",C$112=""4x4 / 5x5 BLD""),"""",
SUMIFS($T$7:$T$102,$C$7:$C$102,C$112)=0,"""",
SUMIFS($T$7:$T$102,$C$7:$C$102,C$112,$Q$7:$Q$102,""Yes"")=0,"""",
"&amp;"SUMIFS($T$7:$T$102,$C$7:$C$102,C$112,$Q$7:$Q$102,""Yes"")/SUMIFS($Y$7:$Y$102,$C$7:$C$102,C$112,$Q$7:$Q$102,""Yes"")&gt;=1,
MROUND((SUMIFS($T$7:$T$102,$C$7:$C$102,C$112,$Q$7:$Q$102,""Yes"")/SUMIFS($Y$7:$Y$102,$C$7:$C$102,C$112,$Q$7:$Q$102,""Yes"")-1)*100,0.01"&amp;"),
TRUE,-MROUND((1-(SUMIFS($T$7:$T$102,$C$7:$C$102,C$112,$Q$7:$Q$102,""Yes"")/SUMIFS($Y$7:$Y$102,$C$7:$C$102,C$112,$Q$7:$Q$102,""Yes"")))*100,0.01))"),"Tom tävling - lägg till grenar!")</f>
        <v>Tom tävling - lägg till grenar!</v>
      </c>
      <c r="D113" s="95" t="str">
        <f>IFERROR(__xludf.DUMMYFUNCTION("IFS(SUM($L$7:$L$102)=$L$29+$L$52+$L$78,""Tom tävling - lägg till grenar!"",
IFERROR(FILTER($T$7:$T$102,$T$7:$T$102=""Fyll i R-kolumnen"")=""Fyll i R-kolumnen"")=TRUE,""Fyll först i kolumn R"",
IFERROR(FILTER($T$7:$T$102,$T$7:$T$102=""Fyll i S-kolumnen"")="&amp;"""Fyll i S-kolumnen"")=TRUE,""Fyll först i kolumn S"",
OR(D$112=""3x3 BLD"",D$112=""4x4 BLD"",D$112=""5x5 BLD"",D$112=""4x4 / 5x5 BLD""),"""",
SUMIFS($T$7:$T$102,$C$7:$C$102,D$112)=0,"""",
SUMIFS($T$7:$T$102,$C$7:$C$102,D$112,$Q$7:$Q$102,""Yes"")=0,"""",
"&amp;"SUMIFS($T$7:$T$102,$C$7:$C$102,D$112,$Q$7:$Q$102,""Yes"")/SUMIFS($Y$7:$Y$102,$C$7:$C$102,D$112,$Q$7:$Q$102,""Yes"")&gt;=1,
MROUND((SUMIFS($T$7:$T$102,$C$7:$C$102,D$112,$Q$7:$Q$102,""Yes"")/SUMIFS($Y$7:$Y$102,$C$7:$C$102,D$112,$Q$7:$Q$102,""Yes"")-1)*100,0.01"&amp;"),
TRUE,-MROUND((1-(SUMIFS($T$7:$T$102,$C$7:$C$102,D$112,$Q$7:$Q$102,""Yes"")/SUMIFS($Y$7:$Y$102,$C$7:$C$102,D$112,$Q$7:$Q$102,""Yes"")))*100,0.01))"),"Tom tävling - lägg till grenar!")</f>
        <v>Tom tävling - lägg till grenar!</v>
      </c>
      <c r="E113" s="95" t="str">
        <f>IFERROR(__xludf.DUMMYFUNCTION("IFS(SUM($L$7:$L$102)=$L$29+$L$52+$L$78,""Tom tävling - lägg till grenar!"",
IFERROR(FILTER($T$7:$T$102,$T$7:$T$102=""Fyll i R-kolumnen"")=""Fyll i R-kolumnen"")=TRUE,""Fyll först i kolumn R"",
IFERROR(FILTER($T$7:$T$102,$T$7:$T$102=""Fyll i S-kolumnen"")="&amp;"""Fyll i S-kolumnen"")=TRUE,""Fyll först i kolumn S"",
OR(E$112=""3x3 BLD"",E$112=""4x4 BLD"",E$112=""5x5 BLD"",E$112=""4x4 / 5x5 BLD""),"""",
SUMIFS($T$7:$T$102,$C$7:$C$102,E$112)=0,"""",
SUMIFS($T$7:$T$102,$C$7:$C$102,E$112,$Q$7:$Q$102,""Yes"")=0,"""",
"&amp;"SUMIFS($T$7:$T$102,$C$7:$C$102,E$112,$Q$7:$Q$102,""Yes"")/SUMIFS($Y$7:$Y$102,$C$7:$C$102,E$112,$Q$7:$Q$102,""Yes"")&gt;=1,
MROUND((SUMIFS($T$7:$T$102,$C$7:$C$102,E$112,$Q$7:$Q$102,""Yes"")/SUMIFS($Y$7:$Y$102,$C$7:$C$102,E$112,$Q$7:$Q$102,""Yes"")-1)*100,0.01"&amp;"),
TRUE,-MROUND((1-(SUMIFS($T$7:$T$102,$C$7:$C$102,E$112,$Q$7:$Q$102,""Yes"")/SUMIFS($Y$7:$Y$102,$C$7:$C$102,E$112,$Q$7:$Q$102,""Yes"")))*100,0.01))"),"Tom tävling - lägg till grenar!")</f>
        <v>Tom tävling - lägg till grenar!</v>
      </c>
      <c r="F113" s="95" t="str">
        <f>IFERROR(__xludf.DUMMYFUNCTION("IFS(SUM($L$7:$L$102)=$L$29+$L$52+$L$78,""Tom tävling - lägg till grenar!"",
IFERROR(FILTER($T$7:$T$102,$T$7:$T$102=""Fyll i R-kolumnen"")=""Fyll i R-kolumnen"")=TRUE,""Fyll först i kolumn R"",
IFERROR(FILTER($T$7:$T$102,$T$7:$T$102=""Fyll i S-kolumnen"")="&amp;"""Fyll i S-kolumnen"")=TRUE,""Fyll först i kolumn S"",
OR(F$112=""3x3 BLD"",F$112=""4x4 BLD"",F$112=""5x5 BLD"",F$112=""4x4 / 5x5 BLD""),"""",
SUMIFS($T$7:$T$102,$C$7:$C$102,F$112)=0,"""",
SUMIFS($T$7:$T$102,$C$7:$C$102,F$112,$Q$7:$Q$102,""Yes"")=0,"""",
"&amp;"SUMIFS($T$7:$T$102,$C$7:$C$102,F$112,$Q$7:$Q$102,""Yes"")/SUMIFS($Y$7:$Y$102,$C$7:$C$102,F$112,$Q$7:$Q$102,""Yes"")&gt;=1,
MROUND((SUMIFS($T$7:$T$102,$C$7:$C$102,F$112,$Q$7:$Q$102,""Yes"")/SUMIFS($Y$7:$Y$102,$C$7:$C$102,F$112,$Q$7:$Q$102,""Yes"")-1)*100,0.01"&amp;"),
TRUE,-MROUND((1-(SUMIFS($T$7:$T$102,$C$7:$C$102,F$112,$Q$7:$Q$102,""Yes"")/SUMIFS($Y$7:$Y$102,$C$7:$C$102,F$112,$Q$7:$Q$102,""Yes"")))*100,0.01))"),"Tom tävling - lägg till grenar!")</f>
        <v>Tom tävling - lägg till grenar!</v>
      </c>
      <c r="G113" s="95" t="str">
        <f>IFERROR(__xludf.DUMMYFUNCTION("IFS(SUM($L$7:$L$102)=$L$29+$L$52+$L$78,""Tom tävling - lägg till grenar!"",
IFERROR(FILTER($T$7:$T$102,$T$7:$T$102=""Fyll i R-kolumnen"")=""Fyll i R-kolumnen"")=TRUE,""Fyll först i kolumn R"",
IFERROR(FILTER($T$7:$T$102,$T$7:$T$102=""Fyll i S-kolumnen"")="&amp;"""Fyll i S-kolumnen"")=TRUE,""Fyll först i kolumn S"",
OR(G$112=""3x3 BLD"",G$112=""4x4 BLD"",G$112=""5x5 BLD"",G$112=""4x4 / 5x5 BLD""),"""",
SUMIFS($T$7:$T$102,$C$7:$C$102,G$112)=0,"""",
SUMIFS($T$7:$T$102,$C$7:$C$102,G$112,$Q$7:$Q$102,""Yes"")=0,"""",
"&amp;"SUMIFS($T$7:$T$102,$C$7:$C$102,G$112,$Q$7:$Q$102,""Yes"")/SUMIFS($Y$7:$Y$102,$C$7:$C$102,G$112,$Q$7:$Q$102,""Yes"")&gt;=1,
MROUND((SUMIFS($T$7:$T$102,$C$7:$C$102,G$112,$Q$7:$Q$102,""Yes"")/SUMIFS($Y$7:$Y$102,$C$7:$C$102,G$112,$Q$7:$Q$102,""Yes"")-1)*100,0.01"&amp;"),
TRUE,-MROUND((1-(SUMIFS($T$7:$T$102,$C$7:$C$102,G$112,$Q$7:$Q$102,""Yes"")/SUMIFS($Y$7:$Y$102,$C$7:$C$102,G$112,$Q$7:$Q$102,""Yes"")))*100,0.01))"),"Tom tävling - lägg till grenar!")</f>
        <v>Tom tävling - lägg till grenar!</v>
      </c>
      <c r="H113" s="95" t="str">
        <f>IFERROR(__xludf.DUMMYFUNCTION("IFS(SUM($L$7:$L$102)=$L$29+$L$52+$L$78,""Tom tävling - lägg till grenar!"",
IFERROR(FILTER($T$7:$T$102,$T$7:$T$102=""Fyll i R-kolumnen"")=""Fyll i R-kolumnen"")=TRUE,""Fyll först i kolumn R"",
IFERROR(FILTER($T$7:$T$102,$T$7:$T$102=""Fyll i S-kolumnen"")="&amp;"""Fyll i S-kolumnen"")=TRUE,""Fyll först i kolumn S"",
OR(H$112=""3x3 BLD"",H$112=""4x4 BLD"",H$112=""5x5 BLD"",H$112=""4x4 / 5x5 BLD""),"""",
SUMIFS($T$7:$T$102,$C$7:$C$102,H$112)=0,"""",
SUMIFS($T$7:$T$102,$C$7:$C$102,H$112,$Q$7:$Q$102,""Yes"")=0,"""",
"&amp;"SUMIFS($T$7:$T$102,$C$7:$C$102,H$112,$Q$7:$Q$102,""Yes"")/SUMIFS($Y$7:$Y$102,$C$7:$C$102,H$112,$Q$7:$Q$102,""Yes"")&gt;=1,
MROUND((SUMIFS($T$7:$T$102,$C$7:$C$102,H$112,$Q$7:$Q$102,""Yes"")/SUMIFS($Y$7:$Y$102,$C$7:$C$102,H$112,$Q$7:$Q$102,""Yes"")-1)*100,0.01"&amp;"),
TRUE,-MROUND((1-(SUMIFS($T$7:$T$102,$C$7:$C$102,H$112,$Q$7:$Q$102,""Yes"")/SUMIFS($Y$7:$Y$102,$C$7:$C$102,H$112,$Q$7:$Q$102,""Yes"")))*100,0.01))"),"Tom tävling - lägg till grenar!")</f>
        <v>Tom tävling - lägg till grenar!</v>
      </c>
      <c r="I113" s="95" t="str">
        <f>IFERROR(__xludf.DUMMYFUNCTION("IFS(SUM($L$7:$L$102)=$L$29+$L$52+$L$78,""Tom tävling - lägg till grenar!"",
IFERROR(FILTER($T$7:$T$102,$T$7:$T$102=""Fyll i R-kolumnen"")=""Fyll i R-kolumnen"")=TRUE,""Fyll först i kolumn R"",
IFERROR(FILTER($T$7:$T$102,$T$7:$T$102=""Fyll i S-kolumnen"")="&amp;"""Fyll i S-kolumnen"")=TRUE,""Fyll först i kolumn S"",
OR(I$112=""3x3 BLD"",I$112=""4x4 BLD"",I$112=""5x5 BLD"",I$112=""4x4 / 5x5 BLD""),"""",
SUMIFS($T$7:$T$102,$C$7:$C$102,I$112)=0,"""",
SUMIFS($T$7:$T$102,$C$7:$C$102,I$112,$Q$7:$Q$102,""Yes"")=0,"""",
"&amp;"SUMIFS($T$7:$T$102,$C$7:$C$102,I$112,$Q$7:$Q$102,""Yes"")/SUMIFS($Y$7:$Y$102,$C$7:$C$102,I$112,$Q$7:$Q$102,""Yes"")&gt;=1,
MROUND((SUMIFS($T$7:$T$102,$C$7:$C$102,I$112,$Q$7:$Q$102,""Yes"")/SUMIFS($Y$7:$Y$102,$C$7:$C$102,I$112,$Q$7:$Q$102,""Yes"")-1)*100,0.01"&amp;"),
TRUE,-MROUND((1-(SUMIFS($T$7:$T$102,$C$7:$C$102,I$112,$Q$7:$Q$102,""Yes"")/SUMIFS($Y$7:$Y$102,$C$7:$C$102,I$112,$Q$7:$Q$102,""Yes"")))*100,0.01))"),"Tom tävling - lägg till grenar!")</f>
        <v>Tom tävling - lägg till grenar!</v>
      </c>
      <c r="J113" s="95" t="str">
        <f>IFERROR(__xludf.DUMMYFUNCTION("IFS(SUM($L$7:$L$102)=$L$29+$L$52+$L$78,""Tom tävling - lägg till grenar!"",
IFERROR(FILTER($T$7:$T$102,$T$7:$T$102=""Fyll i R-kolumnen"")=""Fyll i R-kolumnen"")=TRUE,""Fyll först i kolumn R"",
IFERROR(FILTER($T$7:$T$102,$T$7:$T$102=""Fyll i S-kolumnen"")="&amp;"""Fyll i S-kolumnen"")=TRUE,""Fyll först i kolumn S"",
OR(J$112=""3x3 BLD"",J$112=""4x4 BLD"",J$112=""5x5 BLD"",J$112=""4x4 / 5x5 BLD""),"""",
SUMIFS($T$7:$T$102,$C$7:$C$102,J$112)=0,"""",
SUMIFS($T$7:$T$102,$C$7:$C$102,J$112,$Q$7:$Q$102,""Yes"")=0,"""",
"&amp;"SUMIFS($T$7:$T$102,$C$7:$C$102,J$112,$Q$7:$Q$102,""Yes"")/SUMIFS($Y$7:$Y$102,$C$7:$C$102,J$112,$Q$7:$Q$102,""Yes"")&gt;=1,
MROUND((SUMIFS($T$7:$T$102,$C$7:$C$102,J$112,$Q$7:$Q$102,""Yes"")/SUMIFS($Y$7:$Y$102,$C$7:$C$102,J$112,$Q$7:$Q$102,""Yes"")-1)*100,0.01"&amp;"),
TRUE,-MROUND((1-(SUMIFS($T$7:$T$102,$C$7:$C$102,J$112,$Q$7:$Q$102,""Yes"")/SUMIFS($Y$7:$Y$102,$C$7:$C$102,J$112,$Q$7:$Q$102,""Yes"")))*100,0.01))"),"Tom tävling - lägg till grenar!")</f>
        <v>Tom tävling - lägg till grenar!</v>
      </c>
      <c r="K113" s="95" t="str">
        <f>IFERROR(__xludf.DUMMYFUNCTION("IFS(SUM($L$7:$L$102)=$L$29+$L$52+$L$78,""Tom tävling - lägg till grenar!"",
IFERROR(FILTER($T$7:$T$102,$T$7:$T$102=""Fyll i R-kolumnen"")=""Fyll i R-kolumnen"")=TRUE,""Fyll först i kolumn R"",
IFERROR(FILTER($T$7:$T$102,$T$7:$T$102=""Fyll i S-kolumnen"")="&amp;"""Fyll i S-kolumnen"")=TRUE,""Fyll först i kolumn S"",
OR(K$112=""3x3 BLD"",K$112=""4x4 BLD"",K$112=""5x5 BLD"",K$112=""4x4 / 5x5 BLD""),"""",
SUMIFS($T$7:$T$102,$C$7:$C$102,K$112)=0,"""",
SUMIFS($T$7:$T$102,$C$7:$C$102,K$112,$Q$7:$Q$102,""Yes"")=0,"""",
"&amp;"SUMIFS($T$7:$T$102,$C$7:$C$102,K$112,$Q$7:$Q$102,""Yes"")/SUMIFS($Y$7:$Y$102,$C$7:$C$102,K$112,$Q$7:$Q$102,""Yes"")&gt;=1,
MROUND((SUMIFS($T$7:$T$102,$C$7:$C$102,K$112,$Q$7:$Q$102,""Yes"")/SUMIFS($Y$7:$Y$102,$C$7:$C$102,K$112,$Q$7:$Q$102,""Yes"")-1)*100,0.01"&amp;"),
TRUE,-MROUND((1-(SUMIFS($T$7:$T$102,$C$7:$C$102,K$112,$Q$7:$Q$102,""Yes"")/SUMIFS($Y$7:$Y$102,$C$7:$C$102,K$112,$Q$7:$Q$102,""Yes"")))*100,0.01))"),"Tom tävling - lägg till grenar!")</f>
        <v>Tom tävling - lägg till grenar!</v>
      </c>
      <c r="L113" s="95" t="str">
        <f>IFERROR(__xludf.DUMMYFUNCTION("IFS(SUM($L$7:$L$102)=$L$29+$L$52+$L$78,""Tom tävling - lägg till grenar!"",
IFERROR(FILTER($T$7:$T$102,$T$7:$T$102=""Fyll i R-kolumnen"")=""Fyll i R-kolumnen"")=TRUE,""Fyll först i kolumn R"",
IFERROR(FILTER($T$7:$T$102,$T$7:$T$102=""Fyll i S-kolumnen"")="&amp;"""Fyll i S-kolumnen"")=TRUE,""Fyll först i kolumn S"",
OR(L$112=""3x3 BLD"",L$112=""4x4 BLD"",L$112=""5x5 BLD"",L$112=""4x4 / 5x5 BLD""),"""",
SUMIFS($T$7:$T$102,$C$7:$C$102,L$112)=0,"""",
SUMIFS($T$7:$T$102,$C$7:$C$102,L$112,$Q$7:$Q$102,""Yes"")=0,"""",
"&amp;"SUMIFS($T$7:$T$102,$C$7:$C$102,L$112,$Q$7:$Q$102,""Yes"")/SUMIFS($Y$7:$Y$102,$C$7:$C$102,L$112,$Q$7:$Q$102,""Yes"")&gt;=1,
MROUND((SUMIFS($T$7:$T$102,$C$7:$C$102,L$112,$Q$7:$Q$102,""Yes"")/SUMIFS($Y$7:$Y$102,$C$7:$C$102,L$112,$Q$7:$Q$102,""Yes"")-1)*100,0.01"&amp;"),
TRUE,-MROUND((1-(SUMIFS($T$7:$T$102,$C$7:$C$102,L$112,$Q$7:$Q$102,""Yes"")/SUMIFS($Y$7:$Y$102,$C$7:$C$102,L$112,$Q$7:$Q$102,""Yes"")))*100,0.01))"),"Tom tävling - lägg till grenar!")</f>
        <v>Tom tävling - lägg till grenar!</v>
      </c>
      <c r="M113" s="95" t="str">
        <f>IFERROR(__xludf.DUMMYFUNCTION("IFS(SUM($L$7:$L$102)=$L$29+$L$52+$L$78,""Tom tävling - lägg till grenar!"",
IFERROR(FILTER($T$7:$T$102,$T$7:$T$102=""Fyll i R-kolumnen"")=""Fyll i R-kolumnen"")=TRUE,""Fyll först i kolumn R"",
IFERROR(FILTER($T$7:$T$102,$T$7:$T$102=""Fyll i S-kolumnen"")="&amp;"""Fyll i S-kolumnen"")=TRUE,""Fyll först i kolumn S"",
OR(M$112=""3x3 BLD"",M$112=""4x4 BLD"",M$112=""5x5 BLD"",M$112=""4x4 / 5x5 BLD""),"""",
SUMIFS($T$7:$T$102,$C$7:$C$102,M$112)=0,"""",
SUMIFS($T$7:$T$102,$C$7:$C$102,M$112,$Q$7:$Q$102,""Yes"")=0,"""",
"&amp;"SUMIFS($T$7:$T$102,$C$7:$C$102,M$112,$Q$7:$Q$102,""Yes"")/SUMIFS($Y$7:$Y$102,$C$7:$C$102,M$112,$Q$7:$Q$102,""Yes"")&gt;=1,
MROUND((SUMIFS($T$7:$T$102,$C$7:$C$102,M$112,$Q$7:$Q$102,""Yes"")/SUMIFS($Y$7:$Y$102,$C$7:$C$102,M$112,$Q$7:$Q$102,""Yes"")-1)*100,0.01"&amp;"),
TRUE,-MROUND((1-(SUMIFS($T$7:$T$102,$C$7:$C$102,M$112,$Q$7:$Q$102,""Yes"")/SUMIFS($Y$7:$Y$102,$C$7:$C$102,M$112,$Q$7:$Q$102,""Yes"")))*100,0.01))"),"Tom tävling - lägg till grenar!")</f>
        <v>Tom tävling - lägg till grenar!</v>
      </c>
      <c r="N113" s="95" t="str">
        <f>IFERROR(__xludf.DUMMYFUNCTION("IFS(SUM($L$7:$L$102)=$L$29+$L$52+$L$78,""Tom tävling - lägg till grenar!"",
IFERROR(FILTER($T$7:$T$102,$T$7:$T$102=""Fyll i R-kolumnen"")=""Fyll i R-kolumnen"")=TRUE,""Fyll först i kolumn R"",
IFERROR(FILTER($T$7:$T$102,$T$7:$T$102=""Fyll i S-kolumnen"")="&amp;"""Fyll i S-kolumnen"")=TRUE,""Fyll först i kolumn S"",
OR(N$112=""3x3 BLD"",N$112=""4x4 BLD"",N$112=""5x5 BLD"",N$112=""4x4 / 5x5 BLD""),"""",
SUMIFS($T$7:$T$102,$C$7:$C$102,N$112)=0,"""",
SUMIFS($T$7:$T$102,$C$7:$C$102,N$112,$Q$7:$Q$102,""Yes"")=0,"""",
"&amp;"SUMIFS($T$7:$T$102,$C$7:$C$102,N$112,$Q$7:$Q$102,""Yes"")/SUMIFS($Y$7:$Y$102,$C$7:$C$102,N$112,$Q$7:$Q$102,""Yes"")&gt;=1,
MROUND((SUMIFS($T$7:$T$102,$C$7:$C$102,N$112,$Q$7:$Q$102,""Yes"")/SUMIFS($Y$7:$Y$102,$C$7:$C$102,N$112,$Q$7:$Q$102,""Yes"")-1)*100,0.01"&amp;"),
TRUE,-MROUND((1-(SUMIFS($T$7:$T$102,$C$7:$C$102,N$112,$Q$7:$Q$102,""Yes"")/SUMIFS($Y$7:$Y$102,$C$7:$C$102,N$112,$Q$7:$Q$102,""Yes"")))*100,0.01))"),"Tom tävling - lägg till grenar!")</f>
        <v>Tom tävling - lägg till grenar!</v>
      </c>
      <c r="O113" s="95" t="str">
        <f>IFERROR(__xludf.DUMMYFUNCTION("IFS(SUM($L$7:$L$102)=$L$29+$L$52+$L$78,""Tom tävling - lägg till grenar!"",
IFERROR(FILTER($T$7:$T$102,$T$7:$T$102=""Fyll i R-kolumnen"")=""Fyll i R-kolumnen"")=TRUE,""Fyll först i kolumn R"",
IFERROR(FILTER($T$7:$T$102,$T$7:$T$102=""Fyll i S-kolumnen"")="&amp;"""Fyll i S-kolumnen"")=TRUE,""Fyll först i kolumn S"",
OR(O$112=""3x3 BLD"",O$112=""4x4 BLD"",O$112=""5x5 BLD"",O$112=""4x4 / 5x5 BLD""),"""",
SUMIFS($T$7:$T$102,$C$7:$C$102,O$112)=0,"""",
SUMIFS($T$7:$T$102,$C$7:$C$102,O$112,$Q$7:$Q$102,""Yes"")=0,"""",
"&amp;"SUMIFS($T$7:$T$102,$C$7:$C$102,O$112,$Q$7:$Q$102,""Yes"")/SUMIFS($Y$7:$Y$102,$C$7:$C$102,O$112,$Q$7:$Q$102,""Yes"")&gt;=1,
MROUND((SUMIFS($T$7:$T$102,$C$7:$C$102,O$112,$Q$7:$Q$102,""Yes"")/SUMIFS($Y$7:$Y$102,$C$7:$C$102,O$112,$Q$7:$Q$102,""Yes"")-1)*100,0.01"&amp;"),
TRUE,-MROUND((1-(SUMIFS($T$7:$T$102,$C$7:$C$102,O$112,$Q$7:$Q$102,""Yes"")/SUMIFS($Y$7:$Y$102,$C$7:$C$102,O$112,$Q$7:$Q$102,""Yes"")))*100,0.01))"),"Tom tävling - lägg till grenar!")</f>
        <v>Tom tävling - lägg till grenar!</v>
      </c>
      <c r="P113" s="95" t="str">
        <f>IFERROR(__xludf.DUMMYFUNCTION("IFS(SUM($L$7:$L$102)=$L$29+$L$52+$L$78,""Tom tävling - lägg till grenar!"",
IFERROR(FILTER($T$7:$T$102,$T$7:$T$102=""Fyll i R-kolumnen"")=""Fyll i R-kolumnen"")=TRUE,""Fyll först i kolumn R"",
IFERROR(FILTER($T$7:$T$102,$T$7:$T$102=""Fyll i S-kolumnen"")="&amp;"""Fyll i S-kolumnen"")=TRUE,""Fyll först i kolumn S"",
OR(P$112=""3x3 BLD"",P$112=""4x4 BLD"",P$112=""5x5 BLD"",P$112=""4x4 / 5x5 BLD""),"""",
SUMIFS($T$7:$T$102,$C$7:$C$102,P$112)=0,"""",
SUMIFS($T$7:$T$102,$C$7:$C$102,P$112,$Q$7:$Q$102,""Yes"")=0,"""",
"&amp;"SUMIFS($T$7:$T$102,$C$7:$C$102,P$112,$Q$7:$Q$102,""Yes"")/SUMIFS($Y$7:$Y$102,$C$7:$C$102,P$112,$Q$7:$Q$102,""Yes"")&gt;=1,
MROUND((SUMIFS($T$7:$T$102,$C$7:$C$102,P$112,$Q$7:$Q$102,""Yes"")/SUMIFS($Y$7:$Y$102,$C$7:$C$102,P$112,$Q$7:$Q$102,""Yes"")-1)*100,0.01"&amp;"),
TRUE,-MROUND((1-(SUMIFS($T$7:$T$102,$C$7:$C$102,P$112,$Q$7:$Q$102,""Yes"")/SUMIFS($Y$7:$Y$102,$C$7:$C$102,P$112,$Q$7:$Q$102,""Yes"")))*100,0.01))"),"Tom tävling - lägg till grenar!")</f>
        <v>Tom tävling - lägg till grenar!</v>
      </c>
      <c r="Q113" s="95" t="str">
        <f>IFERROR(__xludf.DUMMYFUNCTION("IFS(SUM($L$7:$L$102)=$L$29+$L$52+$L$78,""Tom tävling - lägg till grenar!"",
IFERROR(FILTER($T$7:$T$102,$T$7:$T$102=""Fyll i R-kolumnen"")=""Fyll i R-kolumnen"")=TRUE,""Fyll först i kolumn R"",
IFERROR(FILTER($T$7:$T$102,$T$7:$T$102=""Fyll i S-kolumnen"")="&amp;"""Fyll i S-kolumnen"")=TRUE,""Fyll först i kolumn S"",
OR(Q$112=""3x3 BLD"",Q$112=""4x4 BLD"",Q$112=""5x5 BLD"",Q$112=""4x4 / 5x5 BLD""),"""",
SUMIFS($T$7:$T$102,$C$7:$C$102,Q$112)=0,"""",
SUMIFS($T$7:$T$102,$C$7:$C$102,Q$112,$Q$7:$Q$102,""Yes"")=0,"""",
"&amp;"SUMIFS($T$7:$T$102,$C$7:$C$102,Q$112,$Q$7:$Q$102,""Yes"")/SUMIFS($Y$7:$Y$102,$C$7:$C$102,Q$112,$Q$7:$Q$102,""Yes"")&gt;=1,
MROUND((SUMIFS($T$7:$T$102,$C$7:$C$102,Q$112,$Q$7:$Q$102,""Yes"")/SUMIFS($Y$7:$Y$102,$C$7:$C$102,Q$112,$Q$7:$Q$102,""Yes"")-1)*100,0.01"&amp;"),
TRUE,-MROUND((1-(SUMIFS($T$7:$T$102,$C$7:$C$102,Q$112,$Q$7:$Q$102,""Yes"")/SUMIFS($Y$7:$Y$102,$C$7:$C$102,Q$112,$Q$7:$Q$102,""Yes"")))*100,0.01))"),"Tom tävling - lägg till grenar!")</f>
        <v>Tom tävling - lägg till grenar!</v>
      </c>
      <c r="R113" s="95" t="str">
        <f>IFERROR(__xludf.DUMMYFUNCTION("IFS(SUM($L$7:$L$102)=$L$29+$L$52+$L$78,""Tom tävling - lägg till grenar!"",
IFERROR(FILTER($T$7:$T$102,$T$7:$T$102=""Fyll i R-kolumnen"")=""Fyll i R-kolumnen"")=TRUE,""Fyll först i kolumn R"",
IFERROR(FILTER($T$7:$T$102,$T$7:$T$102=""Fyll i S-kolumnen"")="&amp;"""Fyll i S-kolumnen"")=TRUE,""Fyll först i kolumn S"",
OR(R$112=""3x3 BLD"",R$112=""4x4 BLD"",R$112=""5x5 BLD"",R$112=""4x4 / 5x5 BLD""),"""",
SUMIFS($T$7:$T$102,$C$7:$C$102,R$112)=0,"""",
SUMIFS($T$7:$T$102,$C$7:$C$102,R$112,$Q$7:$Q$102,""Yes"")=0,"""",
"&amp;"SUMIFS($T$7:$T$102,$C$7:$C$102,R$112,$Q$7:$Q$102,""Yes"")/SUMIFS($Y$7:$Y$102,$C$7:$C$102,R$112,$Q$7:$Q$102,""Yes"")&gt;=1,
MROUND((SUMIFS($T$7:$T$102,$C$7:$C$102,R$112,$Q$7:$Q$102,""Yes"")/SUMIFS($Y$7:$Y$102,$C$7:$C$102,R$112,$Q$7:$Q$102,""Yes"")-1)*100,0.01"&amp;"),
TRUE,-MROUND((1-(SUMIFS($T$7:$T$102,$C$7:$C$102,R$112,$Q$7:$Q$102,""Yes"")/SUMIFS($Y$7:$Y$102,$C$7:$C$102,R$112,$Q$7:$Q$102,""Yes"")))*100,0.01))"),"Tom tävling - lägg till grenar!")</f>
        <v>Tom tävling - lägg till grenar!</v>
      </c>
      <c r="S113" s="95" t="str">
        <f>IFERROR(__xludf.DUMMYFUNCTION("IFS(SUM($L$7:$L$102)=$L$29+$L$52+$L$78,""Tom tävling - lägg till grenar!"",
IFERROR(FILTER($T$7:$T$102,$T$7:$T$102=""Fyll i R-kolumnen"")=""Fyll i R-kolumnen"")=TRUE,""Fyll först i kolumn R"",
IFERROR(FILTER($T$7:$T$102,$T$7:$T$102=""Fyll i S-kolumnen"")="&amp;"""Fyll i S-kolumnen"")=TRUE,""Fyll först i kolumn S"",
OR(S$112=""3x3 BLD"",S$112=""4x4 BLD"",S$112=""5x5 BLD"",S$112=""4x4 / 5x5 BLD""),"""",
SUMIFS($T$7:$T$102,$C$7:$C$102,S$112)=0,"""",
SUMIFS($T$7:$T$102,$C$7:$C$102,S$112,$Q$7:$Q$102,""Yes"")=0,"""",
"&amp;"SUMIFS($T$7:$T$102,$C$7:$C$102,S$112,$Q$7:$Q$102,""Yes"")/SUMIFS($Y$7:$Y$102,$C$7:$C$102,S$112,$Q$7:$Q$102,""Yes"")&gt;=1,
MROUND((SUMIFS($T$7:$T$102,$C$7:$C$102,S$112,$Q$7:$Q$102,""Yes"")/SUMIFS($Y$7:$Y$102,$C$7:$C$102,S$112,$Q$7:$Q$102,""Yes"")-1)*100,0.01"&amp;"),
TRUE,-MROUND((1-(SUMIFS($T$7:$T$102,$C$7:$C$102,S$112,$Q$7:$Q$102,""Yes"")/SUMIFS($Y$7:$Y$102,$C$7:$C$102,S$112,$Q$7:$Q$102,""Yes"")))*100,0.01))"),"Tom tävling - lägg till grenar!")</f>
        <v>Tom tävling - lägg till grenar!</v>
      </c>
      <c r="T113" s="95" t="str">
        <f>IFERROR(__xludf.DUMMYFUNCTION("IFS(SUM($L$7:$L$102)=$L$29+$L$52+$L$78,""Tom tävling - lägg till grenar!"",
IFERROR(FILTER($T$7:$T$102,$T$7:$T$102=""Fyll i R-kolumnen"")=""Fyll i R-kolumnen"")=TRUE,""Fyll först i kolumn R"",
IFERROR(FILTER($T$7:$T$102,$T$7:$T$102=""Fyll i S-kolumnen"")="&amp;"""Fyll i S-kolumnen"")=TRUE,""Fyll först i kolumn S"",
OR(T$112=""3x3 BLD"",T$112=""4x4 BLD"",T$112=""5x5 BLD"",T$112=""4x4 / 5x5 BLD""),"""",
SUMIFS($T$7:$T$102,$C$7:$C$102,T$112)=0,"""",
SUMIFS($T$7:$T$102,$C$7:$C$102,T$112,$Q$7:$Q$102,""Yes"")=0,"""",
"&amp;"SUMIFS($T$7:$T$102,$C$7:$C$102,T$112,$Q$7:$Q$102,""Yes"")/SUMIFS($Y$7:$Y$102,$C$7:$C$102,T$112,$Q$7:$Q$102,""Yes"")&gt;=1,
MROUND((SUMIFS($T$7:$T$102,$C$7:$C$102,T$112,$Q$7:$Q$102,""Yes"")/SUMIFS($Y$7:$Y$102,$C$7:$C$102,T$112,$Q$7:$Q$102,""Yes"")-1)*100,0.01"&amp;"),
TRUE,-MROUND((1-(SUMIFS($T$7:$T$102,$C$7:$C$102,T$112,$Q$7:$Q$102,""Yes"")/SUMIFS($Y$7:$Y$102,$C$7:$C$102,T$112,$Q$7:$Q$102,""Yes"")))*100,0.01))"),"Tom tävling - lägg till grenar!")</f>
        <v>Tom tävling - lägg till grenar!</v>
      </c>
      <c r="U113" s="95" t="str">
        <f>IFERROR(__xludf.DUMMYFUNCTION("IFS(SUM($L$7:$L$102)=$L$29+$L$52+$L$78,""Tom tävling - lägg till grenar!"",
IFERROR(FILTER($T$7:$T$102,$T$7:$T$102=""Fyll i R-kolumnen"")=""Fyll i R-kolumnen"")=TRUE,""Fyll först i kolumn R"",
IFERROR(FILTER($T$7:$T$102,$T$7:$T$102=""Fyll i S-kolumnen"")="&amp;"""Fyll i S-kolumnen"")=TRUE,""Fyll först i kolumn S"",
OR(U$112=""3x3 BLD"",U$112=""4x4 BLD"",U$112=""5x5 BLD"",U$112=""4x4 / 5x5 BLD""),"""",
SUMIFS($T$7:$T$102,$C$7:$C$102,U$112)=0,"""",
SUMIFS($T$7:$T$102,$C$7:$C$102,U$112,$Q$7:$Q$102,""Yes"")=0,"""",
"&amp;"SUMIFS($T$7:$T$102,$C$7:$C$102,U$112,$Q$7:$Q$102,""Yes"")/SUMIFS($Y$7:$Y$102,$C$7:$C$102,U$112,$Q$7:$Q$102,""Yes"")&gt;=1,
MROUND((SUMIFS($T$7:$T$102,$C$7:$C$102,U$112,$Q$7:$Q$102,""Yes"")/SUMIFS($Y$7:$Y$102,$C$7:$C$102,U$112,$Q$7:$Q$102,""Yes"")-1)*100,0.01"&amp;"),
TRUE,-MROUND((1-(SUMIFS($T$7:$T$102,$C$7:$C$102,U$112,$Q$7:$Q$102,""Yes"")/SUMIFS($Y$7:$Y$102,$C$7:$C$102,U$112,$Q$7:$Q$102,""Yes"")))*100,0.01))"),"Tom tävling - lägg till grenar!")</f>
        <v>Tom tävling - lägg till grenar!</v>
      </c>
      <c r="V113" s="90"/>
      <c r="W113" s="90"/>
      <c r="X113" s="90"/>
      <c r="Y113" s="90"/>
      <c r="Z113" s="90"/>
      <c r="AA113" s="90"/>
      <c r="AB113" s="90"/>
    </row>
    <row r="114" ht="15.75" customHeight="1">
      <c r="A114" s="86" t="s">
        <v>111</v>
      </c>
      <c r="B114" s="24"/>
      <c r="C114" s="96" t="str">
        <f>IFERROR(__xludf.DUMMYFUNCTION("IF(OR(C$113="""",C$113=""Tom tävling - lägg till grenar!"",C$113=""Fyll först i kolumn R"",C$113=""Fyll först i kolumn S""),"""", FILTER(Info!$C$2:$C81,Info!$A$2:$A81=C$112)*SUMIFS($T$7:$T$102,$C$7:$C$102,C$112,$Q$7:$Q$102,""Yes"")/SUMIFS($Y$7:$Y$102,$C$7"&amp;":$C$102,C$112,$Q$7:$Q$102,""Yes""))"),"")</f>
        <v/>
      </c>
      <c r="D114" s="96" t="str">
        <f>IFERROR(__xludf.DUMMYFUNCTION("IF(OR(D$113="""",D$113=""Tom tävling - lägg till grenar!"",D$113=""Fyll först i kolumn R"",D$113=""Fyll först i kolumn S""),"""", FILTER(Info!$C$2:$C81,Info!$A$2:$A81=D$112)*SUMIFS($T$7:$T$102,$C$7:$C$102,D$112,$Q$7:$Q$102,""Yes"")/SUMIFS($Y$7:$Y$102,$C$7"&amp;":$C$102,D$112,$Q$7:$Q$102,""Yes""))"),"")</f>
        <v/>
      </c>
      <c r="E114" s="96" t="str">
        <f>IFERROR(__xludf.DUMMYFUNCTION("IF(OR(E$113="""",E$113=""Tom tävling - lägg till grenar!"",E$113=""Fyll först i kolumn R"",E$113=""Fyll först i kolumn S""),"""", FILTER(Info!$C$2:$C81,Info!$A$2:$A81=E$112)*SUMIFS($T$7:$T$102,$C$7:$C$102,E$112,$Q$7:$Q$102,""Yes"")/SUMIFS($Y$7:$Y$102,$C$7"&amp;":$C$102,E$112,$Q$7:$Q$102,""Yes""))"),"")</f>
        <v/>
      </c>
      <c r="F114" s="96" t="str">
        <f>IFERROR(__xludf.DUMMYFUNCTION("IF(OR(F$113="""",F$113=""Tom tävling - lägg till grenar!"",F$113=""Fyll först i kolumn R"",F$113=""Fyll först i kolumn S""),"""", FILTER(Info!$C$2:$C81,Info!$A$2:$A81=F$112)*SUMIFS($T$7:$T$102,$C$7:$C$102,F$112,$Q$7:$Q$102,""Yes"")/SUMIFS($Y$7:$Y$102,$C$7"&amp;":$C$102,F$112,$Q$7:$Q$102,""Yes""))"),"")</f>
        <v/>
      </c>
      <c r="G114" s="96" t="str">
        <f>IFERROR(__xludf.DUMMYFUNCTION("IF(OR(G$113="""",G$113=""Tom tävling - lägg till grenar!"",G$113=""Fyll först i kolumn R"",G$113=""Fyll först i kolumn S""),"""", FILTER(Info!$C$2:$C81,Info!$A$2:$A81=G$112)*SUMIFS($T$7:$T$102,$C$7:$C$102,G$112,$Q$7:$Q$102,""Yes"")/SUMIFS($Y$7:$Y$102,$C$7"&amp;":$C$102,G$112,$Q$7:$Q$102,""Yes""))"),"")</f>
        <v/>
      </c>
      <c r="H114" s="96" t="str">
        <f>IFERROR(__xludf.DUMMYFUNCTION("IF(OR(H$113="""",H$113=""Tom tävling - lägg till grenar!"",H$113=""Fyll först i kolumn R"",H$113=""Fyll först i kolumn S""),"""", FILTER(Info!$C$2:$C81,Info!$A$2:$A81=H$112)*SUMIFS($T$7:$T$102,$C$7:$C$102,H$112,$Q$7:$Q$102,""Yes"")/SUMIFS($Y$7:$Y$102,$C$7"&amp;":$C$102,H$112,$Q$7:$Q$102,""Yes""))"),"")</f>
        <v/>
      </c>
      <c r="I114" s="96" t="str">
        <f>IFERROR(__xludf.DUMMYFUNCTION("IF(OR(I$113="""",I$113=""Tom tävling - lägg till grenar!"",I$113=""Fyll först i kolumn R"",I$113=""Fyll först i kolumn S""),"""", FILTER(Info!$C$2:$C81,Info!$A$2:$A81=I$112)*SUMIFS($T$7:$T$102,$C$7:$C$102,I$112,$Q$7:$Q$102,""Yes"")/SUMIFS($Y$7:$Y$102,$C$7"&amp;":$C$102,I$112,$Q$7:$Q$102,""Yes""))"),"")</f>
        <v/>
      </c>
      <c r="J114" s="96" t="str">
        <f>IFERROR(__xludf.DUMMYFUNCTION("IF(OR(J$113="""",J$113=""Tom tävling - lägg till grenar!"",J$113=""Fyll först i kolumn R"",J$113=""Fyll först i kolumn S""),"""", FILTER(Info!$C$2:$C81,Info!$A$2:$A81=J$112)*SUMIFS($T$7:$T$102,$C$7:$C$102,J$112,$Q$7:$Q$102,""Yes"")/SUMIFS($Y$7:$Y$102,$C$7"&amp;":$C$102,J$112,$Q$7:$Q$102,""Yes""))"),"")</f>
        <v/>
      </c>
      <c r="K114" s="96" t="str">
        <f>IFERROR(__xludf.DUMMYFUNCTION("IF(OR(K$113="""",K$113=""Tom tävling - lägg till grenar!"",K$113=""Fyll först i kolumn R"",K$113=""Fyll först i kolumn S""),"""", FILTER(Info!$C$2:$C81,Info!$A$2:$A81=K$112)*SUMIFS($T$7:$T$102,$C$7:$C$102,K$112,$Q$7:$Q$102,""Yes"")/SUMIFS($Y$7:$Y$102,$C$7"&amp;":$C$102,K$112,$Q$7:$Q$102,""Yes""))"),"")</f>
        <v/>
      </c>
      <c r="L114" s="96" t="str">
        <f>IFERROR(__xludf.DUMMYFUNCTION("IF(OR(L$113="""",L$113=""Tom tävling - lägg till grenar!"",L$113=""Fyll först i kolumn R"",L$113=""Fyll först i kolumn S""),"""", FILTER(Info!$C$2:$C81,Info!$A$2:$A81=L$112)*SUMIFS($T$7:$T$102,$C$7:$C$102,L$112,$Q$7:$Q$102,""Yes"")/SUMIFS($Y$7:$Y$102,$C$7"&amp;":$C$102,L$112,$Q$7:$Q$102,""Yes""))"),"")</f>
        <v/>
      </c>
      <c r="M114" s="96" t="str">
        <f>IFERROR(__xludf.DUMMYFUNCTION("IF(OR(M$113="""",M$113=""Tom tävling - lägg till grenar!"",M$113=""Fyll först i kolumn R"",M$113=""Fyll först i kolumn S""),"""", FILTER(Info!$C$2:$C81,Info!$A$2:$A81=M$112)*SUMIFS($T$7:$T$102,$C$7:$C$102,M$112,$Q$7:$Q$102,""Yes"")/SUMIFS($Y$7:$Y$102,$C$7"&amp;":$C$102,M$112,$Q$7:$Q$102,""Yes""))"),"")</f>
        <v/>
      </c>
      <c r="N114" s="96" t="str">
        <f>IFERROR(__xludf.DUMMYFUNCTION("IF(OR(N$113="""",N$113=""Tom tävling - lägg till grenar!"",N$113=""Fyll först i kolumn R"",N$113=""Fyll först i kolumn S""),"""", FILTER(Info!$C$2:$C81,Info!$A$2:$A81=N$112)*SUMIFS($T$7:$T$102,$C$7:$C$102,N$112,$Q$7:$Q$102,""Yes"")/SUMIFS($Y$7:$Y$102,$C$7"&amp;":$C$102,N$112,$Q$7:$Q$102,""Yes""))"),"")</f>
        <v/>
      </c>
      <c r="O114" s="96" t="str">
        <f>IFERROR(__xludf.DUMMYFUNCTION("IF(OR(O$113="""",O$113=""Tom tävling - lägg till grenar!"",O$113=""Fyll först i kolumn R"",O$113=""Fyll först i kolumn S""),"""", FILTER(Info!$C$2:$C81,Info!$A$2:$A81=O$112)*SUMIFS($T$7:$T$102,$C$7:$C$102,O$112,$Q$7:$Q$102,""Yes"")/SUMIFS($Y$7:$Y$102,$C$7"&amp;":$C$102,O$112,$Q$7:$Q$102,""Yes""))"),"")</f>
        <v/>
      </c>
      <c r="P114" s="96" t="str">
        <f>IFERROR(__xludf.DUMMYFUNCTION("IF(OR(P$113="""",P$113=""Tom tävling - lägg till grenar!"",P$113=""Fyll först i kolumn R"",P$113=""Fyll först i kolumn S""),"""", FILTER(Info!$C$2:$C81,Info!$A$2:$A81=P$112)*SUMIFS($T$7:$T$102,$C$7:$C$102,P$112,$Q$7:$Q$102,""Yes"")/SUMIFS($Y$7:$Y$102,$C$7"&amp;":$C$102,P$112,$Q$7:$Q$102,""Yes""))"),"")</f>
        <v/>
      </c>
      <c r="Q114" s="96" t="str">
        <f>IFERROR(__xludf.DUMMYFUNCTION("IF(OR(Q$113="""",Q$113=""Tom tävling - lägg till grenar!"",Q$113=""Fyll först i kolumn R"",Q$113=""Fyll först i kolumn S""),"""", FILTER(Info!$C$2:$C81,Info!$A$2:$A81=Q$112)*SUMIFS($T$7:$T$102,$C$7:$C$102,Q$112,$Q$7:$Q$102,""Yes"")/SUMIFS($Y$7:$Y$102,$C$7"&amp;":$C$102,Q$112,$Q$7:$Q$102,""Yes""))"),"")</f>
        <v/>
      </c>
      <c r="R114" s="96" t="str">
        <f>IFERROR(__xludf.DUMMYFUNCTION("IF(OR(R$113="""",R$113=""Tom tävling - lägg till grenar!"",R$113=""Fyll först i kolumn R"",R$113=""Fyll först i kolumn S""),"""", FILTER(Info!$C$2:$C81,Info!$A$2:$A81=R$112)*SUMIFS($T$7:$T$102,$C$7:$C$102,R$112,$Q$7:$Q$102,""Yes"")/SUMIFS($Y$7:$Y$102,$C$7"&amp;":$C$102,R$112,$Q$7:$Q$102,""Yes""))"),"")</f>
        <v/>
      </c>
      <c r="S114" s="96" t="str">
        <f>IFERROR(__xludf.DUMMYFUNCTION("IF(OR(S$113="""",S$113=""Tom tävling - lägg till grenar!"",S$113=""Fyll först i kolumn R"",S$113=""Fyll först i kolumn S""),"""", FILTER(Info!$C$2:$C81,Info!$A$2:$A81=S$112)*SUMIFS($T$7:$T$102,$C$7:$C$102,S$112,$Q$7:$Q$102,""Yes"")/SUMIFS($Y$7:$Y$102,$C$7"&amp;":$C$102,S$112,$Q$7:$Q$102,""Yes""))"),"")</f>
        <v/>
      </c>
      <c r="T114" s="96" t="str">
        <f>IFERROR(__xludf.DUMMYFUNCTION("IF(OR(T$113="""",T$113=""Tom tävling - lägg till grenar!"",T$113=""Fyll först i kolumn R"",T$113=""Fyll först i kolumn S""),"""", FILTER(Info!$C$2:$C81,Info!$A$2:$A81=T$112)*SUMIFS($T$7:$T$102,$C$7:$C$102,T$112,$Q$7:$Q$102,""Yes"")/SUMIFS($Y$7:$Y$102,$C$7"&amp;":$C$102,T$112,$Q$7:$Q$102,""Yes""))"),"")</f>
        <v/>
      </c>
      <c r="U114" s="96" t="str">
        <f>IFERROR(__xludf.DUMMYFUNCTION("IF(OR(U$113="""",U$113=""Tom tävling - lägg till grenar!"",U$113=""Fyll först i kolumn R"",U$113=""Fyll först i kolumn S""),"""", FILTER(Info!$C$2:$C81,Info!$A$2:$A81=U$112)*SUMIFS($T$7:$T$102,$C$7:$C$102,U$112,$Q$7:$Q$102,""Yes"")/SUMIFS($Y$7:$Y$102,$C$7"&amp;":$C$102,U$112,$Q$7:$Q$102,""Yes""))"),"")</f>
        <v/>
      </c>
      <c r="V114" s="90"/>
      <c r="W114" s="90"/>
      <c r="X114" s="90"/>
      <c r="Y114" s="90"/>
      <c r="Z114" s="90"/>
      <c r="AA114" s="90"/>
      <c r="AB114" s="90"/>
    </row>
    <row r="115" ht="15.75" customHeight="1">
      <c r="A115" s="86" t="s">
        <v>112</v>
      </c>
      <c r="B115" s="24"/>
      <c r="C115" s="95" t="str">
        <f>IFERROR(__xludf.DUMMYFUNCTION("IFS(SUM($L$7:$L$102)=$L$29+$L$52+$L$78,""Tom tävling - lägg till grenar!"",
IFERROR(FILTER($T$7:$T$102,$T$7:$T$102=""Fyll i R-kolumnen"")=""Fyll i R-kolumnen"")=TRUE,""Fyll först i kolumn R"",
IFERROR(FILTER($T$7:$T$102,$T$7:$T$102=""Fyll i S-kolumnen"")="&amp;"""Fyll i S-kolumnen"")=TRUE,""Fyll först i kolumn S"",
OR(C$112=""3x3 BLD"",C$112=""4x4 BLD"",C$112=""5x5 BLD"",C$112=""4x4 / 5x5 BLD""),"""",
SUMIFS($T$7:$T$102,$C$7:$C$102,C$112)=0,"""",
SUMIFS($T$7:$T$102,$C$7:$C$102,C$112,$Q$7:$Q$102,""No"")=0,"""",
S"&amp;"UMIFS($T$7:$T$102,$C$7:$C$102,C$112,$Q$7:$Q$102,""No"")/SUMIFS($Y$7:$Y$102,$C$7:$C$102,C$112,$Q$7:$Q$102,""No"")&gt;=1,
MROUND((SUMIFS($T$7:$T$102,$C$7:$C$102,C$112,$Q$7:$Q$102,""No"")/SUMIFS($Y$7:$Y$102,$C$7:$C$102,C$112,$Q$7:$Q$102,""No"")-1)*100,0.01),
TR"&amp;"UE,-MROUND((1-(SUMIFS($T$7:$T$102,$C$7:$C$102,C$112,$Q$7:$Q$102,""No"")/SUMIFS($Y$7:$Y$102,$C$7:$C$102,C$112,$Q$7:$Q$102,""No"")))*100,0.01))"),"Tom tävling - lägg till grenar!")</f>
        <v>Tom tävling - lägg till grenar!</v>
      </c>
      <c r="D115" s="95" t="str">
        <f>IFERROR(__xludf.DUMMYFUNCTION("IFS(SUM($L$7:$L$102)=$L$29+$L$52+$L$78,""Tom tävling - lägg till grenar!"",
IFERROR(FILTER($T$7:$T$102,$T$7:$T$102=""Fyll i R-kolumnen"")=""Fyll i R-kolumnen"")=TRUE,""Fyll först i kolumn R"",
IFERROR(FILTER($T$7:$T$102,$T$7:$T$102=""Fyll i S-kolumnen"")="&amp;"""Fyll i S-kolumnen"")=TRUE,""Fyll först i kolumn S"",
OR(D$112=""3x3 BLD"",D$112=""4x4 BLD"",D$112=""5x5 BLD"",D$112=""4x4 / 5x5 BLD""),"""",
SUMIFS($T$7:$T$102,$C$7:$C$102,D$112)=0,"""",
SUMIFS($T$7:$T$102,$C$7:$C$102,D$112,$Q$7:$Q$102,""No"")=0,"""",
S"&amp;"UMIFS($T$7:$T$102,$C$7:$C$102,D$112,$Q$7:$Q$102,""No"")/SUMIFS($Y$7:$Y$102,$C$7:$C$102,D$112,$Q$7:$Q$102,""No"")&gt;=1,
MROUND((SUMIFS($T$7:$T$102,$C$7:$C$102,D$112,$Q$7:$Q$102,""No"")/SUMIFS($Y$7:$Y$102,$C$7:$C$102,D$112,$Q$7:$Q$102,""No"")-1)*100,0.01),
TR"&amp;"UE,-MROUND((1-(SUMIFS($T$7:$T$102,$C$7:$C$102,D$112,$Q$7:$Q$102,""No"")/SUMIFS($Y$7:$Y$102,$C$7:$C$102,D$112,$Q$7:$Q$102,""No"")))*100,0.01))"),"Tom tävling - lägg till grenar!")</f>
        <v>Tom tävling - lägg till grenar!</v>
      </c>
      <c r="E115" s="95" t="str">
        <f>IFERROR(__xludf.DUMMYFUNCTION("IFS(SUM($L$7:$L$102)=$L$29+$L$52+$L$78,""Tom tävling - lägg till grenar!"",
IFERROR(FILTER($T$7:$T$102,$T$7:$T$102=""Fyll i R-kolumnen"")=""Fyll i R-kolumnen"")=TRUE,""Fyll först i kolumn R"",
IFERROR(FILTER($T$7:$T$102,$T$7:$T$102=""Fyll i S-kolumnen"")="&amp;"""Fyll i S-kolumnen"")=TRUE,""Fyll först i kolumn S"",
OR(E$112=""3x3 BLD"",E$112=""4x4 BLD"",E$112=""5x5 BLD"",E$112=""4x4 / 5x5 BLD""),"""",
SUMIFS($T$7:$T$102,$C$7:$C$102,E$112)=0,"""",
SUMIFS($T$7:$T$102,$C$7:$C$102,E$112,$Q$7:$Q$102,""No"")=0,"""",
S"&amp;"UMIFS($T$7:$T$102,$C$7:$C$102,E$112,$Q$7:$Q$102,""No"")/SUMIFS($Y$7:$Y$102,$C$7:$C$102,E$112,$Q$7:$Q$102,""No"")&gt;=1,
MROUND((SUMIFS($T$7:$T$102,$C$7:$C$102,E$112,$Q$7:$Q$102,""No"")/SUMIFS($Y$7:$Y$102,$C$7:$C$102,E$112,$Q$7:$Q$102,""No"")-1)*100,0.01),
TR"&amp;"UE,-MROUND((1-(SUMIFS($T$7:$T$102,$C$7:$C$102,E$112,$Q$7:$Q$102,""No"")/SUMIFS($Y$7:$Y$102,$C$7:$C$102,E$112,$Q$7:$Q$102,""No"")))*100,0.01))"),"Tom tävling - lägg till grenar!")</f>
        <v>Tom tävling - lägg till grenar!</v>
      </c>
      <c r="F115" s="95" t="str">
        <f>IFERROR(__xludf.DUMMYFUNCTION("IFS(SUM($L$7:$L$102)=$L$29+$L$52+$L$78,""Tom tävling - lägg till grenar!"",
IFERROR(FILTER($T$7:$T$102,$T$7:$T$102=""Fyll i R-kolumnen"")=""Fyll i R-kolumnen"")=TRUE,""Fyll först i kolumn R"",
IFERROR(FILTER($T$7:$T$102,$T$7:$T$102=""Fyll i S-kolumnen"")="&amp;"""Fyll i S-kolumnen"")=TRUE,""Fyll först i kolumn S"",
OR(F$112=""3x3 BLD"",F$112=""4x4 BLD"",F$112=""5x5 BLD"",F$112=""4x4 / 5x5 BLD""),"""",
SUMIFS($T$7:$T$102,$C$7:$C$102,F$112)=0,"""",
SUMIFS($T$7:$T$102,$C$7:$C$102,F$112,$Q$7:$Q$102,""No"")=0,"""",
S"&amp;"UMIFS($T$7:$T$102,$C$7:$C$102,F$112,$Q$7:$Q$102,""No"")/SUMIFS($Y$7:$Y$102,$C$7:$C$102,F$112,$Q$7:$Q$102,""No"")&gt;=1,
MROUND((SUMIFS($T$7:$T$102,$C$7:$C$102,F$112,$Q$7:$Q$102,""No"")/SUMIFS($Y$7:$Y$102,$C$7:$C$102,F$112,$Q$7:$Q$102,""No"")-1)*100,0.01),
TR"&amp;"UE,-MROUND((1-(SUMIFS($T$7:$T$102,$C$7:$C$102,F$112,$Q$7:$Q$102,""No"")/SUMIFS($Y$7:$Y$102,$C$7:$C$102,F$112,$Q$7:$Q$102,""No"")))*100,0.01))"),"Tom tävling - lägg till grenar!")</f>
        <v>Tom tävling - lägg till grenar!</v>
      </c>
      <c r="G115" s="95" t="str">
        <f>IFERROR(__xludf.DUMMYFUNCTION("IFS(SUM($L$7:$L$102)=$L$29+$L$52+$L$78,""Tom tävling - lägg till grenar!"",
IFERROR(FILTER($T$7:$T$102,$T$7:$T$102=""Fyll i R-kolumnen"")=""Fyll i R-kolumnen"")=TRUE,""Fyll först i kolumn R"",
IFERROR(FILTER($T$7:$T$102,$T$7:$T$102=""Fyll i S-kolumnen"")="&amp;"""Fyll i S-kolumnen"")=TRUE,""Fyll först i kolumn S"",
OR(G$112=""3x3 BLD"",G$112=""4x4 BLD"",G$112=""5x5 BLD"",G$112=""4x4 / 5x5 BLD""),"""",
SUMIFS($T$7:$T$102,$C$7:$C$102,G$112)=0,"""",
SUMIFS($T$7:$T$102,$C$7:$C$102,G$112,$Q$7:$Q$102,""No"")=0,"""",
S"&amp;"UMIFS($T$7:$T$102,$C$7:$C$102,G$112,$Q$7:$Q$102,""No"")/SUMIFS($Y$7:$Y$102,$C$7:$C$102,G$112,$Q$7:$Q$102,""No"")&gt;=1,
MROUND((SUMIFS($T$7:$T$102,$C$7:$C$102,G$112,$Q$7:$Q$102,""No"")/SUMIFS($Y$7:$Y$102,$C$7:$C$102,G$112,$Q$7:$Q$102,""No"")-1)*100,0.01),
TR"&amp;"UE,-MROUND((1-(SUMIFS($T$7:$T$102,$C$7:$C$102,G$112,$Q$7:$Q$102,""No"")/SUMIFS($Y$7:$Y$102,$C$7:$C$102,G$112,$Q$7:$Q$102,""No"")))*100,0.01))"),"Tom tävling - lägg till grenar!")</f>
        <v>Tom tävling - lägg till grenar!</v>
      </c>
      <c r="H115" s="95" t="str">
        <f>IFERROR(__xludf.DUMMYFUNCTION("IFS(SUM($L$7:$L$102)=$L$29+$L$52+$L$78,""Tom tävling - lägg till grenar!"",
IFERROR(FILTER($T$7:$T$102,$T$7:$T$102=""Fyll i R-kolumnen"")=""Fyll i R-kolumnen"")=TRUE,""Fyll först i kolumn R"",
IFERROR(FILTER($T$7:$T$102,$T$7:$T$102=""Fyll i S-kolumnen"")="&amp;"""Fyll i S-kolumnen"")=TRUE,""Fyll först i kolumn S"",
OR(H$112=""3x3 BLD"",H$112=""4x4 BLD"",H$112=""5x5 BLD"",H$112=""4x4 / 5x5 BLD""),"""",
SUMIFS($T$7:$T$102,$C$7:$C$102,H$112)=0,"""",
SUMIFS($T$7:$T$102,$C$7:$C$102,H$112,$Q$7:$Q$102,""No"")=0,"""",
S"&amp;"UMIFS($T$7:$T$102,$C$7:$C$102,H$112,$Q$7:$Q$102,""No"")/SUMIFS($Y$7:$Y$102,$C$7:$C$102,H$112,$Q$7:$Q$102,""No"")&gt;=1,
MROUND((SUMIFS($T$7:$T$102,$C$7:$C$102,H$112,$Q$7:$Q$102,""No"")/SUMIFS($Y$7:$Y$102,$C$7:$C$102,H$112,$Q$7:$Q$102,""No"")-1)*100,0.01),
TR"&amp;"UE,-MROUND((1-(SUMIFS($T$7:$T$102,$C$7:$C$102,H$112,$Q$7:$Q$102,""No"")/SUMIFS($Y$7:$Y$102,$C$7:$C$102,H$112,$Q$7:$Q$102,""No"")))*100,0.01))"),"Tom tävling - lägg till grenar!")</f>
        <v>Tom tävling - lägg till grenar!</v>
      </c>
      <c r="I115" s="95" t="str">
        <f>IFERROR(__xludf.DUMMYFUNCTION("IFS(SUM($L$7:$L$102)=$L$29+$L$52+$L$78,""Tom tävling - lägg till grenar!"",
IFERROR(FILTER($T$7:$T$102,$T$7:$T$102=""Fyll i R-kolumnen"")=""Fyll i R-kolumnen"")=TRUE,""Fyll först i kolumn R"",
IFERROR(FILTER($T$7:$T$102,$T$7:$T$102=""Fyll i S-kolumnen"")="&amp;"""Fyll i S-kolumnen"")=TRUE,""Fyll först i kolumn S"",
OR(I$112=""3x3 BLD"",I$112=""4x4 BLD"",I$112=""5x5 BLD"",I$112=""4x4 / 5x5 BLD""),"""",
SUMIFS($T$7:$T$102,$C$7:$C$102,I$112)=0,"""",
SUMIFS($T$7:$T$102,$C$7:$C$102,I$112,$Q$7:$Q$102,""No"")=0,"""",
S"&amp;"UMIFS($T$7:$T$102,$C$7:$C$102,I$112,$Q$7:$Q$102,""No"")/SUMIFS($Y$7:$Y$102,$C$7:$C$102,I$112,$Q$7:$Q$102,""No"")&gt;=1,
MROUND((SUMIFS($T$7:$T$102,$C$7:$C$102,I$112,$Q$7:$Q$102,""No"")/SUMIFS($Y$7:$Y$102,$C$7:$C$102,I$112,$Q$7:$Q$102,""No"")-1)*100,0.01),
TR"&amp;"UE,-MROUND((1-(SUMIFS($T$7:$T$102,$C$7:$C$102,I$112,$Q$7:$Q$102,""No"")/SUMIFS($Y$7:$Y$102,$C$7:$C$102,I$112,$Q$7:$Q$102,""No"")))*100,0.01))"),"Tom tävling - lägg till grenar!")</f>
        <v>Tom tävling - lägg till grenar!</v>
      </c>
      <c r="J115" s="95" t="str">
        <f>IFERROR(__xludf.DUMMYFUNCTION("IFS(SUM($L$7:$L$102)=$L$29+$L$52+$L$78,""Tom tävling - lägg till grenar!"",
IFERROR(FILTER($T$7:$T$102,$T$7:$T$102=""Fyll i R-kolumnen"")=""Fyll i R-kolumnen"")=TRUE,""Fyll först i kolumn R"",
IFERROR(FILTER($T$7:$T$102,$T$7:$T$102=""Fyll i S-kolumnen"")="&amp;"""Fyll i S-kolumnen"")=TRUE,""Fyll först i kolumn S"",
OR(J$112=""3x3 BLD"",J$112=""4x4 BLD"",J$112=""5x5 BLD"",J$112=""4x4 / 5x5 BLD""),"""",
SUMIFS($T$7:$T$102,$C$7:$C$102,J$112)=0,"""",
SUMIFS($T$7:$T$102,$C$7:$C$102,J$112,$Q$7:$Q$102,""No"")=0,"""",
S"&amp;"UMIFS($T$7:$T$102,$C$7:$C$102,J$112,$Q$7:$Q$102,""No"")/SUMIFS($Y$7:$Y$102,$C$7:$C$102,J$112,$Q$7:$Q$102,""No"")&gt;=1,
MROUND((SUMIFS($T$7:$T$102,$C$7:$C$102,J$112,$Q$7:$Q$102,""No"")/SUMIFS($Y$7:$Y$102,$C$7:$C$102,J$112,$Q$7:$Q$102,""No"")-1)*100,0.01),
TR"&amp;"UE,-MROUND((1-(SUMIFS($T$7:$T$102,$C$7:$C$102,J$112,$Q$7:$Q$102,""No"")/SUMIFS($Y$7:$Y$102,$C$7:$C$102,J$112,$Q$7:$Q$102,""No"")))*100,0.01))"),"Tom tävling - lägg till grenar!")</f>
        <v>Tom tävling - lägg till grenar!</v>
      </c>
      <c r="K115" s="95" t="str">
        <f>IFERROR(__xludf.DUMMYFUNCTION("IFS(SUM($L$7:$L$102)=$L$29+$L$52+$L$78,""Tom tävling - lägg till grenar!"",
IFERROR(FILTER($T$7:$T$102,$T$7:$T$102=""Fyll i R-kolumnen"")=""Fyll i R-kolumnen"")=TRUE,""Fyll först i kolumn R"",
IFERROR(FILTER($T$7:$T$102,$T$7:$T$102=""Fyll i S-kolumnen"")="&amp;"""Fyll i S-kolumnen"")=TRUE,""Fyll först i kolumn S"",
OR(K$112=""3x3 BLD"",K$112=""4x4 BLD"",K$112=""5x5 BLD"",K$112=""4x4 / 5x5 BLD""),"""",
SUMIFS($T$7:$T$102,$C$7:$C$102,K$112)=0,"""",
SUMIFS($T$7:$T$102,$C$7:$C$102,K$112,$Q$7:$Q$102,""No"")=0,"""",
S"&amp;"UMIFS($T$7:$T$102,$C$7:$C$102,K$112,$Q$7:$Q$102,""No"")/SUMIFS($Y$7:$Y$102,$C$7:$C$102,K$112,$Q$7:$Q$102,""No"")&gt;=1,
MROUND((SUMIFS($T$7:$T$102,$C$7:$C$102,K$112,$Q$7:$Q$102,""No"")/SUMIFS($Y$7:$Y$102,$C$7:$C$102,K$112,$Q$7:$Q$102,""No"")-1)*100,0.01),
TR"&amp;"UE,-MROUND((1-(SUMIFS($T$7:$T$102,$C$7:$C$102,K$112,$Q$7:$Q$102,""No"")/SUMIFS($Y$7:$Y$102,$C$7:$C$102,K$112,$Q$7:$Q$102,""No"")))*100,0.01))"),"Tom tävling - lägg till grenar!")</f>
        <v>Tom tävling - lägg till grenar!</v>
      </c>
      <c r="L115" s="95" t="str">
        <f>IFERROR(__xludf.DUMMYFUNCTION("IFS(SUM($L$7:$L$102)=$L$29+$L$52+$L$78,""Tom tävling - lägg till grenar!"",
IFERROR(FILTER($T$7:$T$102,$T$7:$T$102=""Fyll i R-kolumnen"")=""Fyll i R-kolumnen"")=TRUE,""Fyll först i kolumn R"",
IFERROR(FILTER($T$7:$T$102,$T$7:$T$102=""Fyll i S-kolumnen"")="&amp;"""Fyll i S-kolumnen"")=TRUE,""Fyll först i kolumn S"",
OR(L$112=""3x3 BLD"",L$112=""4x4 BLD"",L$112=""5x5 BLD"",L$112=""4x4 / 5x5 BLD""),"""",
SUMIFS($T$7:$T$102,$C$7:$C$102,L$112)=0,"""",
SUMIFS($T$7:$T$102,$C$7:$C$102,L$112,$Q$7:$Q$102,""No"")=0,"""",
S"&amp;"UMIFS($T$7:$T$102,$C$7:$C$102,L$112,$Q$7:$Q$102,""No"")/SUMIFS($Y$7:$Y$102,$C$7:$C$102,L$112,$Q$7:$Q$102,""No"")&gt;=1,
MROUND((SUMIFS($T$7:$T$102,$C$7:$C$102,L$112,$Q$7:$Q$102,""No"")/SUMIFS($Y$7:$Y$102,$C$7:$C$102,L$112,$Q$7:$Q$102,""No"")-1)*100,0.01),
TR"&amp;"UE,-MROUND((1-(SUMIFS($T$7:$T$102,$C$7:$C$102,L$112,$Q$7:$Q$102,""No"")/SUMIFS($Y$7:$Y$102,$C$7:$C$102,L$112,$Q$7:$Q$102,""No"")))*100,0.01))"),"Tom tävling - lägg till grenar!")</f>
        <v>Tom tävling - lägg till grenar!</v>
      </c>
      <c r="M115" s="95" t="str">
        <f>IFERROR(__xludf.DUMMYFUNCTION("IFS(SUM($L$7:$L$102)=$L$29+$L$52+$L$78,""Tom tävling - lägg till grenar!"",
IFERROR(FILTER($T$7:$T$102,$T$7:$T$102=""Fyll i R-kolumnen"")=""Fyll i R-kolumnen"")=TRUE,""Fyll först i kolumn R"",
IFERROR(FILTER($T$7:$T$102,$T$7:$T$102=""Fyll i S-kolumnen"")="&amp;"""Fyll i S-kolumnen"")=TRUE,""Fyll först i kolumn S"",
OR(M$112=""3x3 BLD"",M$112=""4x4 BLD"",M$112=""5x5 BLD"",M$112=""4x4 / 5x5 BLD""),"""",
SUMIFS($T$7:$T$102,$C$7:$C$102,M$112)=0,"""",
SUMIFS($T$7:$T$102,$C$7:$C$102,M$112,$Q$7:$Q$102,""No"")=0,"""",
S"&amp;"UMIFS($T$7:$T$102,$C$7:$C$102,M$112,$Q$7:$Q$102,""No"")/SUMIFS($Y$7:$Y$102,$C$7:$C$102,M$112,$Q$7:$Q$102,""No"")&gt;=1,
MROUND((SUMIFS($T$7:$T$102,$C$7:$C$102,M$112,$Q$7:$Q$102,""No"")/SUMIFS($Y$7:$Y$102,$C$7:$C$102,M$112,$Q$7:$Q$102,""No"")-1)*100,0.01),
TR"&amp;"UE,-MROUND((1-(SUMIFS($T$7:$T$102,$C$7:$C$102,M$112,$Q$7:$Q$102,""No"")/SUMIFS($Y$7:$Y$102,$C$7:$C$102,M$112,$Q$7:$Q$102,""No"")))*100,0.01))"),"Tom tävling - lägg till grenar!")</f>
        <v>Tom tävling - lägg till grenar!</v>
      </c>
      <c r="N115" s="95" t="str">
        <f>IFERROR(__xludf.DUMMYFUNCTION("IFS(SUM($L$7:$L$102)=$L$29+$L$52+$L$78,""Tom tävling - lägg till grenar!"",
IFERROR(FILTER($T$7:$T$102,$T$7:$T$102=""Fyll i R-kolumnen"")=""Fyll i R-kolumnen"")=TRUE,""Fyll först i kolumn R"",
IFERROR(FILTER($T$7:$T$102,$T$7:$T$102=""Fyll i S-kolumnen"")="&amp;"""Fyll i S-kolumnen"")=TRUE,""Fyll först i kolumn S"",
OR(N$112=""3x3 BLD"",N$112=""4x4 BLD"",N$112=""5x5 BLD"",N$112=""4x4 / 5x5 BLD""),"""",
SUMIFS($T$7:$T$102,$C$7:$C$102,N$112)=0,"""",
SUMIFS($T$7:$T$102,$C$7:$C$102,N$112,$Q$7:$Q$102,""No"")=0,"""",
S"&amp;"UMIFS($T$7:$T$102,$C$7:$C$102,N$112,$Q$7:$Q$102,""No"")/SUMIFS($Y$7:$Y$102,$C$7:$C$102,N$112,$Q$7:$Q$102,""No"")&gt;=1,
MROUND((SUMIFS($T$7:$T$102,$C$7:$C$102,N$112,$Q$7:$Q$102,""No"")/SUMIFS($Y$7:$Y$102,$C$7:$C$102,N$112,$Q$7:$Q$102,""No"")-1)*100,0.01),
TR"&amp;"UE,-MROUND((1-(SUMIFS($T$7:$T$102,$C$7:$C$102,N$112,$Q$7:$Q$102,""No"")/SUMIFS($Y$7:$Y$102,$C$7:$C$102,N$112,$Q$7:$Q$102,""No"")))*100,0.01))"),"Tom tävling - lägg till grenar!")</f>
        <v>Tom tävling - lägg till grenar!</v>
      </c>
      <c r="O115" s="95" t="str">
        <f>IFERROR(__xludf.DUMMYFUNCTION("IFS(SUM($L$7:$L$102)=$L$29+$L$52+$L$78,""Tom tävling - lägg till grenar!"",
IFERROR(FILTER($T$7:$T$102,$T$7:$T$102=""Fyll i R-kolumnen"")=""Fyll i R-kolumnen"")=TRUE,""Fyll först i kolumn R"",
IFERROR(FILTER($T$7:$T$102,$T$7:$T$102=""Fyll i S-kolumnen"")="&amp;"""Fyll i S-kolumnen"")=TRUE,""Fyll först i kolumn S"",
OR(O$112=""3x3 BLD"",O$112=""4x4 BLD"",O$112=""5x5 BLD"",O$112=""4x4 / 5x5 BLD""),"""",
SUMIFS($T$7:$T$102,$C$7:$C$102,O$112)=0,"""",
SUMIFS($T$7:$T$102,$C$7:$C$102,O$112,$Q$7:$Q$102,""No"")=0,"""",
S"&amp;"UMIFS($T$7:$T$102,$C$7:$C$102,O$112,$Q$7:$Q$102,""No"")/SUMIFS($Y$7:$Y$102,$C$7:$C$102,O$112,$Q$7:$Q$102,""No"")&gt;=1,
MROUND((SUMIFS($T$7:$T$102,$C$7:$C$102,O$112,$Q$7:$Q$102,""No"")/SUMIFS($Y$7:$Y$102,$C$7:$C$102,O$112,$Q$7:$Q$102,""No"")-1)*100,0.01),
TR"&amp;"UE,-MROUND((1-(SUMIFS($T$7:$T$102,$C$7:$C$102,O$112,$Q$7:$Q$102,""No"")/SUMIFS($Y$7:$Y$102,$C$7:$C$102,O$112,$Q$7:$Q$102,""No"")))*100,0.01))"),"Tom tävling - lägg till grenar!")</f>
        <v>Tom tävling - lägg till grenar!</v>
      </c>
      <c r="P115" s="95" t="str">
        <f>IFERROR(__xludf.DUMMYFUNCTION("IFS(SUM($L$7:$L$102)=$L$29+$L$52+$L$78,""Tom tävling - lägg till grenar!"",
IFERROR(FILTER($T$7:$T$102,$T$7:$T$102=""Fyll i R-kolumnen"")=""Fyll i R-kolumnen"")=TRUE,""Fyll först i kolumn R"",
IFERROR(FILTER($T$7:$T$102,$T$7:$T$102=""Fyll i S-kolumnen"")="&amp;"""Fyll i S-kolumnen"")=TRUE,""Fyll först i kolumn S"",
OR(P$112=""3x3 BLD"",P$112=""4x4 BLD"",P$112=""5x5 BLD"",P$112=""4x4 / 5x5 BLD""),"""",
SUMIFS($T$7:$T$102,$C$7:$C$102,P$112)=0,"""",
SUMIFS($T$7:$T$102,$C$7:$C$102,P$112,$Q$7:$Q$102,""No"")=0,"""",
S"&amp;"UMIFS($T$7:$T$102,$C$7:$C$102,P$112,$Q$7:$Q$102,""No"")/SUMIFS($Y$7:$Y$102,$C$7:$C$102,P$112,$Q$7:$Q$102,""No"")&gt;=1,
MROUND((SUMIFS($T$7:$T$102,$C$7:$C$102,P$112,$Q$7:$Q$102,""No"")/SUMIFS($Y$7:$Y$102,$C$7:$C$102,P$112,$Q$7:$Q$102,""No"")-1)*100,0.01),
TR"&amp;"UE,-MROUND((1-(SUMIFS($T$7:$T$102,$C$7:$C$102,P$112,$Q$7:$Q$102,""No"")/SUMIFS($Y$7:$Y$102,$C$7:$C$102,P$112,$Q$7:$Q$102,""No"")))*100,0.01))"),"Tom tävling - lägg till grenar!")</f>
        <v>Tom tävling - lägg till grenar!</v>
      </c>
      <c r="Q115" s="95" t="str">
        <f>IFERROR(__xludf.DUMMYFUNCTION("IFS(SUM($L$7:$L$102)=$L$29+$L$52+$L$78,""Tom tävling - lägg till grenar!"",
IFERROR(FILTER($T$7:$T$102,$T$7:$T$102=""Fyll i R-kolumnen"")=""Fyll i R-kolumnen"")=TRUE,""Fyll först i kolumn R"",
IFERROR(FILTER($T$7:$T$102,$T$7:$T$102=""Fyll i S-kolumnen"")="&amp;"""Fyll i S-kolumnen"")=TRUE,""Fyll först i kolumn S"",
OR(Q$112=""3x3 BLD"",Q$112=""4x4 BLD"",Q$112=""5x5 BLD"",Q$112=""4x4 / 5x5 BLD""),"""",
SUMIFS($T$7:$T$102,$C$7:$C$102,Q$112)=0,"""",
SUMIFS($T$7:$T$102,$C$7:$C$102,Q$112,$Q$7:$Q$102,""No"")=0,"""",
S"&amp;"UMIFS($T$7:$T$102,$C$7:$C$102,Q$112,$Q$7:$Q$102,""No"")/SUMIFS($Y$7:$Y$102,$C$7:$C$102,Q$112,$Q$7:$Q$102,""No"")&gt;=1,
MROUND((SUMIFS($T$7:$T$102,$C$7:$C$102,Q$112,$Q$7:$Q$102,""No"")/SUMIFS($Y$7:$Y$102,$C$7:$C$102,Q$112,$Q$7:$Q$102,""No"")-1)*100,0.01),
TR"&amp;"UE,-MROUND((1-(SUMIFS($T$7:$T$102,$C$7:$C$102,Q$112,$Q$7:$Q$102,""No"")/SUMIFS($Y$7:$Y$102,$C$7:$C$102,Q$112,$Q$7:$Q$102,""No"")))*100,0.01))"),"Tom tävling - lägg till grenar!")</f>
        <v>Tom tävling - lägg till grenar!</v>
      </c>
      <c r="R115" s="95" t="str">
        <f>IFERROR(__xludf.DUMMYFUNCTION("IFS(SUM($L$7:$L$102)=$L$29+$L$52+$L$78,""Tom tävling - lägg till grenar!"",
IFERROR(FILTER($T$7:$T$102,$T$7:$T$102=""Fyll i R-kolumnen"")=""Fyll i R-kolumnen"")=TRUE,""Fyll först i kolumn R"",
IFERROR(FILTER($T$7:$T$102,$T$7:$T$102=""Fyll i S-kolumnen"")="&amp;"""Fyll i S-kolumnen"")=TRUE,""Fyll först i kolumn S"",
OR(R$112=""3x3 BLD"",R$112=""4x4 BLD"",R$112=""5x5 BLD"",R$112=""4x4 / 5x5 BLD""),"""",
SUMIFS($T$7:$T$102,$C$7:$C$102,R$112)=0,"""",
SUMIFS($T$7:$T$102,$C$7:$C$102,R$112,$Q$7:$Q$102,""No"")=0,"""",
S"&amp;"UMIFS($T$7:$T$102,$C$7:$C$102,R$112,$Q$7:$Q$102,""No"")/SUMIFS($Y$7:$Y$102,$C$7:$C$102,R$112,$Q$7:$Q$102,""No"")&gt;=1,
MROUND((SUMIFS($T$7:$T$102,$C$7:$C$102,R$112,$Q$7:$Q$102,""No"")/SUMIFS($Y$7:$Y$102,$C$7:$C$102,R$112,$Q$7:$Q$102,""No"")-1)*100,0.01),
TR"&amp;"UE,-MROUND((1-(SUMIFS($T$7:$T$102,$C$7:$C$102,R$112,$Q$7:$Q$102,""No"")/SUMIFS($Y$7:$Y$102,$C$7:$C$102,R$112,$Q$7:$Q$102,""No"")))*100,0.01))"),"Tom tävling - lägg till grenar!")</f>
        <v>Tom tävling - lägg till grenar!</v>
      </c>
      <c r="S115" s="95" t="str">
        <f>IFERROR(__xludf.DUMMYFUNCTION("IFS(SUM($L$7:$L$102)=$L$29+$L$52+$L$78,""Tom tävling - lägg till grenar!"",
IFERROR(FILTER($T$7:$T$102,$T$7:$T$102=""Fyll i R-kolumnen"")=""Fyll i R-kolumnen"")=TRUE,""Fyll först i kolumn R"",
IFERROR(FILTER($T$7:$T$102,$T$7:$T$102=""Fyll i S-kolumnen"")="&amp;"""Fyll i S-kolumnen"")=TRUE,""Fyll först i kolumn S"",
OR(S$112=""3x3 BLD"",S$112=""4x4 BLD"",S$112=""5x5 BLD"",S$112=""4x4 / 5x5 BLD""),"""",
SUMIFS($T$7:$T$102,$C$7:$C$102,S$112)=0,"""",
SUMIFS($T$7:$T$102,$C$7:$C$102,S$112,$Q$7:$Q$102,""No"")=0,"""",
S"&amp;"UMIFS($T$7:$T$102,$C$7:$C$102,S$112,$Q$7:$Q$102,""No"")/SUMIFS($Y$7:$Y$102,$C$7:$C$102,S$112,$Q$7:$Q$102,""No"")&gt;=1,
MROUND((SUMIFS($T$7:$T$102,$C$7:$C$102,S$112,$Q$7:$Q$102,""No"")/SUMIFS($Y$7:$Y$102,$C$7:$C$102,S$112,$Q$7:$Q$102,""No"")-1)*100,0.01),
TR"&amp;"UE,-MROUND((1-(SUMIFS($T$7:$T$102,$C$7:$C$102,S$112,$Q$7:$Q$102,""No"")/SUMIFS($Y$7:$Y$102,$C$7:$C$102,S$112,$Q$7:$Q$102,""No"")))*100,0.01))"),"Tom tävling - lägg till grenar!")</f>
        <v>Tom tävling - lägg till grenar!</v>
      </c>
      <c r="T115" s="95" t="str">
        <f>IFERROR(__xludf.DUMMYFUNCTION("IFS(SUM($L$7:$L$102)=$L$29+$L$52+$L$78,""Tom tävling - lägg till grenar!"",
IFERROR(FILTER($T$7:$T$102,$T$7:$T$102=""Fyll i R-kolumnen"")=""Fyll i R-kolumnen"")=TRUE,""Fyll först i kolumn R"",
IFERROR(FILTER($T$7:$T$102,$T$7:$T$102=""Fyll i S-kolumnen"")="&amp;"""Fyll i S-kolumnen"")=TRUE,""Fyll först i kolumn S"",
OR(T$112=""3x3 BLD"",T$112=""4x4 BLD"",T$112=""5x5 BLD"",T$112=""4x4 / 5x5 BLD""),"""",
SUMIFS($T$7:$T$102,$C$7:$C$102,T$112)=0,"""",
SUMIFS($T$7:$T$102,$C$7:$C$102,T$112,$Q$7:$Q$102,""No"")=0,"""",
S"&amp;"UMIFS($T$7:$T$102,$C$7:$C$102,T$112,$Q$7:$Q$102,""No"")/SUMIFS($Y$7:$Y$102,$C$7:$C$102,T$112,$Q$7:$Q$102,""No"")&gt;=1,
MROUND((SUMIFS($T$7:$T$102,$C$7:$C$102,T$112,$Q$7:$Q$102,""No"")/SUMIFS($Y$7:$Y$102,$C$7:$C$102,T$112,$Q$7:$Q$102,""No"")-1)*100,0.01),
TR"&amp;"UE,-MROUND((1-(SUMIFS($T$7:$T$102,$C$7:$C$102,T$112,$Q$7:$Q$102,""No"")/SUMIFS($Y$7:$Y$102,$C$7:$C$102,T$112,$Q$7:$Q$102,""No"")))*100,0.01))"),"Tom tävling - lägg till grenar!")</f>
        <v>Tom tävling - lägg till grenar!</v>
      </c>
      <c r="U115" s="95" t="str">
        <f>IFERROR(__xludf.DUMMYFUNCTION("IFS(SUM($L$7:$L$102)=$L$29+$L$52+$L$78,""Tom tävling - lägg till grenar!"",
IFERROR(FILTER($T$7:$T$102,$T$7:$T$102=""Fyll i R-kolumnen"")=""Fyll i R-kolumnen"")=TRUE,""Fyll först i kolumn R"",
IFERROR(FILTER($T$7:$T$102,$T$7:$T$102=""Fyll i S-kolumnen"")="&amp;"""Fyll i S-kolumnen"")=TRUE,""Fyll först i kolumn S"",
OR(U$112=""3x3 BLD"",U$112=""4x4 BLD"",U$112=""5x5 BLD"",U$112=""4x4 / 5x5 BLD""),"""",
SUMIFS($T$7:$T$102,$C$7:$C$102,U$112)=0,"""",
SUMIFS($T$7:$T$102,$C$7:$C$102,U$112,$Q$7:$Q$102,""No"")=0,"""",
S"&amp;"UMIFS($T$7:$T$102,$C$7:$C$102,U$112,$Q$7:$Q$102,""No"")/SUMIFS($Y$7:$Y$102,$C$7:$C$102,U$112,$Q$7:$Q$102,""No"")&gt;=1,
MROUND((SUMIFS($T$7:$T$102,$C$7:$C$102,U$112,$Q$7:$Q$102,""No"")/SUMIFS($Y$7:$Y$102,$C$7:$C$102,U$112,$Q$7:$Q$102,""No"")-1)*100,0.01),
TR"&amp;"UE,-MROUND((1-(SUMIFS($T$7:$T$102,$C$7:$C$102,U$112,$Q$7:$Q$102,""No"")/SUMIFS($Y$7:$Y$102,$C$7:$C$102,U$112,$Q$7:$Q$102,""No"")))*100,0.01))"),"Tom tävling - lägg till grenar!")</f>
        <v>Tom tävling - lägg till grenar!</v>
      </c>
      <c r="V115" s="90"/>
      <c r="W115" s="90"/>
      <c r="X115" s="90"/>
      <c r="Y115" s="90"/>
      <c r="Z115" s="90"/>
      <c r="AA115" s="90"/>
      <c r="AB115" s="90"/>
    </row>
    <row r="116" ht="15.75" customHeight="1">
      <c r="A116" s="86" t="s">
        <v>111</v>
      </c>
      <c r="B116" s="24"/>
      <c r="C116" s="96" t="str">
        <f>IFERROR(__xludf.DUMMYFUNCTION("IF(OR(C$115="""",C$115=""Tom tävling - lägg till grenar!"",C$115=""Fyll först i kolumn R"",C$115=""Fyll först i kolumn S""),"""", FILTER(Info!$B$2:$B81,Info!$A$2:$A81=C$112)*SUMIFS($T$7:$T$102,$C$7:$C$102,C$112,$Q$7:$Q$102,""No"")/SUMIFS($Y$7:$Y$102,$C$7:"&amp;"$C$102,C$112,$Q$7:$Q$102,""No""))"),"")</f>
        <v/>
      </c>
      <c r="D116" s="96" t="str">
        <f>IFERROR(__xludf.DUMMYFUNCTION("IF(OR(D$115="""",D$115=""Tom tävling - lägg till grenar!"",D$115=""Fyll först i kolumn R"",D$115=""Fyll först i kolumn S""),"""", FILTER(Info!$B$2:$B81,Info!$A$2:$A81=D$112)*SUMIFS($T$7:$T$102,$C$7:$C$102,D$112,$Q$7:$Q$102,""No"")/SUMIFS($Y$7:$Y$102,$C$7:"&amp;"$C$102,D$112,$Q$7:$Q$102,""No""))"),"")</f>
        <v/>
      </c>
      <c r="E116" s="96" t="str">
        <f>IFERROR(__xludf.DUMMYFUNCTION("IF(OR(E$115="""",E$115=""Tom tävling - lägg till grenar!"",E$115=""Fyll först i kolumn R"",E$115=""Fyll först i kolumn S""),"""", FILTER(Info!$B$2:$B81,Info!$A$2:$A81=E$112)*SUMIFS($T$7:$T$102,$C$7:$C$102,E$112,$Q$7:$Q$102,""No"")/SUMIFS($Y$7:$Y$102,$C$7:"&amp;"$C$102,E$112,$Q$7:$Q$102,""No""))"),"")</f>
        <v/>
      </c>
      <c r="F116" s="96" t="str">
        <f>IFERROR(__xludf.DUMMYFUNCTION("IF(OR(F$115="""",F$115=""Tom tävling - lägg till grenar!"",F$115=""Fyll först i kolumn R"",F$115=""Fyll först i kolumn S""),"""", FILTER(Info!$B$2:$B81,Info!$A$2:$A81=F$112)*SUMIFS($T$7:$T$102,$C$7:$C$102,F$112,$Q$7:$Q$102,""No"")/SUMIFS($Y$7:$Y$102,$C$7:"&amp;"$C$102,F$112,$Q$7:$Q$102,""No""))"),"")</f>
        <v/>
      </c>
      <c r="G116" s="96" t="str">
        <f>IFERROR(__xludf.DUMMYFUNCTION("IF(OR(G$115="""",G$115=""Tom tävling - lägg till grenar!"",G$115=""Fyll först i kolumn R"",G$115=""Fyll först i kolumn S""),"""", FILTER(Info!$B$2:$B81,Info!$A$2:$A81=G$112)*SUMIFS($T$7:$T$102,$C$7:$C$102,G$112,$Q$7:$Q$102,""No"")/SUMIFS($Y$7:$Y$102,$C$7:"&amp;"$C$102,G$112,$Q$7:$Q$102,""No""))"),"")</f>
        <v/>
      </c>
      <c r="H116" s="96" t="str">
        <f>IFERROR(__xludf.DUMMYFUNCTION("IF(OR(H$115="""",H$115=""Tom tävling - lägg till grenar!"",H$115=""Fyll först i kolumn R"",H$115=""Fyll först i kolumn S""),"""", FILTER(Info!$B$2:$B81,Info!$A$2:$A81=H$112)*SUMIFS($T$7:$T$102,$C$7:$C$102,H$112,$Q$7:$Q$102,""No"")/SUMIFS($Y$7:$Y$102,$C$7:"&amp;"$C$102,H$112,$Q$7:$Q$102,""No""))"),"")</f>
        <v/>
      </c>
      <c r="I116" s="96" t="str">
        <f>IFERROR(__xludf.DUMMYFUNCTION("IF(OR(I$115="""",I$115=""Tom tävling - lägg till grenar!"",I$115=""Fyll först i kolumn R"",I$115=""Fyll först i kolumn S""),"""", FILTER(Info!$B$2:$B81,Info!$A$2:$A81=I$112)*SUMIFS($T$7:$T$102,$C$7:$C$102,I$112,$Q$7:$Q$102,""No"")/SUMIFS($Y$7:$Y$102,$C$7:"&amp;"$C$102,I$112,$Q$7:$Q$102,""No""))"),"")</f>
        <v/>
      </c>
      <c r="J116" s="96" t="str">
        <f>IFERROR(__xludf.DUMMYFUNCTION("IF(OR(J$115="""",J$115=""Tom tävling - lägg till grenar!"",J$115=""Fyll först i kolumn R"",J$115=""Fyll först i kolumn S""),"""", FILTER(Info!$B$2:$B81,Info!$A$2:$A81=J$112)*SUMIFS($T$7:$T$102,$C$7:$C$102,J$112,$Q$7:$Q$102,""No"")/SUMIFS($Y$7:$Y$102,$C$7:"&amp;"$C$102,J$112,$Q$7:$Q$102,""No""))"),"")</f>
        <v/>
      </c>
      <c r="K116" s="96" t="str">
        <f>IFERROR(__xludf.DUMMYFUNCTION("IF(OR(K$115="""",K$115=""Tom tävling - lägg till grenar!"",K$115=""Fyll först i kolumn R"",K$115=""Fyll först i kolumn S""),"""", FILTER(Info!$B$2:$B81,Info!$A$2:$A81=K$112)*SUMIFS($T$7:$T$102,$C$7:$C$102,K$112,$Q$7:$Q$102,""No"")/SUMIFS($Y$7:$Y$102,$C$7:"&amp;"$C$102,K$112,$Q$7:$Q$102,""No""))"),"")</f>
        <v/>
      </c>
      <c r="L116" s="96" t="str">
        <f>IFERROR(__xludf.DUMMYFUNCTION("IF(OR(L$115="""",L$115=""Tom tävling - lägg till grenar!"",L$115=""Fyll först i kolumn R"",L$115=""Fyll först i kolumn S""),"""", FILTER(Info!$B$2:$B81,Info!$A$2:$A81=L$112)*SUMIFS($T$7:$T$102,$C$7:$C$102,L$112,$Q$7:$Q$102,""No"")/SUMIFS($Y$7:$Y$102,$C$7:"&amp;"$C$102,L$112,$Q$7:$Q$102,""No""))"),"")</f>
        <v/>
      </c>
      <c r="M116" s="96" t="str">
        <f>IFERROR(__xludf.DUMMYFUNCTION("IF(OR(M$115="""",M$115=""Tom tävling - lägg till grenar!"",M$115=""Fyll först i kolumn R"",M$115=""Fyll först i kolumn S""),"""", FILTER(Info!$B$2:$B81,Info!$A$2:$A81=M$112)*SUMIFS($T$7:$T$102,$C$7:$C$102,M$112,$Q$7:$Q$102,""No"")/SUMIFS($Y$7:$Y$102,$C$7:"&amp;"$C$102,M$112,$Q$7:$Q$102,""No""))"),"")</f>
        <v/>
      </c>
      <c r="N116" s="96" t="str">
        <f>IFERROR(__xludf.DUMMYFUNCTION("IF(OR(N$115="""",N$115=""Tom tävling - lägg till grenar!"",N$115=""Fyll först i kolumn R"",N$115=""Fyll först i kolumn S""),"""", FILTER(Info!$B$2:$B81,Info!$A$2:$A81=N$112)*SUMIFS($T$7:$T$102,$C$7:$C$102,N$112,$Q$7:$Q$102,""No"")/SUMIFS($Y$7:$Y$102,$C$7:"&amp;"$C$102,N$112,$Q$7:$Q$102,""No""))"),"")</f>
        <v/>
      </c>
      <c r="O116" s="96" t="str">
        <f>IFERROR(__xludf.DUMMYFUNCTION("IF(OR(O$115="""",O$115=""Tom tävling - lägg till grenar!"",O$115=""Fyll först i kolumn R"",O$115=""Fyll först i kolumn S""),"""", FILTER(Info!$B$2:$B81,Info!$A$2:$A81=O$112)*SUMIFS($T$7:$T$102,$C$7:$C$102,O$112,$Q$7:$Q$102,""No"")/SUMIFS($Y$7:$Y$102,$C$7:"&amp;"$C$102,O$112,$Q$7:$Q$102,""No""))"),"")</f>
        <v/>
      </c>
      <c r="P116" s="96" t="str">
        <f>IFERROR(__xludf.DUMMYFUNCTION("IF(OR(P$115="""",P$115=""Tom tävling - lägg till grenar!"",P$115=""Fyll först i kolumn R"",P$115=""Fyll först i kolumn S""),"""", FILTER(Info!$B$2:$B81,Info!$A$2:$A81=P$112)*SUMIFS($T$7:$T$102,$C$7:$C$102,P$112,$Q$7:$Q$102,""No"")/SUMIFS($Y$7:$Y$102,$C$7:"&amp;"$C$102,P$112,$Q$7:$Q$102,""No""))"),"")</f>
        <v/>
      </c>
      <c r="Q116" s="96" t="str">
        <f>IFERROR(__xludf.DUMMYFUNCTION("IF(OR(Q$115="""",Q$115=""Tom tävling - lägg till grenar!"",Q$115=""Fyll först i kolumn R"",Q$115=""Fyll först i kolumn S""),"""", FILTER(Info!$B$2:$B81,Info!$A$2:$A81=Q$112)*SUMIFS($T$7:$T$102,$C$7:$C$102,Q$112,$Q$7:$Q$102,""No"")/SUMIFS($Y$7:$Y$102,$C$7:"&amp;"$C$102,Q$112,$Q$7:$Q$102,""No""))"),"")</f>
        <v/>
      </c>
      <c r="R116" s="96" t="str">
        <f>IFERROR(__xludf.DUMMYFUNCTION("IF(OR(R$115="""",R$115=""Tom tävling - lägg till grenar!"",R$115=""Fyll först i kolumn R"",R$115=""Fyll först i kolumn S""),"""", FILTER(Info!$B$2:$B81,Info!$A$2:$A81=R$112)*SUMIFS($T$7:$T$102,$C$7:$C$102,R$112,$Q$7:$Q$102,""No"")/SUMIFS($Y$7:$Y$102,$C$7:"&amp;"$C$102,R$112,$Q$7:$Q$102,""No""))"),"")</f>
        <v/>
      </c>
      <c r="S116" s="96" t="str">
        <f>IFERROR(__xludf.DUMMYFUNCTION("IF(OR(S$115="""",S$115=""Tom tävling - lägg till grenar!"",S$115=""Fyll först i kolumn R"",S$115=""Fyll först i kolumn S""),"""", FILTER(Info!$B$2:$B81,Info!$A$2:$A81=S$112)*SUMIFS($T$7:$T$102,$C$7:$C$102,S$112,$Q$7:$Q$102,""No"")/SUMIFS($Y$7:$Y$102,$C$7:"&amp;"$C$102,S$112,$Q$7:$Q$102,""No""))"),"")</f>
        <v/>
      </c>
      <c r="T116" s="96" t="str">
        <f>IFERROR(__xludf.DUMMYFUNCTION("IF(OR(T$115="""",T$115=""Tom tävling - lägg till grenar!"",T$115=""Fyll först i kolumn R"",T$115=""Fyll först i kolumn S""),"""", FILTER(Info!$B$2:$B81,Info!$A$2:$A81=T$112)*SUMIFS($T$7:$T$102,$C$7:$C$102,T$112,$Q$7:$Q$102,""No"")/SUMIFS($Y$7:$Y$102,$C$7:"&amp;"$C$102,T$112,$Q$7:$Q$102,""No""))"),"")</f>
        <v/>
      </c>
      <c r="U116" s="96" t="str">
        <f>IFERROR(__xludf.DUMMYFUNCTION("IF(OR(U$115="""",U$115=""Tom tävling - lägg till grenar!"",U$115=""Fyll först i kolumn R"",U$115=""Fyll först i kolumn S""),"""", FILTER(Info!$B$2:$B81,Info!$A$2:$A81=U$112)*SUMIFS($T$7:$T$102,$C$7:$C$102,U$112,$Q$7:$Q$102,""No"")/SUMIFS($Y$7:$Y$102,$C$7:"&amp;"$C$102,U$112,$Q$7:$Q$102,""No""))"),"")</f>
        <v/>
      </c>
      <c r="V116" s="90"/>
      <c r="W116" s="90"/>
      <c r="X116" s="90"/>
      <c r="Y116" s="90"/>
      <c r="Z116" s="90"/>
      <c r="AA116" s="90"/>
      <c r="AB116" s="90"/>
    </row>
    <row r="117" ht="15.75" customHeight="1">
      <c r="A117" s="86" t="s">
        <v>113</v>
      </c>
      <c r="B117" s="24"/>
      <c r="C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SUMIFS($J$7:$J$102,$C$7:$C$102,C$112,$E$7:$E$102,1)=0,"""",
FILTER($J$7:$J$102,$C$7:$C$102=C$112,$E$7:$E$102=1)/(ROUNDUP((FILTER(Info!$H$2:$H81,Info!$A$2:$A81=C$112)/FILTER(Info!$H$2:$H81,Info!$A$2:$A"&amp;"81=$K$2))*$I$2))&gt;=1,
MROUND((FILTER($J$7:$J$102,$C$7:$C$102=C$112,$E$7:$E$102=1)/(ROUNDUP((FILTER(Info!$H$2:$H81,Info!$A$2:$A81=C$112)/FILTER(Info!$H$2:$H81,Info!$A$2:$A81=$K$2))*$I$2))-1)*100,0.01),
TRUE,-MROUND((1-(FILTER($J$7:$J$102,$C$7:$C$102=C$112,$"&amp;"E$7:$E$102=1)/(ROUNDUP((FILTER(Info!$H$2:$H81,Info!$A$2:$A81=C$112)/FILTER(Info!$H$2:$H81,Info!$A$2:$A81=$K$2))*$I$2))))*100,0.01))"),"Tom tävling - lägg till grenar!")</f>
        <v>Tom tävling - lägg till grenar!</v>
      </c>
      <c r="D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SUMIFS($J$7:$J$102,$C$7:$C$102,D$112,$E$7:$E$102,1)=0,"""",
FILTER($J$7:$J$102,$C$7:$C$102=D$112,$E$7:$E$102=1)/(ROUNDUP((FILTER(Info!$H$2:$H81,Info!$A$2:$A81=D$112)/FILTER(Info!$H$2:$H81,Info!$A$2:$A"&amp;"81=$K$2))*$I$2))&gt;=1,
MROUND((FILTER($J$7:$J$102,$C$7:$C$102=D$112,$E$7:$E$102=1)/(ROUNDUP((FILTER(Info!$H$2:$H81,Info!$A$2:$A81=D$112)/FILTER(Info!$H$2:$H81,Info!$A$2:$A81=$K$2))*$I$2))-1)*100,0.01),
TRUE,-MROUND((1-(FILTER($J$7:$J$102,$C$7:$C$102=D$112,$"&amp;"E$7:$E$102=1)/(ROUNDUP((FILTER(Info!$H$2:$H81,Info!$A$2:$A81=D$112)/FILTER(Info!$H$2:$H81,Info!$A$2:$A81=$K$2))*$I$2))))*100,0.01))"),"Tom tävling - lägg till grenar!")</f>
        <v>Tom tävling - lägg till grenar!</v>
      </c>
      <c r="E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SUMIFS($J$7:$J$102,$C$7:$C$102,E$112,$E$7:$E$102,1)=0,"""",
FILTER($J$7:$J$102,$C$7:$C$102=E$112,$E$7:$E$102=1)/(ROUNDUP((FILTER(Info!$H$2:$H81,Info!$A$2:$A81=E$112)/FILTER(Info!$H$2:$H81,Info!$A$2:$A"&amp;"81=$K$2))*$I$2))&gt;=1,
MROUND((FILTER($J$7:$J$102,$C$7:$C$102=E$112,$E$7:$E$102=1)/(ROUNDUP((FILTER(Info!$H$2:$H81,Info!$A$2:$A81=E$112)/FILTER(Info!$H$2:$H81,Info!$A$2:$A81=$K$2))*$I$2))-1)*100,0.01),
TRUE,-MROUND((1-(FILTER($J$7:$J$102,$C$7:$C$102=E$112,$"&amp;"E$7:$E$102=1)/(ROUNDUP((FILTER(Info!$H$2:$H81,Info!$A$2:$A81=E$112)/FILTER(Info!$H$2:$H81,Info!$A$2:$A81=$K$2))*$I$2))))*100,0.01))"),"Tom tävling - lägg till grenar!")</f>
        <v>Tom tävling - lägg till grenar!</v>
      </c>
      <c r="F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SUMIFS($J$7:$J$102,$C$7:$C$102,F$112,$E$7:$E$102,1)=0,"""",
FILTER($J$7:$J$102,$C$7:$C$102=F$112,$E$7:$E$102=1)/(ROUNDUP((FILTER(Info!$H$2:$H81,Info!$A$2:$A81=F$112)/FILTER(Info!$H$2:$H81,Info!$A$2:$A"&amp;"81=$K$2))*$I$2))&gt;=1,
MROUND((FILTER($J$7:$J$102,$C$7:$C$102=F$112,$E$7:$E$102=1)/(ROUNDUP((FILTER(Info!$H$2:$H81,Info!$A$2:$A81=F$112)/FILTER(Info!$H$2:$H81,Info!$A$2:$A81=$K$2))*$I$2))-1)*100,0.01),
TRUE,-MROUND((1-(FILTER($J$7:$J$102,$C$7:$C$102=F$112,$"&amp;"E$7:$E$102=1)/(ROUNDUP((FILTER(Info!$H$2:$H81,Info!$A$2:$A81=F$112)/FILTER(Info!$H$2:$H81,Info!$A$2:$A81=$K$2))*$I$2))))*100,0.01))"),"Tom tävling - lägg till grenar!")</f>
        <v>Tom tävling - lägg till grenar!</v>
      </c>
      <c r="G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SUMIFS($J$7:$J$102,$C$7:$C$102,G$112,$E$7:$E$102,1)=0,"""",
FILTER($J$7:$J$102,$C$7:$C$102=G$112,$E$7:$E$102=1)/(ROUNDUP((FILTER(Info!$H$2:$H81,Info!$A$2:$A81=G$112)/FILTER(Info!$H$2:$H81,Info!$A$2:$A"&amp;"81=$K$2))*$I$2))&gt;=1,
MROUND((FILTER($J$7:$J$102,$C$7:$C$102=G$112,$E$7:$E$102=1)/(ROUNDUP((FILTER(Info!$H$2:$H81,Info!$A$2:$A81=G$112)/FILTER(Info!$H$2:$H81,Info!$A$2:$A81=$K$2))*$I$2))-1)*100,0.01),
TRUE,-MROUND((1-(FILTER($J$7:$J$102,$C$7:$C$102=G$112,$"&amp;"E$7:$E$102=1)/(ROUNDUP((FILTER(Info!$H$2:$H81,Info!$A$2:$A81=G$112)/FILTER(Info!$H$2:$H81,Info!$A$2:$A81=$K$2))*$I$2))))*100,0.01))"),"Tom tävling - lägg till grenar!")</f>
        <v>Tom tävling - lägg till grenar!</v>
      </c>
      <c r="H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SUMIFS($J$7:$J$102,$C$7:$C$102,H$112,$E$7:$E$102,1)=0,"""",
FILTER($J$7:$J$102,$C$7:$C$102=H$112,$E$7:$E$102=1)/(ROUNDUP((FILTER(Info!$H$2:$H81,Info!$A$2:$A81=H$112)/FILTER(Info!$H$2:$H81,Info!$A$2:$A"&amp;"81=$K$2))*$I$2))&gt;=1,
MROUND((FILTER($J$7:$J$102,$C$7:$C$102=H$112,$E$7:$E$102=1)/(ROUNDUP((FILTER(Info!$H$2:$H81,Info!$A$2:$A81=H$112)/FILTER(Info!$H$2:$H81,Info!$A$2:$A81=$K$2))*$I$2))-1)*100,0.01),
TRUE,-MROUND((1-(FILTER($J$7:$J$102,$C$7:$C$102=H$112,$"&amp;"E$7:$E$102=1)/(ROUNDUP((FILTER(Info!$H$2:$H81,Info!$A$2:$A81=H$112)/FILTER(Info!$H$2:$H81,Info!$A$2:$A81=$K$2))*$I$2))))*100,0.01))"),"Tom tävling - lägg till grenar!")</f>
        <v>Tom tävling - lägg till grenar!</v>
      </c>
      <c r="I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SUMIFS($J$7:$J$102,$C$7:$C$102,I$112,$E$7:$E$102,1)=0,"""",
FILTER($J$7:$J$102,$C$7:$C$102=I$112,$E$7:$E$102=1)/(ROUNDUP((FILTER(Info!$H$2:$H81,Info!$A$2:$A81=I$112)/FILTER(Info!$H$2:$H81,Info!$A$2:$A"&amp;"81=$K$2))*$I$2))&gt;=1,
MROUND((FILTER($J$7:$J$102,$C$7:$C$102=I$112,$E$7:$E$102=1)/(ROUNDUP((FILTER(Info!$H$2:$H81,Info!$A$2:$A81=I$112)/FILTER(Info!$H$2:$H81,Info!$A$2:$A81=$K$2))*$I$2))-1)*100,0.01),
TRUE,-MROUND((1-(FILTER($J$7:$J$102,$C$7:$C$102=I$112,$"&amp;"E$7:$E$102=1)/(ROUNDUP((FILTER(Info!$H$2:$H81,Info!$A$2:$A81=I$112)/FILTER(Info!$H$2:$H81,Info!$A$2:$A81=$K$2))*$I$2))))*100,0.01))"),"Tom tävling - lägg till grenar!")</f>
        <v>Tom tävling - lägg till grenar!</v>
      </c>
      <c r="J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SUMIFS($J$7:$J$102,$C$7:$C$102,J$112,$E$7:$E$102,1)=0,"""",
FILTER($J$7:$J$102,$C$7:$C$102=J$112,$E$7:$E$102=1)/(ROUNDUP((FILTER(Info!$H$2:$H81,Info!$A$2:$A81=J$112)/FILTER(Info!$H$2:$H81,Info!$A$2:$A"&amp;"81=$K$2))*$I$2))&gt;=1,
MROUND((FILTER($J$7:$J$102,$C$7:$C$102=J$112,$E$7:$E$102=1)/(ROUNDUP((FILTER(Info!$H$2:$H81,Info!$A$2:$A81=J$112)/FILTER(Info!$H$2:$H81,Info!$A$2:$A81=$K$2))*$I$2))-1)*100,0.01),
TRUE,-MROUND((1-(FILTER($J$7:$J$102,$C$7:$C$102=J$112,$"&amp;"E$7:$E$102=1)/(ROUNDUP((FILTER(Info!$H$2:$H81,Info!$A$2:$A81=J$112)/FILTER(Info!$H$2:$H81,Info!$A$2:$A81=$K$2))*$I$2))))*100,0.01))"),"Tom tävling - lägg till grenar!")</f>
        <v>Tom tävling - lägg till grenar!</v>
      </c>
      <c r="K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SUMIFS($J$7:$J$102,$C$7:$C$102,K$112,$E$7:$E$102,1)=0,"""",
FILTER($J$7:$J$102,$C$7:$C$102=K$112,$E$7:$E$102=1)/(ROUNDUP((FILTER(Info!$H$2:$H81,Info!$A$2:$A81=K$112)/FILTER(Info!$H$2:$H81,Info!$A$2:$A"&amp;"81=$K$2))*$I$2))&gt;=1,
MROUND((FILTER($J$7:$J$102,$C$7:$C$102=K$112,$E$7:$E$102=1)/(ROUNDUP((FILTER(Info!$H$2:$H81,Info!$A$2:$A81=K$112)/FILTER(Info!$H$2:$H81,Info!$A$2:$A81=$K$2))*$I$2))-1)*100,0.01),
TRUE,-MROUND((1-(FILTER($J$7:$J$102,$C$7:$C$102=K$112,$"&amp;"E$7:$E$102=1)/(ROUNDUP((FILTER(Info!$H$2:$H81,Info!$A$2:$A81=K$112)/FILTER(Info!$H$2:$H81,Info!$A$2:$A81=$K$2))*$I$2))))*100,0.01))"),"Tom tävling - lägg till grenar!")</f>
        <v>Tom tävling - lägg till grenar!</v>
      </c>
      <c r="L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SUMIFS($J$7:$J$102,$C$7:$C$102,L$112,$E$7:$E$102,1)=0,"""",
FILTER($J$7:$J$102,$C$7:$C$102=L$112,$E$7:$E$102=1)/(ROUNDUP((FILTER(Info!$H$2:$H81,Info!$A$2:$A81=L$112)/FILTER(Info!$H$2:$H81,Info!$A$2:$A"&amp;"81=$K$2))*$I$2))&gt;=1,
MROUND((FILTER($J$7:$J$102,$C$7:$C$102=L$112,$E$7:$E$102=1)/(ROUNDUP((FILTER(Info!$H$2:$H81,Info!$A$2:$A81=L$112)/FILTER(Info!$H$2:$H81,Info!$A$2:$A81=$K$2))*$I$2))-1)*100,0.01),
TRUE,-MROUND((1-(FILTER($J$7:$J$102,$C$7:$C$102=L$112,$"&amp;"E$7:$E$102=1)/(ROUNDUP((FILTER(Info!$H$2:$H81,Info!$A$2:$A81=L$112)/FILTER(Info!$H$2:$H81,Info!$A$2:$A81=$K$2))*$I$2))))*100,0.01))"),"Tom tävling - lägg till grenar!")</f>
        <v>Tom tävling - lägg till grenar!</v>
      </c>
      <c r="M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SUMIFS($J$7:$J$102,$C$7:$C$102,M$112,$E$7:$E$102,1)=0,"""",
FILTER($J$7:$J$102,$C$7:$C$102=M$112,$E$7:$E$102=1)/(ROUNDUP((FILTER(Info!$H$2:$H81,Info!$A$2:$A81=M$112)/FILTER(Info!$H$2:$H81,Info!$A$2:$A"&amp;"81=$K$2))*$I$2))&gt;=1,
MROUND((FILTER($J$7:$J$102,$C$7:$C$102=M$112,$E$7:$E$102=1)/(ROUNDUP((FILTER(Info!$H$2:$H81,Info!$A$2:$A81=M$112)/FILTER(Info!$H$2:$H81,Info!$A$2:$A81=$K$2))*$I$2))-1)*100,0.01),
TRUE,-MROUND((1-(FILTER($J$7:$J$102,$C$7:$C$102=M$112,$"&amp;"E$7:$E$102=1)/(ROUNDUP((FILTER(Info!$H$2:$H81,Info!$A$2:$A81=M$112)/FILTER(Info!$H$2:$H81,Info!$A$2:$A81=$K$2))*$I$2))))*100,0.01))"),"Tom tävling - lägg till grenar!")</f>
        <v>Tom tävling - lägg till grenar!</v>
      </c>
      <c r="N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SUMIFS($J$7:$J$102,$C$7:$C$102,N$112,$E$7:$E$102,1)=0,"""",
FILTER($J$7:$J$102,$C$7:$C$102=N$112,$E$7:$E$102=1)/(ROUNDUP((FILTER(Info!$H$2:$H81,Info!$A$2:$A81=N$112)/FILTER(Info!$H$2:$H81,Info!$A$2:$A"&amp;"81=$K$2))*$I$2))&gt;=1,
MROUND((FILTER($J$7:$J$102,$C$7:$C$102=N$112,$E$7:$E$102=1)/(ROUNDUP((FILTER(Info!$H$2:$H81,Info!$A$2:$A81=N$112)/FILTER(Info!$H$2:$H81,Info!$A$2:$A81=$K$2))*$I$2))-1)*100,0.01),
TRUE,-MROUND((1-(FILTER($J$7:$J$102,$C$7:$C$102=N$112,$"&amp;"E$7:$E$102=1)/(ROUNDUP((FILTER(Info!$H$2:$H81,Info!$A$2:$A81=N$112)/FILTER(Info!$H$2:$H81,Info!$A$2:$A81=$K$2))*$I$2))))*100,0.01))"),"Tom tävling - lägg till grenar!")</f>
        <v>Tom tävling - lägg till grenar!</v>
      </c>
      <c r="O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SUMIFS($J$7:$J$102,$C$7:$C$102,O$112,$E$7:$E$102,1)=0,"""",
FILTER($J$7:$J$102,$C$7:$C$102=O$112,$E$7:$E$102=1)/(ROUNDUP((FILTER(Info!$H$2:$H81,Info!$A$2:$A81=O$112)/FILTER(Info!$H$2:$H81,Info!$A$2:$A"&amp;"81=$K$2))*$I$2))&gt;=1,
MROUND((FILTER($J$7:$J$102,$C$7:$C$102=O$112,$E$7:$E$102=1)/(ROUNDUP((FILTER(Info!$H$2:$H81,Info!$A$2:$A81=O$112)/FILTER(Info!$H$2:$H81,Info!$A$2:$A81=$K$2))*$I$2))-1)*100,0.01),
TRUE,-MROUND((1-(FILTER($J$7:$J$102,$C$7:$C$102=O$112,$"&amp;"E$7:$E$102=1)/(ROUNDUP((FILTER(Info!$H$2:$H81,Info!$A$2:$A81=O$112)/FILTER(Info!$H$2:$H81,Info!$A$2:$A81=$K$2))*$I$2))))*100,0.01))"),"Tom tävling - lägg till grenar!")</f>
        <v>Tom tävling - lägg till grenar!</v>
      </c>
      <c r="P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SUMIFS($J$7:$J$102,$C$7:$C$102,P$112,$E$7:$E$102,1)=0,"""",
FILTER($J$7:$J$102,$C$7:$C$102=P$112,$E$7:$E$102=1)/(ROUNDUP((FILTER(Info!$H$2:$H81,Info!$A$2:$A81=P$112)/FILTER(Info!$H$2:$H81,Info!$A$2:$A"&amp;"81=$K$2))*$I$2))&gt;=1,
MROUND((FILTER($J$7:$J$102,$C$7:$C$102=P$112,$E$7:$E$102=1)/(ROUNDUP((FILTER(Info!$H$2:$H81,Info!$A$2:$A81=P$112)/FILTER(Info!$H$2:$H81,Info!$A$2:$A81=$K$2))*$I$2))-1)*100,0.01),
TRUE,-MROUND((1-(FILTER($J$7:$J$102,$C$7:$C$102=P$112,$"&amp;"E$7:$E$102=1)/(ROUNDUP((FILTER(Info!$H$2:$H81,Info!$A$2:$A81=P$112)/FILTER(Info!$H$2:$H81,Info!$A$2:$A81=$K$2))*$I$2))))*100,0.01))"),"Tom tävling - lägg till grenar!")</f>
        <v>Tom tävling - lägg till grenar!</v>
      </c>
      <c r="Q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SUMIFS($J$7:$J$102,$C$7:$C$102,Q$112,$E$7:$E$102,1)=0,"""",
FILTER($J$7:$J$102,$C$7:$C$102=Q$112,$E$7:$E$102=1)/(ROUNDUP((FILTER(Info!$H$2:$H81,Info!$A$2:$A81=Q$112)/FILTER(Info!$H$2:$H81,Info!$A$2:$A"&amp;"81=$K$2))*$I$2))&gt;=1,
MROUND((FILTER($J$7:$J$102,$C$7:$C$102=Q$112,$E$7:$E$102=1)/(ROUNDUP((FILTER(Info!$H$2:$H81,Info!$A$2:$A81=Q$112)/FILTER(Info!$H$2:$H81,Info!$A$2:$A81=$K$2))*$I$2))-1)*100,0.01),
TRUE,-MROUND((1-(FILTER($J$7:$J$102,$C$7:$C$102=Q$112,$"&amp;"E$7:$E$102=1)/(ROUNDUP((FILTER(Info!$H$2:$H81,Info!$A$2:$A81=Q$112)/FILTER(Info!$H$2:$H81,Info!$A$2:$A81=$K$2))*$I$2))))*100,0.01))"),"Tom tävling - lägg till grenar!")</f>
        <v>Tom tävling - lägg till grenar!</v>
      </c>
      <c r="R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SUMIFS($J$7:$J$102,$C$7:$C$102,R$112,$E$7:$E$102,1)=0,"""",
FILTER($J$7:$J$102,$C$7:$C$102=R$112,$E$7:$E$102=1)/(ROUNDUP((FILTER(Info!$H$2:$H81,Info!$A$2:$A81=R$112)/FILTER(Info!$H$2:$H81,Info!$A$2:$A"&amp;"81=$K$2))*$I$2))&gt;=1,
MROUND((FILTER($J$7:$J$102,$C$7:$C$102=R$112,$E$7:$E$102=1)/(ROUNDUP((FILTER(Info!$H$2:$H81,Info!$A$2:$A81=R$112)/FILTER(Info!$H$2:$H81,Info!$A$2:$A81=$K$2))*$I$2))-1)*100,0.01),
TRUE,-MROUND((1-(FILTER($J$7:$J$102,$C$7:$C$102=R$112,$"&amp;"E$7:$E$102=1)/(ROUNDUP((FILTER(Info!$H$2:$H81,Info!$A$2:$A81=R$112)/FILTER(Info!$H$2:$H81,Info!$A$2:$A81=$K$2))*$I$2))))*100,0.01))"),"Tom tävling - lägg till grenar!")</f>
        <v>Tom tävling - lägg till grenar!</v>
      </c>
      <c r="S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SUMIFS($J$7:$J$102,$C$7:$C$102,S$112,$E$7:$E$102,1)=0,"""",
FILTER($J$7:$J$102,$C$7:$C$102=S$112,$E$7:$E$102=1)/(ROUNDUP((FILTER(Info!$H$2:$H81,Info!$A$2:$A81=S$112)/FILTER(Info!$H$2:$H81,Info!$A$2:$A"&amp;"81=$K$2))*$I$2))&gt;=1,
MROUND((FILTER($J$7:$J$102,$C$7:$C$102=S$112,$E$7:$E$102=1)/(ROUNDUP((FILTER(Info!$H$2:$H81,Info!$A$2:$A81=S$112)/FILTER(Info!$H$2:$H81,Info!$A$2:$A81=$K$2))*$I$2))-1)*100,0.01),
TRUE,-MROUND((1-(FILTER($J$7:$J$102,$C$7:$C$102=S$112,$"&amp;"E$7:$E$102=1)/(ROUNDUP((FILTER(Info!$H$2:$H81,Info!$A$2:$A81=S$112)/FILTER(Info!$H$2:$H81,Info!$A$2:$A81=$K$2))*$I$2))))*100,0.01))"),"Tom tävling - lägg till grenar!")</f>
        <v>Tom tävling - lägg till grenar!</v>
      </c>
      <c r="T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SUMIFS($J$7:$J$102,$C$7:$C$102,T$112,$E$7:$E$102,1)=0,"""",
FILTER($J$7:$J$102,$C$7:$C$102=T$112,$E$7:$E$102=1)/(ROUNDUP((FILTER(Info!$H$2:$H81,Info!$A$2:$A81=T$112)/FILTER(Info!$H$2:$H81,Info!$A$2:$A"&amp;"81=$K$2))*$I$2))&gt;=1,
MROUND((FILTER($J$7:$J$102,$C$7:$C$102=T$112,$E$7:$E$102=1)/(ROUNDUP((FILTER(Info!$H$2:$H81,Info!$A$2:$A81=T$112)/FILTER(Info!$H$2:$H81,Info!$A$2:$A81=$K$2))*$I$2))-1)*100,0.01),
TRUE,-MROUND((1-(FILTER($J$7:$J$102,$C$7:$C$102=T$112,$"&amp;"E$7:$E$102=1)/(ROUNDUP((FILTER(Info!$H$2:$H81,Info!$A$2:$A81=T$112)/FILTER(Info!$H$2:$H81,Info!$A$2:$A81=$K$2))*$I$2))))*100,0.01))"),"Tom tävling - lägg till grenar!")</f>
        <v>Tom tävling - lägg till grenar!</v>
      </c>
      <c r="U117" s="95" t="str">
        <f>IFERROR(__xludf.DUMMYFUNCTION("IFS(SUM($L$7:$L$102)=$L$29+$L$52+$L$78,""Tom tävling - lägg till grenar!"",
IFERROR(FILTER($T$7:$T$102,$T$7:$T$102=""Fyll i R-kolumnen"")=""Fyll i R-kolumnen"")=TRUE,""Fyll först i kolumn R"",
IFERROR(FILTER($T$7:$T$102,$T$7:$T$102=""Fyll i S-kolumnen"")="&amp;"""Fyll i S-kolumnen"")=TRUE,""Fyll först i kolumn S"",
SUMIFS($J$7:$J$102,$C$7:$C$102,U$112,$E$7:$E$102,1)=0,"""",
FILTER($J$7:$J$102,$C$7:$C$102=U$112,$E$7:$E$102=1)/(ROUNDUP((FILTER(Info!$H$2:$H81,Info!$A$2:$A81=U$112)/FILTER(Info!$H$2:$H81,Info!$A$2:$A"&amp;"81=$K$2))*$I$2))&gt;=1,
MROUND((FILTER($J$7:$J$102,$C$7:$C$102=U$112,$E$7:$E$102=1)/(ROUNDUP((FILTER(Info!$H$2:$H81,Info!$A$2:$A81=U$112)/FILTER(Info!$H$2:$H81,Info!$A$2:$A81=$K$2))*$I$2))-1)*100,0.01),
TRUE,-MROUND((1-(FILTER($J$7:$J$102,$C$7:$C$102=U$112,$"&amp;"E$7:$E$102=1)/(ROUNDUP((FILTER(Info!$H$2:$H81,Info!$A$2:$A81=U$112)/FILTER(Info!$H$2:$H81,Info!$A$2:$A81=$K$2))*$I$2))))*100,0.01))"),"Tom tävling - lägg till grenar!")</f>
        <v>Tom tävling - lägg till grenar!</v>
      </c>
      <c r="V117" s="90"/>
      <c r="W117" s="90"/>
      <c r="X117" s="90"/>
      <c r="Y117" s="90"/>
      <c r="Z117" s="90"/>
      <c r="AA117" s="90"/>
      <c r="AB117" s="90"/>
    </row>
    <row r="118" ht="15.75" customHeight="1">
      <c r="A118" s="86" t="s">
        <v>114</v>
      </c>
      <c r="B118" s="24"/>
      <c r="C118" s="96" t="str">
        <f>IFERROR(__xludf.DUMMYFUNCTION("IF(OR(C$117="""",C$117=""Tom tävling - lägg till grenar!"",,C$117=""Fyll först i kolumn R"",C$117=""Fyll först i kolumn S""),"""",
FILTER(Info!$H$2:$H81,Info!$A$2:$A81=C$112)*FILTER($J$7:$J$102,$C$7:$C$102=C$112,$E$7:$E$102=1)/(ROUNDUP((FILTER(Info!$H$2:$"&amp;"H81,Info!$A$2:$A81=C$112)/FILTER(Info!$H$2:$H81,Info!$A$2:$A81=$K$2))*$I$2)))"),"")</f>
        <v/>
      </c>
      <c r="D118" s="96" t="str">
        <f>IFERROR(__xludf.DUMMYFUNCTION("IF(OR(D$117="""",D$117=""Tom tävling - lägg till grenar!"",,D$117=""Fyll först i kolumn R"",D$117=""Fyll först i kolumn S""),"""",
FILTER(Info!$H$2:$H81,Info!$A$2:$A81=D$112)*FILTER($J$7:$J$102,$C$7:$C$102=D$112,$E$7:$E$102=1)/(ROUNDUP((FILTER(Info!$H$2:$"&amp;"H81,Info!$A$2:$A81=D$112)/FILTER(Info!$H$2:$H81,Info!$A$2:$A81=$K$2))*$I$2)))"),"")</f>
        <v/>
      </c>
      <c r="E118" s="96" t="str">
        <f>IFERROR(__xludf.DUMMYFUNCTION("IF(OR(E$117="""",E$117=""Tom tävling - lägg till grenar!"",,E$117=""Fyll först i kolumn R"",E$117=""Fyll först i kolumn S""),"""",
FILTER(Info!$H$2:$H81,Info!$A$2:$A81=E$112)*FILTER($J$7:$J$102,$C$7:$C$102=E$112,$E$7:$E$102=1)/(ROUNDUP((FILTER(Info!$H$2:$"&amp;"H81,Info!$A$2:$A81=E$112)/FILTER(Info!$H$2:$H81,Info!$A$2:$A81=$K$2))*$I$2)))"),"")</f>
        <v/>
      </c>
      <c r="F118" s="96" t="str">
        <f>IFERROR(__xludf.DUMMYFUNCTION("IF(OR(F$117="""",F$117=""Tom tävling - lägg till grenar!"",,F$117=""Fyll först i kolumn R"",F$117=""Fyll först i kolumn S""),"""",
FILTER(Info!$H$2:$H81,Info!$A$2:$A81=F$112)*FILTER($J$7:$J$102,$C$7:$C$102=F$112,$E$7:$E$102=1)/(ROUNDUP((FILTER(Info!$H$2:$"&amp;"H81,Info!$A$2:$A81=F$112)/FILTER(Info!$H$2:$H81,Info!$A$2:$A81=$K$2))*$I$2)))"),"")</f>
        <v/>
      </c>
      <c r="G118" s="96" t="str">
        <f>IFERROR(__xludf.DUMMYFUNCTION("IF(OR(G$117="""",G$117=""Tom tävling - lägg till grenar!"",,G$117=""Fyll först i kolumn R"",G$117=""Fyll först i kolumn S""),"""",
FILTER(Info!$H$2:$H81,Info!$A$2:$A81=G$112)*FILTER($J$7:$J$102,$C$7:$C$102=G$112,$E$7:$E$102=1)/(ROUNDUP((FILTER(Info!$H$2:$"&amp;"H81,Info!$A$2:$A81=G$112)/FILTER(Info!$H$2:$H81,Info!$A$2:$A81=$K$2))*$I$2)))"),"")</f>
        <v/>
      </c>
      <c r="H118" s="96" t="str">
        <f>IFERROR(__xludf.DUMMYFUNCTION("IF(OR(H$117="""",H$117=""Tom tävling - lägg till grenar!"",,H$117=""Fyll först i kolumn R"",H$117=""Fyll först i kolumn S""),"""",
FILTER(Info!$H$2:$H81,Info!$A$2:$A81=H$112)*FILTER($J$7:$J$102,$C$7:$C$102=H$112,$E$7:$E$102=1)/(ROUNDUP((FILTER(Info!$H$2:$"&amp;"H81,Info!$A$2:$A81=H$112)/FILTER(Info!$H$2:$H81,Info!$A$2:$A81=$K$2))*$I$2)))"),"")</f>
        <v/>
      </c>
      <c r="I118" s="96" t="str">
        <f>IFERROR(__xludf.DUMMYFUNCTION("IF(OR(I$117="""",I$117=""Tom tävling - lägg till grenar!"",,I$117=""Fyll först i kolumn R"",I$117=""Fyll först i kolumn S""),"""",
FILTER(Info!$H$2:$H81,Info!$A$2:$A81=I$112)*FILTER($J$7:$J$102,$C$7:$C$102=I$112,$E$7:$E$102=1)/(ROUNDUP((FILTER(Info!$H$2:$"&amp;"H81,Info!$A$2:$A81=I$112)/FILTER(Info!$H$2:$H81,Info!$A$2:$A81=$K$2))*$I$2)))"),"")</f>
        <v/>
      </c>
      <c r="J118" s="96" t="str">
        <f>IFERROR(__xludf.DUMMYFUNCTION("IF(OR(J$117="""",J$117=""Tom tävling - lägg till grenar!"",,J$117=""Fyll först i kolumn R"",J$117=""Fyll först i kolumn S""),"""",
FILTER(Info!$H$2:$H81,Info!$A$2:$A81=J$112)*FILTER($J$7:$J$102,$C$7:$C$102=J$112,$E$7:$E$102=1)/(ROUNDUP((FILTER(Info!$H$2:$"&amp;"H81,Info!$A$2:$A81=J$112)/FILTER(Info!$H$2:$H81,Info!$A$2:$A81=$K$2))*$I$2)))"),"")</f>
        <v/>
      </c>
      <c r="K118" s="96" t="str">
        <f>IFERROR(__xludf.DUMMYFUNCTION("IF(OR(K$117="""",K$117=""Tom tävling - lägg till grenar!"",,K$117=""Fyll först i kolumn R"",K$117=""Fyll först i kolumn S""),"""",
FILTER(Info!$H$2:$H81,Info!$A$2:$A81=K$112)*FILTER($J$7:$J$102,$C$7:$C$102=K$112,$E$7:$E$102=1)/(ROUNDUP((FILTER(Info!$H$2:$"&amp;"H81,Info!$A$2:$A81=K$112)/FILTER(Info!$H$2:$H81,Info!$A$2:$A81=$K$2))*$I$2)))"),"")</f>
        <v/>
      </c>
      <c r="L118" s="96" t="str">
        <f>IFERROR(__xludf.DUMMYFUNCTION("IF(OR(L$117="""",L$117=""Tom tävling - lägg till grenar!"",,L$117=""Fyll först i kolumn R"",L$117=""Fyll först i kolumn S""),"""",
FILTER(Info!$H$2:$H81,Info!$A$2:$A81=L$112)*FILTER($J$7:$J$102,$C$7:$C$102=L$112,$E$7:$E$102=1)/(ROUNDUP((FILTER(Info!$H$2:$"&amp;"H81,Info!$A$2:$A81=L$112)/FILTER(Info!$H$2:$H81,Info!$A$2:$A81=$K$2))*$I$2)))"),"")</f>
        <v/>
      </c>
      <c r="M118" s="96" t="str">
        <f>IFERROR(__xludf.DUMMYFUNCTION("IF(OR(M$117="""",M$117=""Tom tävling - lägg till grenar!"",,M$117=""Fyll först i kolumn R"",M$117=""Fyll först i kolumn S""),"""",
FILTER(Info!$H$2:$H81,Info!$A$2:$A81=M$112)*FILTER($J$7:$J$102,$C$7:$C$102=M$112,$E$7:$E$102=1)/(ROUNDUP((FILTER(Info!$H$2:$"&amp;"H81,Info!$A$2:$A81=M$112)/FILTER(Info!$H$2:$H81,Info!$A$2:$A81=$K$2))*$I$2)))"),"")</f>
        <v/>
      </c>
      <c r="N118" s="96" t="str">
        <f>IFERROR(__xludf.DUMMYFUNCTION("IF(OR(N$117="""",N$117=""Tom tävling - lägg till grenar!"",,N$117=""Fyll först i kolumn R"",N$117=""Fyll först i kolumn S""),"""",
FILTER(Info!$H$2:$H81,Info!$A$2:$A81=N$112)*FILTER($J$7:$J$102,$C$7:$C$102=N$112,$E$7:$E$102=1)/(ROUNDUP((FILTER(Info!$H$2:$"&amp;"H81,Info!$A$2:$A81=N$112)/FILTER(Info!$H$2:$H81,Info!$A$2:$A81=$K$2))*$I$2)))"),"")</f>
        <v/>
      </c>
      <c r="O118" s="96" t="str">
        <f>IFERROR(__xludf.DUMMYFUNCTION("IF(OR(O$117="""",O$117=""Tom tävling - lägg till grenar!"",,O$117=""Fyll först i kolumn R"",O$117=""Fyll först i kolumn S""),"""",
FILTER(Info!$H$2:$H81,Info!$A$2:$A81=O$112)*FILTER($J$7:$J$102,$C$7:$C$102=O$112,$E$7:$E$102=1)/(ROUNDUP((FILTER(Info!$H$2:$"&amp;"H81,Info!$A$2:$A81=O$112)/FILTER(Info!$H$2:$H81,Info!$A$2:$A81=$K$2))*$I$2)))"),"")</f>
        <v/>
      </c>
      <c r="P118" s="96" t="str">
        <f>IFERROR(__xludf.DUMMYFUNCTION("IF(OR(P$117="""",P$117=""Tom tävling - lägg till grenar!"",,P$117=""Fyll först i kolumn R"",P$117=""Fyll först i kolumn S""),"""",
FILTER(Info!$H$2:$H81,Info!$A$2:$A81=P$112)*FILTER($J$7:$J$102,$C$7:$C$102=P$112,$E$7:$E$102=1)/(ROUNDUP((FILTER(Info!$H$2:$"&amp;"H81,Info!$A$2:$A81=P$112)/FILTER(Info!$H$2:$H81,Info!$A$2:$A81=$K$2))*$I$2)))"),"")</f>
        <v/>
      </c>
      <c r="Q118" s="96" t="str">
        <f>IFERROR(__xludf.DUMMYFUNCTION("IF(OR(Q$117="""",Q$117=""Tom tävling - lägg till grenar!"",,Q$117=""Fyll först i kolumn R"",Q$117=""Fyll först i kolumn S""),"""",
FILTER(Info!$H$2:$H81,Info!$A$2:$A81=Q$112)*FILTER($J$7:$J$102,$C$7:$C$102=Q$112,$E$7:$E$102=1)/(ROUNDUP((FILTER(Info!$H$2:$"&amp;"H81,Info!$A$2:$A81=Q$112)/FILTER(Info!$H$2:$H81,Info!$A$2:$A81=$K$2))*$I$2)))"),"")</f>
        <v/>
      </c>
      <c r="R118" s="96" t="str">
        <f>IFERROR(__xludf.DUMMYFUNCTION("IF(OR(R$117="""",R$117=""Tom tävling - lägg till grenar!"",,R$117=""Fyll först i kolumn R"",R$117=""Fyll först i kolumn S""),"""",
FILTER(Info!$H$2:$H81,Info!$A$2:$A81=R$112)*FILTER($J$7:$J$102,$C$7:$C$102=R$112,$E$7:$E$102=1)/(ROUNDUP((FILTER(Info!$H$2:$"&amp;"H81,Info!$A$2:$A81=R$112)/FILTER(Info!$H$2:$H81,Info!$A$2:$A81=$K$2))*$I$2)))"),"")</f>
        <v/>
      </c>
      <c r="S118" s="96" t="str">
        <f>IFERROR(__xludf.DUMMYFUNCTION("IF(OR(S$117="""",S$117=""Tom tävling - lägg till grenar!"",,S$117=""Fyll först i kolumn R"",S$117=""Fyll först i kolumn S""),"""",
FILTER(Info!$H$2:$H81,Info!$A$2:$A81=S$112)*FILTER($J$7:$J$102,$C$7:$C$102=S$112,$E$7:$E$102=1)/(ROUNDUP((FILTER(Info!$H$2:$"&amp;"H81,Info!$A$2:$A81=S$112)/FILTER(Info!$H$2:$H81,Info!$A$2:$A81=$K$2))*$I$2)))"),"")</f>
        <v/>
      </c>
      <c r="T118" s="96" t="str">
        <f>IFERROR(__xludf.DUMMYFUNCTION("IF(OR(T$117="""",T$117=""Tom tävling - lägg till grenar!"",,T$117=""Fyll först i kolumn R"",T$117=""Fyll först i kolumn S""),"""",
FILTER(Info!$H$2:$H81,Info!$A$2:$A81=T$112)*FILTER($J$7:$J$102,$C$7:$C$102=T$112,$E$7:$E$102=1)/(ROUNDUP((FILTER(Info!$H$2:$"&amp;"H81,Info!$A$2:$A81=T$112)/FILTER(Info!$H$2:$H81,Info!$A$2:$A81=$K$2))*$I$2)))"),"")</f>
        <v/>
      </c>
      <c r="U118" s="96" t="str">
        <f>IFERROR(__xludf.DUMMYFUNCTION("IF(OR(U$117="""",U$117=""Tom tävling - lägg till grenar!"",,U$117=""Fyll först i kolumn R"",U$117=""Fyll först i kolumn S""),"""",
FILTER(Info!$H$2:$H81,Info!$A$2:$A81=U$112)*FILTER($J$7:$J$102,$C$7:$C$102=U$112,$E$7:$E$102=1)/(ROUNDUP((FILTER(Info!$H$2:$"&amp;"H81,Info!$A$2:$A81=U$112)/FILTER(Info!$H$2:$H81,Info!$A$2:$A81=$K$2))*$I$2)))"),"")</f>
        <v/>
      </c>
      <c r="V118" s="90"/>
      <c r="W118" s="90"/>
      <c r="X118" s="90"/>
      <c r="Y118" s="90"/>
      <c r="Z118" s="90"/>
      <c r="AA118" s="90"/>
      <c r="AB118" s="90"/>
    </row>
    <row r="119" ht="15.75" customHeight="1">
      <c r="A119" s="86" t="s">
        <v>115</v>
      </c>
      <c r="B119" s="24"/>
      <c r="C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SUMIFS($L$7:$L$102,$C$7:$C$102,C$112,$I$7:$I$102,""&gt;0"")=0,"""",
FILTER($S$7:$S$102,$C$7:$C$102=C$112,$E$7:$E$102=1)/FILTER($K$7:$K$102,$C$7:$C$102=C$112,$E$7:$E$102=1)&gt;=1,
MROUND((FILTER($S$7:$S$102,"&amp;"$C$7:$C$102=C$112,$E$7:$E$102=1)/FILTER($K$7:$K$102,$C$7:$C$102=C$112,$E$7:$E$102=1)-1)*100,0.01),
TRUE,-MROUND((1-(FILTER($S$7:$S$102,$C$7:$C$102=C$112,$E$7:$E$102=1)/FILTER($K$7:$K$102,$C$7:$C$102=C$112,$E$7:$E$102=1)))*100,0.01))"),"Tom tävling - lägg till grenar!")</f>
        <v>Tom tävling - lägg till grenar!</v>
      </c>
      <c r="D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SUMIFS($L$7:$L$102,$C$7:$C$102,D$112,$I$7:$I$102,""&gt;0"")=0,"""",
FILTER($S$7:$S$102,$C$7:$C$102=D$112,$E$7:$E$102=1)/FILTER($K$7:$K$102,$C$7:$C$102=D$112,$E$7:$E$102=1)&gt;=1,
MROUND((FILTER($S$7:$S$102,"&amp;"$C$7:$C$102=D$112,$E$7:$E$102=1)/FILTER($K$7:$K$102,$C$7:$C$102=D$112,$E$7:$E$102=1)-1)*100,0.01),
TRUE,-MROUND((1-(FILTER($S$7:$S$102,$C$7:$C$102=D$112,$E$7:$E$102=1)/FILTER($K$7:$K$102,$C$7:$C$102=D$112,$E$7:$E$102=1)))*100,0.01))"),"Tom tävling - lägg till grenar!")</f>
        <v>Tom tävling - lägg till grenar!</v>
      </c>
      <c r="E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SUMIFS($L$7:$L$102,$C$7:$C$102,E$112,$I$7:$I$102,""&gt;0"")=0,"""",
FILTER($S$7:$S$102,$C$7:$C$102=E$112,$E$7:$E$102=1)/FILTER($K$7:$K$102,$C$7:$C$102=E$112,$E$7:$E$102=1)&gt;=1,
MROUND((FILTER($S$7:$S$102,"&amp;"$C$7:$C$102=E$112,$E$7:$E$102=1)/FILTER($K$7:$K$102,$C$7:$C$102=E$112,$E$7:$E$102=1)-1)*100,0.01),
TRUE,-MROUND((1-(FILTER($S$7:$S$102,$C$7:$C$102=E$112,$E$7:$E$102=1)/FILTER($K$7:$K$102,$C$7:$C$102=E$112,$E$7:$E$102=1)))*100,0.01))"),"Tom tävling - lägg till grenar!")</f>
        <v>Tom tävling - lägg till grenar!</v>
      </c>
      <c r="F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SUMIFS($L$7:$L$102,$C$7:$C$102,F$112,$I$7:$I$102,""&gt;0"")=0,"""",
FILTER($S$7:$S$102,$C$7:$C$102=F$112,$E$7:$E$102=1)/FILTER($K$7:$K$102,$C$7:$C$102=F$112,$E$7:$E$102=1)&gt;=1,
MROUND((FILTER($S$7:$S$102,"&amp;"$C$7:$C$102=F$112,$E$7:$E$102=1)/FILTER($K$7:$K$102,$C$7:$C$102=F$112,$E$7:$E$102=1)-1)*100,0.01),
TRUE,-MROUND((1-(FILTER($S$7:$S$102,$C$7:$C$102=F$112,$E$7:$E$102=1)/FILTER($K$7:$K$102,$C$7:$C$102=F$112,$E$7:$E$102=1)))*100,0.01))"),"Tom tävling - lägg till grenar!")</f>
        <v>Tom tävling - lägg till grenar!</v>
      </c>
      <c r="G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SUMIFS($L$7:$L$102,$C$7:$C$102,G$112,$I$7:$I$102,""&gt;0"")=0,"""",
FILTER($S$7:$S$102,$C$7:$C$102=G$112,$E$7:$E$102=1)/FILTER($K$7:$K$102,$C$7:$C$102=G$112,$E$7:$E$102=1)&gt;=1,
MROUND((FILTER($S$7:$S$102,"&amp;"$C$7:$C$102=G$112,$E$7:$E$102=1)/FILTER($K$7:$K$102,$C$7:$C$102=G$112,$E$7:$E$102=1)-1)*100,0.01),
TRUE,-MROUND((1-(FILTER($S$7:$S$102,$C$7:$C$102=G$112,$E$7:$E$102=1)/FILTER($K$7:$K$102,$C$7:$C$102=G$112,$E$7:$E$102=1)))*100,0.01))"),"Tom tävling - lägg till grenar!")</f>
        <v>Tom tävling - lägg till grenar!</v>
      </c>
      <c r="H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SUMIFS($L$7:$L$102,$C$7:$C$102,H$112,$I$7:$I$102,""&gt;0"")=0,"""",
FILTER($S$7:$S$102,$C$7:$C$102=H$112,$E$7:$E$102=1)/FILTER($K$7:$K$102,$C$7:$C$102=H$112,$E$7:$E$102=1)&gt;=1,
MROUND((FILTER($S$7:$S$102,"&amp;"$C$7:$C$102=H$112,$E$7:$E$102=1)/FILTER($K$7:$K$102,$C$7:$C$102=H$112,$E$7:$E$102=1)-1)*100,0.01),
TRUE,-MROUND((1-(FILTER($S$7:$S$102,$C$7:$C$102=H$112,$E$7:$E$102=1)/FILTER($K$7:$K$102,$C$7:$C$102=H$112,$E$7:$E$102=1)))*100,0.01))"),"Tom tävling - lägg till grenar!")</f>
        <v>Tom tävling - lägg till grenar!</v>
      </c>
      <c r="I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SUMIFS($L$7:$L$102,$C$7:$C$102,I$112,$I$7:$I$102,""&gt;0"")=0,"""",
FILTER($S$7:$S$102,$C$7:$C$102=I$112,$E$7:$E$102=1)/FILTER($K$7:$K$102,$C$7:$C$102=I$112,$E$7:$E$102=1)&gt;=1,
MROUND((FILTER($S$7:$S$102,"&amp;"$C$7:$C$102=I$112,$E$7:$E$102=1)/FILTER($K$7:$K$102,$C$7:$C$102=I$112,$E$7:$E$102=1)-1)*100,0.01),
TRUE,-MROUND((1-(FILTER($S$7:$S$102,$C$7:$C$102=I$112,$E$7:$E$102=1)/FILTER($K$7:$K$102,$C$7:$C$102=I$112,$E$7:$E$102=1)))*100,0.01))"),"Tom tävling - lägg till grenar!")</f>
        <v>Tom tävling - lägg till grenar!</v>
      </c>
      <c r="J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SUMIFS($L$7:$L$102,$C$7:$C$102,J$112,$I$7:$I$102,""&gt;0"")=0,"""",
FILTER($S$7:$S$102,$C$7:$C$102=J$112,$E$7:$E$102=1)/FILTER($K$7:$K$102,$C$7:$C$102=J$112,$E$7:$E$102=1)&gt;=1,
MROUND((FILTER($S$7:$S$102,"&amp;"$C$7:$C$102=J$112,$E$7:$E$102=1)/FILTER($K$7:$K$102,$C$7:$C$102=J$112,$E$7:$E$102=1)-1)*100,0.01),
TRUE,-MROUND((1-(FILTER($S$7:$S$102,$C$7:$C$102=J$112,$E$7:$E$102=1)/FILTER($K$7:$K$102,$C$7:$C$102=J$112,$E$7:$E$102=1)))*100,0.01))"),"Tom tävling - lägg till grenar!")</f>
        <v>Tom tävling - lägg till grenar!</v>
      </c>
      <c r="K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SUMIFS($L$7:$L$102,$C$7:$C$102,K$112,$I$7:$I$102,""&gt;0"")=0,"""",
FILTER($S$7:$S$102,$C$7:$C$102=K$112,$E$7:$E$102=1)/FILTER($K$7:$K$102,$C$7:$C$102=K$112,$E$7:$E$102=1)&gt;=1,
MROUND((FILTER($S$7:$S$102,"&amp;"$C$7:$C$102=K$112,$E$7:$E$102=1)/FILTER($K$7:$K$102,$C$7:$C$102=K$112,$E$7:$E$102=1)-1)*100,0.01),
TRUE,-MROUND((1-(FILTER($S$7:$S$102,$C$7:$C$102=K$112,$E$7:$E$102=1)/FILTER($K$7:$K$102,$C$7:$C$102=K$112,$E$7:$E$102=1)))*100,0.01))"),"Tom tävling - lägg till grenar!")</f>
        <v>Tom tävling - lägg till grenar!</v>
      </c>
      <c r="L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SUMIFS($L$7:$L$102,$C$7:$C$102,L$112,$I$7:$I$102,""&gt;0"")=0,"""",
FILTER($S$7:$S$102,$C$7:$C$102=L$112,$E$7:$E$102=1)/FILTER($K$7:$K$102,$C$7:$C$102=L$112,$E$7:$E$102=1)&gt;=1,
MROUND((FILTER($S$7:$S$102,"&amp;"$C$7:$C$102=L$112,$E$7:$E$102=1)/FILTER($K$7:$K$102,$C$7:$C$102=L$112,$E$7:$E$102=1)-1)*100,0.01),
TRUE,-MROUND((1-(FILTER($S$7:$S$102,$C$7:$C$102=L$112,$E$7:$E$102=1)/FILTER($K$7:$K$102,$C$7:$C$102=L$112,$E$7:$E$102=1)))*100,0.01))"),"Tom tävling - lägg till grenar!")</f>
        <v>Tom tävling - lägg till grenar!</v>
      </c>
      <c r="M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SUMIFS($L$7:$L$102,$C$7:$C$102,M$112,$I$7:$I$102,""&gt;0"")=0,"""",
FILTER($S$7:$S$102,$C$7:$C$102=M$112,$E$7:$E$102=1)/FILTER($K$7:$K$102,$C$7:$C$102=M$112,$E$7:$E$102=1)&gt;=1,
MROUND((FILTER($S$7:$S$102,"&amp;"$C$7:$C$102=M$112,$E$7:$E$102=1)/FILTER($K$7:$K$102,$C$7:$C$102=M$112,$E$7:$E$102=1)-1)*100,0.01),
TRUE,-MROUND((1-(FILTER($S$7:$S$102,$C$7:$C$102=M$112,$E$7:$E$102=1)/FILTER($K$7:$K$102,$C$7:$C$102=M$112,$E$7:$E$102=1)))*100,0.01))"),"Tom tävling - lägg till grenar!")</f>
        <v>Tom tävling - lägg till grenar!</v>
      </c>
      <c r="N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SUMIFS($L$7:$L$102,$C$7:$C$102,N$112,$I$7:$I$102,""&gt;0"")=0,"""",
FILTER($S$7:$S$102,$C$7:$C$102=N$112,$E$7:$E$102=1)/FILTER($K$7:$K$102,$C$7:$C$102=N$112,$E$7:$E$102=1)&gt;=1,
MROUND((FILTER($S$7:$S$102,"&amp;"$C$7:$C$102=N$112,$E$7:$E$102=1)/FILTER($K$7:$K$102,$C$7:$C$102=N$112,$E$7:$E$102=1)-1)*100,0.01),
TRUE,-MROUND((1-(FILTER($S$7:$S$102,$C$7:$C$102=N$112,$E$7:$E$102=1)/FILTER($K$7:$K$102,$C$7:$C$102=N$112,$E$7:$E$102=1)))*100,0.01))"),"Tom tävling - lägg till grenar!")</f>
        <v>Tom tävling - lägg till grenar!</v>
      </c>
      <c r="O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SUMIFS($L$7:$L$102,$C$7:$C$102,O$112,$I$7:$I$102,""&gt;0"")=0,"""",
FILTER($S$7:$S$102,$C$7:$C$102=O$112,$E$7:$E$102=1)/FILTER($K$7:$K$102,$C$7:$C$102=O$112,$E$7:$E$102=1)&gt;=1,
MROUND((FILTER($S$7:$S$102,"&amp;"$C$7:$C$102=O$112,$E$7:$E$102=1)/FILTER($K$7:$K$102,$C$7:$C$102=O$112,$E$7:$E$102=1)-1)*100,0.01),
TRUE,-MROUND((1-(FILTER($S$7:$S$102,$C$7:$C$102=O$112,$E$7:$E$102=1)/FILTER($K$7:$K$102,$C$7:$C$102=O$112,$E$7:$E$102=1)))*100,0.01))"),"Tom tävling - lägg till grenar!")</f>
        <v>Tom tävling - lägg till grenar!</v>
      </c>
      <c r="P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SUMIFS($L$7:$L$102,$C$7:$C$102,P$112,$I$7:$I$102,""&gt;0"")=0,"""",
FILTER($S$7:$S$102,$C$7:$C$102=P$112,$E$7:$E$102=1)/FILTER($K$7:$K$102,$C$7:$C$102=P$112,$E$7:$E$102=1)&gt;=1,
MROUND((FILTER($S$7:$S$102,"&amp;"$C$7:$C$102=P$112,$E$7:$E$102=1)/FILTER($K$7:$K$102,$C$7:$C$102=P$112,$E$7:$E$102=1)-1)*100,0.01),
TRUE,-MROUND((1-(FILTER($S$7:$S$102,$C$7:$C$102=P$112,$E$7:$E$102=1)/FILTER($K$7:$K$102,$C$7:$C$102=P$112,$E$7:$E$102=1)))*100,0.01))"),"Tom tävling - lägg till grenar!")</f>
        <v>Tom tävling - lägg till grenar!</v>
      </c>
      <c r="Q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SUMIFS($L$7:$L$102,$C$7:$C$102,Q$112,$I$7:$I$102,""&gt;0"")=0,"""",
FILTER($S$7:$S$102,$C$7:$C$102=Q$112,$E$7:$E$102=1)/FILTER($K$7:$K$102,$C$7:$C$102=Q$112,$E$7:$E$102=1)&gt;=1,
MROUND((FILTER($S$7:$S$102,"&amp;"$C$7:$C$102=Q$112,$E$7:$E$102=1)/FILTER($K$7:$K$102,$C$7:$C$102=Q$112,$E$7:$E$102=1)-1)*100,0.01),
TRUE,-MROUND((1-(FILTER($S$7:$S$102,$C$7:$C$102=Q$112,$E$7:$E$102=1)/FILTER($K$7:$K$102,$C$7:$C$102=Q$112,$E$7:$E$102=1)))*100,0.01))"),"Tom tävling - lägg till grenar!")</f>
        <v>Tom tävling - lägg till grenar!</v>
      </c>
      <c r="R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SUMIFS($L$7:$L$102,$C$7:$C$102,R$112,$I$7:$I$102,""&gt;0"")=0,"""",
FILTER($S$7:$S$102,$C$7:$C$102=R$112,$E$7:$E$102=1)/FILTER($K$7:$K$102,$C$7:$C$102=R$112,$E$7:$E$102=1)&gt;=1,
MROUND((FILTER($S$7:$S$102,"&amp;"$C$7:$C$102=R$112,$E$7:$E$102=1)/FILTER($K$7:$K$102,$C$7:$C$102=R$112,$E$7:$E$102=1)-1)*100,0.01),
TRUE,-MROUND((1-(FILTER($S$7:$S$102,$C$7:$C$102=R$112,$E$7:$E$102=1)/FILTER($K$7:$K$102,$C$7:$C$102=R$112,$E$7:$E$102=1)))*100,0.01))"),"Tom tävling - lägg till grenar!")</f>
        <v>Tom tävling - lägg till grenar!</v>
      </c>
      <c r="S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SUMIFS($L$7:$L$102,$C$7:$C$102,S$112,$I$7:$I$102,""&gt;0"")=0,"""",
FILTER($S$7:$S$102,$C$7:$C$102=S$112,$E$7:$E$102=1)/FILTER($K$7:$K$102,$C$7:$C$102=S$112,$E$7:$E$102=1)&gt;=1,
MROUND((FILTER($S$7:$S$102,"&amp;"$C$7:$C$102=S$112,$E$7:$E$102=1)/FILTER($K$7:$K$102,$C$7:$C$102=S$112,$E$7:$E$102=1)-1)*100,0.01),
TRUE,-MROUND((1-(FILTER($S$7:$S$102,$C$7:$C$102=S$112,$E$7:$E$102=1)/FILTER($K$7:$K$102,$C$7:$C$102=S$112,$E$7:$E$102=1)))*100,0.01))"),"Tom tävling - lägg till grenar!")</f>
        <v>Tom tävling - lägg till grenar!</v>
      </c>
      <c r="T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SUMIFS($L$7:$L$102,$C$7:$C$102,T$112,$I$7:$I$102,""&gt;0"")=0,"""",
FILTER($S$7:$S$102,$C$7:$C$102=T$112,$E$7:$E$102=1)/FILTER($K$7:$K$102,$C$7:$C$102=T$112,$E$7:$E$102=1)&gt;=1,
MROUND((FILTER($S$7:$S$102,"&amp;"$C$7:$C$102=T$112,$E$7:$E$102=1)/FILTER($K$7:$K$102,$C$7:$C$102=T$112,$E$7:$E$102=1)-1)*100,0.01),
TRUE,-MROUND((1-(FILTER($S$7:$S$102,$C$7:$C$102=T$112,$E$7:$E$102=1)/FILTER($K$7:$K$102,$C$7:$C$102=T$112,$E$7:$E$102=1)))*100,0.01))"),"Tom tävling - lägg till grenar!")</f>
        <v>Tom tävling - lägg till grenar!</v>
      </c>
      <c r="U119"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SUMIFS($L$7:$L$102,$C$7:$C$102,U$112,$I$7:$I$102,""&gt;0"")=0,"""",
FILTER($S$7:$S$102,$C$7:$C$102=U$112,$E$7:$E$102=1)/FILTER($K$7:$K$102,$C$7:$C$102=U$112,$E$7:$E$102=1)&gt;=1,
MROUND((FILTER($S$7:$S$102,"&amp;"$C$7:$C$102=U$112,$E$7:$E$102=1)/FILTER($K$7:$K$102,$C$7:$C$102=U$112,$E$7:$E$102=1)-1)*100,0.01),
TRUE,-MROUND((1-(FILTER($S$7:$S$102,$C$7:$C$102=U$112,$E$7:$E$102=1)/FILTER($K$7:$K$102,$C$7:$C$102=U$112,$E$7:$E$102=1)))*100,0.01))"),"Tom tävling - lägg till grenar!")</f>
        <v>Tom tävling - lägg till grenar!</v>
      </c>
      <c r="V119" s="90"/>
      <c r="W119" s="90"/>
      <c r="X119" s="90"/>
      <c r="Y119" s="90"/>
      <c r="Z119" s="90"/>
      <c r="AA119" s="90"/>
      <c r="AB119" s="90"/>
    </row>
    <row r="120" ht="15.75" customHeight="1">
      <c r="A120" s="86" t="s">
        <v>116</v>
      </c>
      <c r="B120" s="24"/>
      <c r="C120" s="96" t="str">
        <f>IFERROR(__xludf.DUMMYFUNCTION("IF(OR(C$119="""",C$119=""Tom tävling - lägg till grenar!"",C$119=""Fyll först i kolumn R"",C$119=""Fyll först i kolumn S""),"""",
(FILTER($K$7:$K$102,$C$7:$C102=C$112,$E$7:$E102=1)/FILTER($J$7:$J$102,$C$7:$C102=C$112,$E$7:$E102=1))*FILTER($S$7:$S$102,$C$7"&amp;":$C$102=C$112,$E$7:$E$102=1)/FILTER($K$7:$K$102,$C$7:$C$102=C$112,$E$7:$E$102=1))"),"")</f>
        <v/>
      </c>
      <c r="D120" s="96" t="str">
        <f>IFERROR(__xludf.DUMMYFUNCTION("IF(OR(D$119="""",D$119=""Tom tävling - lägg till grenar!"",D$119=""Fyll först i kolumn R"",D$119=""Fyll först i kolumn S""),"""",
(FILTER($K$7:$K$102,$C$7:$C102=D$112,$E$7:$E102=1)/FILTER($J$7:$J$102,$C$7:$C102=D$112,$E$7:$E102=1))*FILTER($S$7:$S$102,$C$7"&amp;":$C$102=D$112,$E$7:$E$102=1)/FILTER($K$7:$K$102,$C$7:$C$102=D$112,$E$7:$E$102=1))"),"")</f>
        <v/>
      </c>
      <c r="E120" s="96" t="str">
        <f>IFERROR(__xludf.DUMMYFUNCTION("IF(OR(E$119="""",E$119=""Tom tävling - lägg till grenar!"",E$119=""Fyll först i kolumn R"",E$119=""Fyll först i kolumn S""),"""",
(FILTER($K$7:$K$102,$C$7:$C102=E$112,$E$7:$E102=1)/FILTER($J$7:$J$102,$C$7:$C102=E$112,$E$7:$E102=1))*FILTER($S$7:$S$102,$C$7"&amp;":$C$102=E$112,$E$7:$E$102=1)/FILTER($K$7:$K$102,$C$7:$C$102=E$112,$E$7:$E$102=1))"),"")</f>
        <v/>
      </c>
      <c r="F120" s="96" t="str">
        <f>IFERROR(__xludf.DUMMYFUNCTION("IF(OR(F$119="""",F$119=""Tom tävling - lägg till grenar!"",F$119=""Fyll först i kolumn R"",F$119=""Fyll först i kolumn S""),"""",
(FILTER($K$7:$K$102,$C$7:$C102=F$112,$E$7:$E102=1)/FILTER($J$7:$J$102,$C$7:$C102=F$112,$E$7:$E102=1))*FILTER($S$7:$S$102,$C$7"&amp;":$C$102=F$112,$E$7:$E$102=1)/FILTER($K$7:$K$102,$C$7:$C$102=F$112,$E$7:$E$102=1))"),"")</f>
        <v/>
      </c>
      <c r="G120" s="96" t="str">
        <f>IFERROR(__xludf.DUMMYFUNCTION("IF(OR(G$119="""",G$119=""Tom tävling - lägg till grenar!"",G$119=""Fyll först i kolumn R"",G$119=""Fyll först i kolumn S""),"""",
(FILTER($K$7:$K$102,$C$7:$C102=G$112,$E$7:$E102=1)/FILTER($J$7:$J$102,$C$7:$C102=G$112,$E$7:$E102=1))*FILTER($S$7:$S$102,$C$7"&amp;":$C$102=G$112,$E$7:$E$102=1)/FILTER($K$7:$K$102,$C$7:$C$102=G$112,$E$7:$E$102=1))"),"")</f>
        <v/>
      </c>
      <c r="H120" s="96" t="str">
        <f>IFERROR(__xludf.DUMMYFUNCTION("IF(OR(H$119="""",H$119=""Tom tävling - lägg till grenar!"",H$119=""Fyll först i kolumn R"",H$119=""Fyll först i kolumn S""),"""",
(FILTER($K$7:$K$102,$C$7:$C102=H$112,$E$7:$E102=1)/FILTER($J$7:$J$102,$C$7:$C102=H$112,$E$7:$E102=1))*FILTER($S$7:$S$102,$C$7"&amp;":$C$102=H$112,$E$7:$E$102=1)/FILTER($K$7:$K$102,$C$7:$C$102=H$112,$E$7:$E$102=1))"),"")</f>
        <v/>
      </c>
      <c r="I120" s="96" t="str">
        <f>IFERROR(__xludf.DUMMYFUNCTION("IF(OR(I$119="""",I$119=""Tom tävling - lägg till grenar!"",I$119=""Fyll först i kolumn R"",I$119=""Fyll först i kolumn S""),"""",
(FILTER($K$7:$K$102,$C$7:$C102=I$112,$E$7:$E102=1)/FILTER($J$7:$J$102,$C$7:$C102=I$112,$E$7:$E102=1))*FILTER($S$7:$S$102,$C$7"&amp;":$C$102=I$112,$E$7:$E$102=1)/FILTER($K$7:$K$102,$C$7:$C$102=I$112,$E$7:$E$102=1))"),"")</f>
        <v/>
      </c>
      <c r="J120" s="96" t="str">
        <f>IFERROR(__xludf.DUMMYFUNCTION("IF(OR(J$119="""",J$119=""Tom tävling - lägg till grenar!"",J$119=""Fyll först i kolumn R"",J$119=""Fyll först i kolumn S""),"""",
(FILTER($K$7:$K$102,$C$7:$C102=J$112,$E$7:$E102=1)/FILTER($J$7:$J$102,$C$7:$C102=J$112,$E$7:$E102=1))*FILTER($S$7:$S$102,$C$7"&amp;":$C$102=J$112,$E$7:$E$102=1)/FILTER($K$7:$K$102,$C$7:$C$102=J$112,$E$7:$E$102=1))"),"")</f>
        <v/>
      </c>
      <c r="K120" s="96" t="str">
        <f>IFERROR(__xludf.DUMMYFUNCTION("IF(OR(K$119="""",K$119=""Tom tävling - lägg till grenar!"",K$119=""Fyll först i kolumn R"",K$119=""Fyll först i kolumn S""),"""",
(FILTER($K$7:$K$102,$C$7:$C102=K$112,$E$7:$E102=1)/FILTER($J$7:$J$102,$C$7:$C102=K$112,$E$7:$E102=1))*FILTER($S$7:$S$102,$C$7"&amp;":$C$102=K$112,$E$7:$E$102=1)/FILTER($K$7:$K$102,$C$7:$C$102=K$112,$E$7:$E$102=1))"),"")</f>
        <v/>
      </c>
      <c r="L120" s="96" t="str">
        <f>IFERROR(__xludf.DUMMYFUNCTION("IF(OR(L$119="""",L$119=""Tom tävling - lägg till grenar!"",L$119=""Fyll först i kolumn R"",L$119=""Fyll först i kolumn S""),"""",
(FILTER($K$7:$K$102,$C$7:$C102=L$112,$E$7:$E102=1)/FILTER($J$7:$J$102,$C$7:$C102=L$112,$E$7:$E102=1))*FILTER($S$7:$S$102,$C$7"&amp;":$C$102=L$112,$E$7:$E$102=1)/FILTER($K$7:$K$102,$C$7:$C$102=L$112,$E$7:$E$102=1))"),"")</f>
        <v/>
      </c>
      <c r="M120" s="96" t="str">
        <f>IFERROR(__xludf.DUMMYFUNCTION("IF(OR(M$119="""",M$119=""Tom tävling - lägg till grenar!"",M$119=""Fyll först i kolumn R"",M$119=""Fyll först i kolumn S""),"""",
(FILTER($K$7:$K$102,$C$7:$C102=M$112,$E$7:$E102=1)/FILTER($J$7:$J$102,$C$7:$C102=M$112,$E$7:$E102=1))*FILTER($S$7:$S$102,$C$7"&amp;":$C$102=M$112,$E$7:$E$102=1)/FILTER($K$7:$K$102,$C$7:$C$102=M$112,$E$7:$E$102=1))"),"")</f>
        <v/>
      </c>
      <c r="N120" s="96" t="str">
        <f>IFERROR(__xludf.DUMMYFUNCTION("IF(OR(N$119="""",N$119=""Tom tävling - lägg till grenar!"",N$119=""Fyll först i kolumn R"",N$119=""Fyll först i kolumn S""),"""",
(FILTER($K$7:$K$102,$C$7:$C102=N$112,$E$7:$E102=1)/FILTER($J$7:$J$102,$C$7:$C102=N$112,$E$7:$E102=1))*FILTER($S$7:$S$102,$C$7"&amp;":$C$102=N$112,$E$7:$E$102=1)/FILTER($K$7:$K$102,$C$7:$C$102=N$112,$E$7:$E$102=1))"),"")</f>
        <v/>
      </c>
      <c r="O120" s="96" t="str">
        <f>IFERROR(__xludf.DUMMYFUNCTION("IF(OR(O$119="""",O$119=""Tom tävling - lägg till grenar!"",O$119=""Fyll först i kolumn R"",O$119=""Fyll först i kolumn S""),"""",
(FILTER($K$7:$K$102,$C$7:$C102=O$112,$E$7:$E102=1)/FILTER($J$7:$J$102,$C$7:$C102=O$112,$E$7:$E102=1))*FILTER($S$7:$S$102,$C$7"&amp;":$C$102=O$112,$E$7:$E$102=1)/FILTER($K$7:$K$102,$C$7:$C$102=O$112,$E$7:$E$102=1))"),"")</f>
        <v/>
      </c>
      <c r="P120" s="96" t="str">
        <f>IFERROR(__xludf.DUMMYFUNCTION("IF(OR(P$119="""",P$119=""Tom tävling - lägg till grenar!"",P$119=""Fyll först i kolumn R"",P$119=""Fyll först i kolumn S""),"""",
(FILTER($K$7:$K$102,$C$7:$C102=P$112,$E$7:$E102=1)/FILTER($J$7:$J$102,$C$7:$C102=P$112,$E$7:$E102=1))*FILTER($S$7:$S$102,$C$7"&amp;":$C$102=P$112,$E$7:$E$102=1)/FILTER($K$7:$K$102,$C$7:$C$102=P$112,$E$7:$E$102=1))"),"")</f>
        <v/>
      </c>
      <c r="Q120" s="96" t="str">
        <f>IFERROR(__xludf.DUMMYFUNCTION("IF(OR(Q$119="""",Q$119=""Tom tävling - lägg till grenar!"",Q$119=""Fyll först i kolumn R"",Q$119=""Fyll först i kolumn S""),"""",
(FILTER($K$7:$K$102,$C$7:$C102=Q$112,$E$7:$E102=1)/FILTER($J$7:$J$102,$C$7:$C102=Q$112,$E$7:$E102=1))*FILTER($S$7:$S$102,$C$7"&amp;":$C$102=Q$112,$E$7:$E$102=1)/FILTER($K$7:$K$102,$C$7:$C$102=Q$112,$E$7:$E$102=1))"),"")</f>
        <v/>
      </c>
      <c r="R120" s="96" t="str">
        <f>IFERROR(__xludf.DUMMYFUNCTION("IF(OR(R$119="""",R$119=""Tom tävling - lägg till grenar!"",R$119=""Fyll först i kolumn R"",R$119=""Fyll först i kolumn S""),"""",
(FILTER($K$7:$K$102,$C$7:$C102=R$112,$E$7:$E102=1)/FILTER($J$7:$J$102,$C$7:$C102=R$112,$E$7:$E102=1))*FILTER($S$7:$S$102,$C$7"&amp;":$C$102=R$112,$E$7:$E$102=1)/FILTER($K$7:$K$102,$C$7:$C$102=R$112,$E$7:$E$102=1))"),"")</f>
        <v/>
      </c>
      <c r="S120" s="96" t="str">
        <f>IFERROR(__xludf.DUMMYFUNCTION("IF(OR(S$119="""",S$119=""Tom tävling - lägg till grenar!"",S$119=""Fyll först i kolumn R"",S$119=""Fyll först i kolumn S""),"""",
(FILTER($K$7:$K$102,$C$7:$C102=S$112,$E$7:$E102=1)/FILTER($J$7:$J$102,$C$7:$C102=S$112,$E$7:$E102=1))*FILTER($S$7:$S$102,$C$7"&amp;":$C$102=S$112,$E$7:$E$102=1)/FILTER($K$7:$K$102,$C$7:$C$102=S$112,$E$7:$E$102=1))"),"")</f>
        <v/>
      </c>
      <c r="T120" s="96" t="str">
        <f>IFERROR(__xludf.DUMMYFUNCTION("IF(OR(T$119="""",T$119=""Tom tävling - lägg till grenar!"",T$119=""Fyll först i kolumn R"",T$119=""Fyll först i kolumn S""),"""",
(FILTER($K$7:$K$102,$C$7:$C102=T$112,$E$7:$E102=1)/FILTER($J$7:$J$102,$C$7:$C102=T$112,$E$7:$E102=1))*FILTER($S$7:$S$102,$C$7"&amp;":$C$102=T$112,$E$7:$E$102=1)/FILTER($K$7:$K$102,$C$7:$C$102=T$112,$E$7:$E$102=1))"),"")</f>
        <v/>
      </c>
      <c r="U120" s="96" t="str">
        <f>IFERROR(__xludf.DUMMYFUNCTION("IF(OR(U$119="""",U$119=""Tom tävling - lägg till grenar!"",U$119=""Fyll först i kolumn R"",U$119=""Fyll först i kolumn S""),"""",
(FILTER($K$7:$K$102,$C$7:$C102=U$112,$E$7:$E102=1)/FILTER($J$7:$J$102,$C$7:$C102=U$112,$E$7:$E102=1))*FILTER($S$7:$S$102,$C$7"&amp;":$C$102=U$112,$E$7:$E$102=1)/FILTER($K$7:$K$102,$C$7:$C$102=U$112,$E$7:$E$102=1))"),"")</f>
        <v/>
      </c>
      <c r="V120" s="90"/>
      <c r="W120" s="90"/>
      <c r="X120" s="90"/>
      <c r="Y120" s="90"/>
      <c r="Z120" s="90"/>
      <c r="AA120" s="90"/>
      <c r="AB120" s="90"/>
    </row>
    <row r="121" ht="15.75" customHeight="1">
      <c r="A121" s="86" t="s">
        <v>117</v>
      </c>
      <c r="B121" s="24"/>
      <c r="C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SUMIFS($L$7:$L$102,$C$7:$C$102,C$112,$H$7:$H$102,""&gt;0"")=0,"""",
FILTER($S$7:$S$102,$C$7:$C$102=C$112,$E$7:$E$102=1)/FILTER($K$7:$K$102,$C$7:$C$102=C$112,$E$7:$E$102=1)&gt;=1,
MROUND((FILTER($S$7:$S$102,"&amp;"$C$7:$C$102=C$112,$E$7:$E$102=1)/FILTER($K$7:$K$102,$C$7:$C$102=C$112,$E$7:$E$102=1)-1)*100,0.01),
TRUE,-MROUND((1-(FILTER($S$7:$S$102,$C$7:$C$102=C$112,$E$7:$E$102=1)/FILTER($K$7:$K$102,$C$7:$C$102=C$112,$E$7:$E$102=1)))*100,0.01))"),"Tom tävling - lägg till grenar!")</f>
        <v>Tom tävling - lägg till grenar!</v>
      </c>
      <c r="D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SUMIFS($L$7:$L$102,$C$7:$C$102,D$112,$H$7:$H$102,""&gt;0"")=0,"""",
FILTER($S$7:$S$102,$C$7:$C$102=D$112,$E$7:$E$102=1)/FILTER($K$7:$K$102,$C$7:$C$102=D$112,$E$7:$E$102=1)&gt;=1,
MROUND((FILTER($S$7:$S$102,"&amp;"$C$7:$C$102=D$112,$E$7:$E$102=1)/FILTER($K$7:$K$102,$C$7:$C$102=D$112,$E$7:$E$102=1)-1)*100,0.01),
TRUE,-MROUND((1-(FILTER($S$7:$S$102,$C$7:$C$102=D$112,$E$7:$E$102=1)/FILTER($K$7:$K$102,$C$7:$C$102=D$112,$E$7:$E$102=1)))*100,0.01))"),"Tom tävling - lägg till grenar!")</f>
        <v>Tom tävling - lägg till grenar!</v>
      </c>
      <c r="E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SUMIFS($L$7:$L$102,$C$7:$C$102,E$112,$H$7:$H$102,""&gt;0"")=0,"""",
FILTER($S$7:$S$102,$C$7:$C$102=E$112,$E$7:$E$102=1)/FILTER($K$7:$K$102,$C$7:$C$102=E$112,$E$7:$E$102=1)&gt;=1,
MROUND((FILTER($S$7:$S$102,"&amp;"$C$7:$C$102=E$112,$E$7:$E$102=1)/FILTER($K$7:$K$102,$C$7:$C$102=E$112,$E$7:$E$102=1)-1)*100,0.01),
TRUE,-MROUND((1-(FILTER($S$7:$S$102,$C$7:$C$102=E$112,$E$7:$E$102=1)/FILTER($K$7:$K$102,$C$7:$C$102=E$112,$E$7:$E$102=1)))*100,0.01))"),"Tom tävling - lägg till grenar!")</f>
        <v>Tom tävling - lägg till grenar!</v>
      </c>
      <c r="F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SUMIFS($L$7:$L$102,$C$7:$C$102,F$112,$H$7:$H$102,""&gt;0"")=0,"""",
FILTER($S$7:$S$102,$C$7:$C$102=F$112,$E$7:$E$102=1)/FILTER($K$7:$K$102,$C$7:$C$102=F$112,$E$7:$E$102=1)&gt;=1,
MROUND((FILTER($S$7:$S$102,"&amp;"$C$7:$C$102=F$112,$E$7:$E$102=1)/FILTER($K$7:$K$102,$C$7:$C$102=F$112,$E$7:$E$102=1)-1)*100,0.01),
TRUE,-MROUND((1-(FILTER($S$7:$S$102,$C$7:$C$102=F$112,$E$7:$E$102=1)/FILTER($K$7:$K$102,$C$7:$C$102=F$112,$E$7:$E$102=1)))*100,0.01))"),"Tom tävling - lägg till grenar!")</f>
        <v>Tom tävling - lägg till grenar!</v>
      </c>
      <c r="G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SUMIFS($L$7:$L$102,$C$7:$C$102,G$112,$H$7:$H$102,""&gt;0"")=0,"""",
FILTER($S$7:$S$102,$C$7:$C$102=G$112,$E$7:$E$102=1)/FILTER($K$7:$K$102,$C$7:$C$102=G$112,$E$7:$E$102=1)&gt;=1,
MROUND((FILTER($S$7:$S$102,"&amp;"$C$7:$C$102=G$112,$E$7:$E$102=1)/FILTER($K$7:$K$102,$C$7:$C$102=G$112,$E$7:$E$102=1)-1)*100,0.01),
TRUE,-MROUND((1-(FILTER($S$7:$S$102,$C$7:$C$102=G$112,$E$7:$E$102=1)/FILTER($K$7:$K$102,$C$7:$C$102=G$112,$E$7:$E$102=1)))*100,0.01))"),"Tom tävling - lägg till grenar!")</f>
        <v>Tom tävling - lägg till grenar!</v>
      </c>
      <c r="H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SUMIFS($L$7:$L$102,$C$7:$C$102,H$112,$H$7:$H$102,""&gt;0"")=0,"""",
FILTER($S$7:$S$102,$C$7:$C$102=H$112,$E$7:$E$102=1)/FILTER($K$7:$K$102,$C$7:$C$102=H$112,$E$7:$E$102=1)&gt;=1,
MROUND((FILTER($S$7:$S$102,"&amp;"$C$7:$C$102=H$112,$E$7:$E$102=1)/FILTER($K$7:$K$102,$C$7:$C$102=H$112,$E$7:$E$102=1)-1)*100,0.01),
TRUE,-MROUND((1-(FILTER($S$7:$S$102,$C$7:$C$102=H$112,$E$7:$E$102=1)/FILTER($K$7:$K$102,$C$7:$C$102=H$112,$E$7:$E$102=1)))*100,0.01))"),"Tom tävling - lägg till grenar!")</f>
        <v>Tom tävling - lägg till grenar!</v>
      </c>
      <c r="I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SUMIFS($L$7:$L$102,$C$7:$C$102,I$112,$H$7:$H$102,""&gt;0"")=0,"""",
FILTER($S$7:$S$102,$C$7:$C$102=I$112,$E$7:$E$102=1)/FILTER($K$7:$K$102,$C$7:$C$102=I$112,$E$7:$E$102=1)&gt;=1,
MROUND((FILTER($S$7:$S$102,"&amp;"$C$7:$C$102=I$112,$E$7:$E$102=1)/FILTER($K$7:$K$102,$C$7:$C$102=I$112,$E$7:$E$102=1)-1)*100,0.01),
TRUE,-MROUND((1-(FILTER($S$7:$S$102,$C$7:$C$102=I$112,$E$7:$E$102=1)/FILTER($K$7:$K$102,$C$7:$C$102=I$112,$E$7:$E$102=1)))*100,0.01))"),"Tom tävling - lägg till grenar!")</f>
        <v>Tom tävling - lägg till grenar!</v>
      </c>
      <c r="J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SUMIFS($L$7:$L$102,$C$7:$C$102,J$112,$H$7:$H$102,""&gt;0"")=0,"""",
FILTER($S$7:$S$102,$C$7:$C$102=J$112,$E$7:$E$102=1)/FILTER($K$7:$K$102,$C$7:$C$102=J$112,$E$7:$E$102=1)&gt;=1,
MROUND((FILTER($S$7:$S$102,"&amp;"$C$7:$C$102=J$112,$E$7:$E$102=1)/FILTER($K$7:$K$102,$C$7:$C$102=J$112,$E$7:$E$102=1)-1)*100,0.01),
TRUE,-MROUND((1-(FILTER($S$7:$S$102,$C$7:$C$102=J$112,$E$7:$E$102=1)/FILTER($K$7:$K$102,$C$7:$C$102=J$112,$E$7:$E$102=1)))*100,0.01))"),"Tom tävling - lägg till grenar!")</f>
        <v>Tom tävling - lägg till grenar!</v>
      </c>
      <c r="K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SUMIFS($L$7:$L$102,$C$7:$C$102,K$112,$H$7:$H$102,""&gt;0"")=0,"""",
FILTER($S$7:$S$102,$C$7:$C$102=K$112,$E$7:$E$102=1)/FILTER($K$7:$K$102,$C$7:$C$102=K$112,$E$7:$E$102=1)&gt;=1,
MROUND((FILTER($S$7:$S$102,"&amp;"$C$7:$C$102=K$112,$E$7:$E$102=1)/FILTER($K$7:$K$102,$C$7:$C$102=K$112,$E$7:$E$102=1)-1)*100,0.01),
TRUE,-MROUND((1-(FILTER($S$7:$S$102,$C$7:$C$102=K$112,$E$7:$E$102=1)/FILTER($K$7:$K$102,$C$7:$C$102=K$112,$E$7:$E$102=1)))*100,0.01))"),"Tom tävling - lägg till grenar!")</f>
        <v>Tom tävling - lägg till grenar!</v>
      </c>
      <c r="L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SUMIFS($L$7:$L$102,$C$7:$C$102,L$112,$H$7:$H$102,""&gt;0"")=0,"""",
FILTER($S$7:$S$102,$C$7:$C$102=L$112,$E$7:$E$102=1)/FILTER($K$7:$K$102,$C$7:$C$102=L$112,$E$7:$E$102=1)&gt;=1,
MROUND((FILTER($S$7:$S$102,"&amp;"$C$7:$C$102=L$112,$E$7:$E$102=1)/FILTER($K$7:$K$102,$C$7:$C$102=L$112,$E$7:$E$102=1)-1)*100,0.01),
TRUE,-MROUND((1-(FILTER($S$7:$S$102,$C$7:$C$102=L$112,$E$7:$E$102=1)/FILTER($K$7:$K$102,$C$7:$C$102=L$112,$E$7:$E$102=1)))*100,0.01))"),"Tom tävling - lägg till grenar!")</f>
        <v>Tom tävling - lägg till grenar!</v>
      </c>
      <c r="M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SUMIFS($L$7:$L$102,$C$7:$C$102,M$112,$H$7:$H$102,""&gt;0"")=0,"""",
FILTER($S$7:$S$102,$C$7:$C$102=M$112,$E$7:$E$102=1)/FILTER($K$7:$K$102,$C$7:$C$102=M$112,$E$7:$E$102=1)&gt;=1,
MROUND((FILTER($S$7:$S$102,"&amp;"$C$7:$C$102=M$112,$E$7:$E$102=1)/FILTER($K$7:$K$102,$C$7:$C$102=M$112,$E$7:$E$102=1)-1)*100,0.01),
TRUE,-MROUND((1-(FILTER($S$7:$S$102,$C$7:$C$102=M$112,$E$7:$E$102=1)/FILTER($K$7:$K$102,$C$7:$C$102=M$112,$E$7:$E$102=1)))*100,0.01))"),"Tom tävling - lägg till grenar!")</f>
        <v>Tom tävling - lägg till grenar!</v>
      </c>
      <c r="N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SUMIFS($L$7:$L$102,$C$7:$C$102,N$112,$H$7:$H$102,""&gt;0"")=0,"""",
FILTER($S$7:$S$102,$C$7:$C$102=N$112,$E$7:$E$102=1)/FILTER($K$7:$K$102,$C$7:$C$102=N$112,$E$7:$E$102=1)&gt;=1,
MROUND((FILTER($S$7:$S$102,"&amp;"$C$7:$C$102=N$112,$E$7:$E$102=1)/FILTER($K$7:$K$102,$C$7:$C$102=N$112,$E$7:$E$102=1)-1)*100,0.01),
TRUE,-MROUND((1-(FILTER($S$7:$S$102,$C$7:$C$102=N$112,$E$7:$E$102=1)/FILTER($K$7:$K$102,$C$7:$C$102=N$112,$E$7:$E$102=1)))*100,0.01))"),"Tom tävling - lägg till grenar!")</f>
        <v>Tom tävling - lägg till grenar!</v>
      </c>
      <c r="O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SUMIFS($L$7:$L$102,$C$7:$C$102,O$112,$H$7:$H$102,""&gt;0"")=0,"""",
FILTER($S$7:$S$102,$C$7:$C$102=O$112,$E$7:$E$102=1)/FILTER($K$7:$K$102,$C$7:$C$102=O$112,$E$7:$E$102=1)&gt;=1,
MROUND((FILTER($S$7:$S$102,"&amp;"$C$7:$C$102=O$112,$E$7:$E$102=1)/FILTER($K$7:$K$102,$C$7:$C$102=O$112,$E$7:$E$102=1)-1)*100,0.01),
TRUE,-MROUND((1-(FILTER($S$7:$S$102,$C$7:$C$102=O$112,$E$7:$E$102=1)/FILTER($K$7:$K$102,$C$7:$C$102=O$112,$E$7:$E$102=1)))*100,0.01))"),"Tom tävling - lägg till grenar!")</f>
        <v>Tom tävling - lägg till grenar!</v>
      </c>
      <c r="P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SUMIFS($L$7:$L$102,$C$7:$C$102,P$112,$H$7:$H$102,""&gt;0"")=0,"""",
FILTER($S$7:$S$102,$C$7:$C$102=P$112,$E$7:$E$102=1)/FILTER($K$7:$K$102,$C$7:$C$102=P$112,$E$7:$E$102=1)&gt;=1,
MROUND((FILTER($S$7:$S$102,"&amp;"$C$7:$C$102=P$112,$E$7:$E$102=1)/FILTER($K$7:$K$102,$C$7:$C$102=P$112,$E$7:$E$102=1)-1)*100,0.01),
TRUE,-MROUND((1-(FILTER($S$7:$S$102,$C$7:$C$102=P$112,$E$7:$E$102=1)/FILTER($K$7:$K$102,$C$7:$C$102=P$112,$E$7:$E$102=1)))*100,0.01))"),"Tom tävling - lägg till grenar!")</f>
        <v>Tom tävling - lägg till grenar!</v>
      </c>
      <c r="Q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SUMIFS($L$7:$L$102,$C$7:$C$102,Q$112,$H$7:$H$102,""&gt;0"")=0,"""",
FILTER($S$7:$S$102,$C$7:$C$102=Q$112,$E$7:$E$102=1)/FILTER($K$7:$K$102,$C$7:$C$102=Q$112,$E$7:$E$102=1)&gt;=1,
MROUND((FILTER($S$7:$S$102,"&amp;"$C$7:$C$102=Q$112,$E$7:$E$102=1)/FILTER($K$7:$K$102,$C$7:$C$102=Q$112,$E$7:$E$102=1)-1)*100,0.01),
TRUE,-MROUND((1-(FILTER($S$7:$S$102,$C$7:$C$102=Q$112,$E$7:$E$102=1)/FILTER($K$7:$K$102,$C$7:$C$102=Q$112,$E$7:$E$102=1)))*100,0.01))"),"Tom tävling - lägg till grenar!")</f>
        <v>Tom tävling - lägg till grenar!</v>
      </c>
      <c r="R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SUMIFS($L$7:$L$102,$C$7:$C$102,R$112,$H$7:$H$102,""&gt;0"")=0,"""",
FILTER($S$7:$S$102,$C$7:$C$102=R$112,$E$7:$E$102=1)/FILTER($K$7:$K$102,$C$7:$C$102=R$112,$E$7:$E$102=1)&gt;=1,
MROUND((FILTER($S$7:$S$102,"&amp;"$C$7:$C$102=R$112,$E$7:$E$102=1)/FILTER($K$7:$K$102,$C$7:$C$102=R$112,$E$7:$E$102=1)-1)*100,0.01),
TRUE,-MROUND((1-(FILTER($S$7:$S$102,$C$7:$C$102=R$112,$E$7:$E$102=1)/FILTER($K$7:$K$102,$C$7:$C$102=R$112,$E$7:$E$102=1)))*100,0.01))"),"Tom tävling - lägg till grenar!")</f>
        <v>Tom tävling - lägg till grenar!</v>
      </c>
      <c r="S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SUMIFS($L$7:$L$102,$C$7:$C$102,S$112,$H$7:$H$102,""&gt;0"")=0,"""",
FILTER($S$7:$S$102,$C$7:$C$102=S$112,$E$7:$E$102=1)/FILTER($K$7:$K$102,$C$7:$C$102=S$112,$E$7:$E$102=1)&gt;=1,
MROUND((FILTER($S$7:$S$102,"&amp;"$C$7:$C$102=S$112,$E$7:$E$102=1)/FILTER($K$7:$K$102,$C$7:$C$102=S$112,$E$7:$E$102=1)-1)*100,0.01),
TRUE,-MROUND((1-(FILTER($S$7:$S$102,$C$7:$C$102=S$112,$E$7:$E$102=1)/FILTER($K$7:$K$102,$C$7:$C$102=S$112,$E$7:$E$102=1)))*100,0.01))"),"Tom tävling - lägg till grenar!")</f>
        <v>Tom tävling - lägg till grenar!</v>
      </c>
      <c r="T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SUMIFS($L$7:$L$102,$C$7:$C$102,T$112,$H$7:$H$102,""&gt;0"")=0,"""",
FILTER($S$7:$S$102,$C$7:$C$102=T$112,$E$7:$E$102=1)/FILTER($K$7:$K$102,$C$7:$C$102=T$112,$E$7:$E$102=1)&gt;=1,
MROUND((FILTER($S$7:$S$102,"&amp;"$C$7:$C$102=T$112,$E$7:$E$102=1)/FILTER($K$7:$K$102,$C$7:$C$102=T$112,$E$7:$E$102=1)-1)*100,0.01),
TRUE,-MROUND((1-(FILTER($S$7:$S$102,$C$7:$C$102=T$112,$E$7:$E$102=1)/FILTER($K$7:$K$102,$C$7:$C$102=T$112,$E$7:$E$102=1)))*100,0.01))"),"Tom tävling - lägg till grenar!")</f>
        <v>Tom tävling - lägg till grenar!</v>
      </c>
      <c r="U121" s="95" t="str">
        <f>IFERROR(__xludf.DUMMYFUNCTION("IFS(SUM($L$7:$L$102)=$L$29+$L$52+$L$78,""Tom tävling - lägg till grenar!"",
IFERROR(FILTER($T$7:$T$102,$T$7:$T$102=""Fyll i R-kolumnen"")=""Fyll i R-kolumnen"")=TRUE,""Fyll först i kolumn R"",
IFERROR(FILTER($T$7:$T$102,$T$7:$T$102=""Fyll i S-kolumnen"")="&amp;"""Fyll i S-kolumnen"")=TRUE,""Fyll först i kolumn S"",
SUMIFS($L$7:$L$102,$C$7:$C$102,U$112,$H$7:$H$102,""&gt;0"")=0,"""",
FILTER($S$7:$S$102,$C$7:$C$102=U$112,$E$7:$E$102=1)/FILTER($K$7:$K$102,$C$7:$C$102=U$112,$E$7:$E$102=1)&gt;=1,
MROUND((FILTER($S$7:$S$102,"&amp;"$C$7:$C$102=U$112,$E$7:$E$102=1)/FILTER($K$7:$K$102,$C$7:$C$102=U$112,$E$7:$E$102=1)-1)*100,0.01),
TRUE,-MROUND((1-(FILTER($S$7:$S$102,$C$7:$C$102=U$112,$E$7:$E$102=1)/FILTER($K$7:$K$102,$C$7:$C$102=U$112,$E$7:$E$102=1)))*100,0.01))"),"Tom tävling - lägg till grenar!")</f>
        <v>Tom tävling - lägg till grenar!</v>
      </c>
      <c r="V121" s="90"/>
      <c r="W121" s="90"/>
      <c r="X121" s="90"/>
      <c r="Y121" s="90"/>
      <c r="Z121" s="90"/>
      <c r="AA121" s="90"/>
      <c r="AB121" s="90"/>
    </row>
    <row r="122" ht="15.75" customHeight="1">
      <c r="A122" s="86" t="s">
        <v>116</v>
      </c>
      <c r="B122" s="24"/>
      <c r="C122" s="96" t="str">
        <f>IFERROR(__xludf.DUMMYFUNCTION("IF(OR(C$121="""",C$121=""Tom tävling - lägg till grenar!"",C$121=""Fyll först i kolumn R"",C$121=""Fyll först i kolumn S""),"""",
(FILTER($K$7:$K$102,$C$7:$C102=C$112,$E$7:$E102=1)/FILTER($J$7:$J$102,$C$7:$C102=C$112,$E$7:$E102=1))*FILTER($S$7:$S$102,$C$7"&amp;":$C$102=C$112,$E$7:$E$102=1)/FILTER($K$7:$K$102,$C$7:$C$102=C$112,$E$7:$E$102=1))"),"")</f>
        <v/>
      </c>
      <c r="D122" s="96" t="str">
        <f>IFERROR(__xludf.DUMMYFUNCTION("IF(OR(D$121="""",D$121=""Tom tävling - lägg till grenar!"",D$121=""Fyll först i kolumn R"",D$121=""Fyll först i kolumn S""),"""",
(FILTER($K$7:$K$102,$C$7:$C102=D$112,$E$7:$E102=1)/FILTER($J$7:$J$102,$C$7:$C102=D$112,$E$7:$E102=1))*FILTER($S$7:$S$102,$C$7"&amp;":$C$102=D$112,$E$7:$E$102=1)/FILTER($K$7:$K$102,$C$7:$C$102=D$112,$E$7:$E$102=1))"),"")</f>
        <v/>
      </c>
      <c r="E122" s="96" t="str">
        <f>IFERROR(__xludf.DUMMYFUNCTION("IF(OR(E$121="""",E$121=""Tom tävling - lägg till grenar!"",E$121=""Fyll först i kolumn R"",E$121=""Fyll först i kolumn S""),"""",
(FILTER($K$7:$K$102,$C$7:$C102=E$112,$E$7:$E102=1)/FILTER($J$7:$J$102,$C$7:$C102=E$112,$E$7:$E102=1))*FILTER($S$7:$S$102,$C$7"&amp;":$C$102=E$112,$E$7:$E$102=1)/FILTER($K$7:$K$102,$C$7:$C$102=E$112,$E$7:$E$102=1))"),"")</f>
        <v/>
      </c>
      <c r="F122" s="96" t="str">
        <f>IFERROR(__xludf.DUMMYFUNCTION("IF(OR(F$121="""",F$121=""Tom tävling - lägg till grenar!"",F$121=""Fyll först i kolumn R"",F$121=""Fyll först i kolumn S""),"""",
(FILTER($K$7:$K$102,$C$7:$C102=F$112,$E$7:$E102=1)/FILTER($J$7:$J$102,$C$7:$C102=F$112,$E$7:$E102=1))*FILTER($S$7:$S$102,$C$7"&amp;":$C$102=F$112,$E$7:$E$102=1)/FILTER($K$7:$K$102,$C$7:$C$102=F$112,$E$7:$E$102=1))"),"")</f>
        <v/>
      </c>
      <c r="G122" s="96" t="str">
        <f>IFERROR(__xludf.DUMMYFUNCTION("IF(OR(G$121="""",G$121=""Tom tävling - lägg till grenar!"",G$121=""Fyll först i kolumn R"",G$121=""Fyll först i kolumn S""),"""",
(FILTER($K$7:$K$102,$C$7:$C102=G$112,$E$7:$E102=1)/FILTER($J$7:$J$102,$C$7:$C102=G$112,$E$7:$E102=1))*FILTER($S$7:$S$102,$C$7"&amp;":$C$102=G$112,$E$7:$E$102=1)/FILTER($K$7:$K$102,$C$7:$C$102=G$112,$E$7:$E$102=1))"),"")</f>
        <v/>
      </c>
      <c r="H122" s="96" t="str">
        <f>IFERROR(__xludf.DUMMYFUNCTION("IF(OR(H$121="""",H$121=""Tom tävling - lägg till grenar!"",H$121=""Fyll först i kolumn R"",H$121=""Fyll först i kolumn S""),"""",
(FILTER($K$7:$K$102,$C$7:$C102=H$112,$E$7:$E102=1)/FILTER($J$7:$J$102,$C$7:$C102=H$112,$E$7:$E102=1))*FILTER($S$7:$S$102,$C$7"&amp;":$C$102=H$112,$E$7:$E$102=1)/FILTER($K$7:$K$102,$C$7:$C$102=H$112,$E$7:$E$102=1))"),"")</f>
        <v/>
      </c>
      <c r="I122" s="96" t="str">
        <f>IFERROR(__xludf.DUMMYFUNCTION("IF(OR(I$121="""",I$121=""Tom tävling - lägg till grenar!"",I$121=""Fyll först i kolumn R"",I$121=""Fyll först i kolumn S""),"""",
(FILTER($K$7:$K$102,$C$7:$C102=I$112,$E$7:$E102=1)/FILTER($J$7:$J$102,$C$7:$C102=I$112,$E$7:$E102=1))*FILTER($S$7:$S$102,$C$7"&amp;":$C$102=I$112,$E$7:$E$102=1)/FILTER($K$7:$K$102,$C$7:$C$102=I$112,$E$7:$E$102=1))"),"")</f>
        <v/>
      </c>
      <c r="J122" s="96" t="str">
        <f>IFERROR(__xludf.DUMMYFUNCTION("IF(OR(J$121="""",J$121=""Tom tävling - lägg till grenar!"",J$121=""Fyll först i kolumn R"",J$121=""Fyll först i kolumn S""),"""",
(FILTER($K$7:$K$102,$C$7:$C102=J$112,$E$7:$E102=1)/FILTER($J$7:$J$102,$C$7:$C102=J$112,$E$7:$E102=1))*FILTER($S$7:$S$102,$C$7"&amp;":$C$102=J$112,$E$7:$E$102=1)/FILTER($K$7:$K$102,$C$7:$C$102=J$112,$E$7:$E$102=1))"),"")</f>
        <v/>
      </c>
      <c r="K122" s="96" t="str">
        <f>IFERROR(__xludf.DUMMYFUNCTION("IF(OR(K$121="""",K$121=""Tom tävling - lägg till grenar!"",K$121=""Fyll först i kolumn R"",K$121=""Fyll först i kolumn S""),"""",
(FILTER($K$7:$K$102,$C$7:$C102=K$112,$E$7:$E102=1)/FILTER($J$7:$J$102,$C$7:$C102=K$112,$E$7:$E102=1))*FILTER($S$7:$S$102,$C$7"&amp;":$C$102=K$112,$E$7:$E$102=1)/FILTER($K$7:$K$102,$C$7:$C$102=K$112,$E$7:$E$102=1))"),"")</f>
        <v/>
      </c>
      <c r="L122" s="96" t="str">
        <f>IFERROR(__xludf.DUMMYFUNCTION("IF(OR(L$121="""",L$121=""Tom tävling - lägg till grenar!"",L$121=""Fyll först i kolumn R"",L$121=""Fyll först i kolumn S""),"""",
(FILTER($K$7:$K$102,$C$7:$C102=L$112,$E$7:$E102=1)/FILTER($J$7:$J$102,$C$7:$C102=L$112,$E$7:$E102=1))*FILTER($S$7:$S$102,$C$7"&amp;":$C$102=L$112,$E$7:$E$102=1)/FILTER($K$7:$K$102,$C$7:$C$102=L$112,$E$7:$E$102=1))"),"")</f>
        <v/>
      </c>
      <c r="M122" s="96" t="str">
        <f>IFERROR(__xludf.DUMMYFUNCTION("IF(OR(M$121="""",M$121=""Tom tävling - lägg till grenar!"",M$121=""Fyll först i kolumn R"",M$121=""Fyll först i kolumn S""),"""",
(FILTER($K$7:$K$102,$C$7:$C102=M$112,$E$7:$E102=1)/FILTER($J$7:$J$102,$C$7:$C102=M$112,$E$7:$E102=1))*FILTER($S$7:$S$102,$C$7"&amp;":$C$102=M$112,$E$7:$E$102=1)/FILTER($K$7:$K$102,$C$7:$C$102=M$112,$E$7:$E$102=1))"),"")</f>
        <v/>
      </c>
      <c r="N122" s="96" t="str">
        <f>IFERROR(__xludf.DUMMYFUNCTION("IF(OR(N$121="""",N$121=""Tom tävling - lägg till grenar!"",N$121=""Fyll först i kolumn R"",N$121=""Fyll först i kolumn S""),"""",
(FILTER($K$7:$K$102,$C$7:$C102=N$112,$E$7:$E102=1)/FILTER($J$7:$J$102,$C$7:$C102=N$112,$E$7:$E102=1))*FILTER($S$7:$S$102,$C$7"&amp;":$C$102=N$112,$E$7:$E$102=1)/FILTER($K$7:$K$102,$C$7:$C$102=N$112,$E$7:$E$102=1))"),"")</f>
        <v/>
      </c>
      <c r="O122" s="96" t="str">
        <f>IFERROR(__xludf.DUMMYFUNCTION("IF(OR(O$121="""",O$121=""Tom tävling - lägg till grenar!"",O$121=""Fyll först i kolumn R"",O$121=""Fyll först i kolumn S""),"""",
(FILTER($K$7:$K$102,$C$7:$C102=O$112,$E$7:$E102=1)/FILTER($J$7:$J$102,$C$7:$C102=O$112,$E$7:$E102=1))*FILTER($S$7:$S$102,$C$7"&amp;":$C$102=O$112,$E$7:$E$102=1)/FILTER($K$7:$K$102,$C$7:$C$102=O$112,$E$7:$E$102=1))"),"")</f>
        <v/>
      </c>
      <c r="P122" s="96" t="str">
        <f>IFERROR(__xludf.DUMMYFUNCTION("IF(OR(P$121="""",P$121=""Tom tävling - lägg till grenar!"",P$121=""Fyll först i kolumn R"",P$121=""Fyll först i kolumn S""),"""",
(FILTER($K$7:$K$102,$C$7:$C102=P$112,$E$7:$E102=1)/FILTER($J$7:$J$102,$C$7:$C102=P$112,$E$7:$E102=1))*FILTER($S$7:$S$102,$C$7"&amp;":$C$102=P$112,$E$7:$E$102=1)/FILTER($K$7:$K$102,$C$7:$C$102=P$112,$E$7:$E$102=1))"),"")</f>
        <v/>
      </c>
      <c r="Q122" s="96" t="str">
        <f>IFERROR(__xludf.DUMMYFUNCTION("IF(OR(Q$121="""",Q$121=""Tom tävling - lägg till grenar!"",Q$121=""Fyll först i kolumn R"",Q$121=""Fyll först i kolumn S""),"""",
(FILTER($K$7:$K$102,$C$7:$C102=Q$112,$E$7:$E102=1)/FILTER($J$7:$J$102,$C$7:$C102=Q$112,$E$7:$E102=1))*FILTER($S$7:$S$102,$C$7"&amp;":$C$102=Q$112,$E$7:$E$102=1)/FILTER($K$7:$K$102,$C$7:$C$102=Q$112,$E$7:$E$102=1))"),"")</f>
        <v/>
      </c>
      <c r="R122" s="96" t="str">
        <f>IFERROR(__xludf.DUMMYFUNCTION("IF(OR(R$121="""",R$121=""Tom tävling - lägg till grenar!"",R$121=""Fyll först i kolumn R"",R$121=""Fyll först i kolumn S""),"""",
(FILTER($K$7:$K$102,$C$7:$C102=R$112,$E$7:$E102=1)/FILTER($J$7:$J$102,$C$7:$C102=R$112,$E$7:$E102=1))*FILTER($S$7:$S$102,$C$7"&amp;":$C$102=R$112,$E$7:$E$102=1)/FILTER($K$7:$K$102,$C$7:$C$102=R$112,$E$7:$E$102=1))"),"")</f>
        <v/>
      </c>
      <c r="S122" s="96" t="str">
        <f>IFERROR(__xludf.DUMMYFUNCTION("IF(OR(S$121="""",S$121=""Tom tävling - lägg till grenar!"",S$121=""Fyll först i kolumn R"",S$121=""Fyll först i kolumn S""),"""",
(FILTER($K$7:$K$102,$C$7:$C102=S$112,$E$7:$E102=1)/FILTER($J$7:$J$102,$C$7:$C102=S$112,$E$7:$E102=1))*FILTER($S$7:$S$102,$C$7"&amp;":$C$102=S$112,$E$7:$E$102=1)/FILTER($K$7:$K$102,$C$7:$C$102=S$112,$E$7:$E$102=1))"),"")</f>
        <v/>
      </c>
      <c r="T122" s="96" t="str">
        <f>IFERROR(__xludf.DUMMYFUNCTION("IF(OR(T$121="""",T$121=""Tom tävling - lägg till grenar!"",T$121=""Fyll först i kolumn R"",T$121=""Fyll först i kolumn S""),"""",
(FILTER($K$7:$K$102,$C$7:$C102=T$112,$E$7:$E102=1)/FILTER($J$7:$J$102,$C$7:$C102=T$112,$E$7:$E102=1))*FILTER($S$7:$S$102,$C$7"&amp;":$C$102=T$112,$E$7:$E$102=1)/FILTER($K$7:$K$102,$C$7:$C$102=T$112,$E$7:$E$102=1))"),"")</f>
        <v/>
      </c>
      <c r="U122" s="96" t="str">
        <f>IFERROR(__xludf.DUMMYFUNCTION("IF(OR(U$121="""",U$121=""Tom tävling - lägg till grenar!"",U$121=""Fyll först i kolumn R"",U$121=""Fyll först i kolumn S""),"""",
(FILTER($K$7:$K$102,$C$7:$C102=U$112,$E$7:$E102=1)/FILTER($J$7:$J$102,$C$7:$C102=U$112,$E$7:$E102=1))*FILTER($S$7:$S$102,$C$7"&amp;":$C$102=U$112,$E$7:$E$102=1)/FILTER($K$7:$K$102,$C$7:$C$102=U$112,$E$7:$E$102=1))"),"")</f>
        <v/>
      </c>
      <c r="V122" s="90"/>
      <c r="W122" s="90"/>
      <c r="X122" s="90"/>
      <c r="Y122" s="90"/>
      <c r="Z122" s="90"/>
      <c r="AA122" s="90"/>
      <c r="AB122" s="90"/>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sheetData>
  <mergeCells count="162">
    <mergeCell ref="K2:L2"/>
    <mergeCell ref="M2:N2"/>
    <mergeCell ref="K3:P3"/>
    <mergeCell ref="K4:P4"/>
    <mergeCell ref="A1:C2"/>
    <mergeCell ref="D1:D2"/>
    <mergeCell ref="E1:H1"/>
    <mergeCell ref="I1:J1"/>
    <mergeCell ref="K1:L1"/>
    <mergeCell ref="M1:N1"/>
    <mergeCell ref="O1:P1"/>
    <mergeCell ref="O2:P2"/>
    <mergeCell ref="U2:V2"/>
    <mergeCell ref="W2:X2"/>
    <mergeCell ref="Q3:V3"/>
    <mergeCell ref="W3:AB3"/>
    <mergeCell ref="Q4:V4"/>
    <mergeCell ref="W4:AB4"/>
    <mergeCell ref="Y5:Z5"/>
    <mergeCell ref="AA5:AB5"/>
    <mergeCell ref="Q1:R1"/>
    <mergeCell ref="S1:T1"/>
    <mergeCell ref="U1:V1"/>
    <mergeCell ref="W1:X1"/>
    <mergeCell ref="Z1:AA2"/>
    <mergeCell ref="Q2:R2"/>
    <mergeCell ref="S2:T2"/>
    <mergeCell ref="E2:H2"/>
    <mergeCell ref="I2:J2"/>
    <mergeCell ref="E3:H3"/>
    <mergeCell ref="I3:J3"/>
    <mergeCell ref="E4:H4"/>
    <mergeCell ref="I4:J4"/>
    <mergeCell ref="A5:B5"/>
    <mergeCell ref="O6:P6"/>
    <mergeCell ref="Q6:R6"/>
    <mergeCell ref="S6:T6"/>
    <mergeCell ref="U6:V6"/>
    <mergeCell ref="W6:X6"/>
    <mergeCell ref="Y6:Z6"/>
    <mergeCell ref="AA6:AB6"/>
    <mergeCell ref="D5:D6"/>
    <mergeCell ref="E5:F5"/>
    <mergeCell ref="E6:F6"/>
    <mergeCell ref="G6:H6"/>
    <mergeCell ref="I6:J6"/>
    <mergeCell ref="K6:L6"/>
    <mergeCell ref="M6:N6"/>
    <mergeCell ref="U5:V5"/>
    <mergeCell ref="W5:X5"/>
    <mergeCell ref="G5:H5"/>
    <mergeCell ref="I5:J5"/>
    <mergeCell ref="K5:L5"/>
    <mergeCell ref="M5:N5"/>
    <mergeCell ref="O5:P5"/>
    <mergeCell ref="Q5:R5"/>
    <mergeCell ref="S5:T5"/>
    <mergeCell ref="Y104:Z104"/>
    <mergeCell ref="AA104:AB104"/>
    <mergeCell ref="K104:L104"/>
    <mergeCell ref="M104:N104"/>
    <mergeCell ref="O104:P104"/>
    <mergeCell ref="Q104:R104"/>
    <mergeCell ref="S104:T104"/>
    <mergeCell ref="U104:V104"/>
    <mergeCell ref="W104:X104"/>
    <mergeCell ref="A102:B103"/>
    <mergeCell ref="C102:C103"/>
    <mergeCell ref="A104:B104"/>
    <mergeCell ref="C104:D104"/>
    <mergeCell ref="E104:F104"/>
    <mergeCell ref="G104:H104"/>
    <mergeCell ref="I104:J104"/>
    <mergeCell ref="O105:P105"/>
    <mergeCell ref="Q105:R105"/>
    <mergeCell ref="S105:T105"/>
    <mergeCell ref="U105:V105"/>
    <mergeCell ref="W105:X105"/>
    <mergeCell ref="Y105:Z105"/>
    <mergeCell ref="AA105:AB105"/>
    <mergeCell ref="A105:B105"/>
    <mergeCell ref="C105:D105"/>
    <mergeCell ref="E105:F105"/>
    <mergeCell ref="G105:H105"/>
    <mergeCell ref="I105:J105"/>
    <mergeCell ref="K105:L105"/>
    <mergeCell ref="M105:N105"/>
    <mergeCell ref="W109:X109"/>
    <mergeCell ref="Y109:Z109"/>
    <mergeCell ref="A109:D109"/>
    <mergeCell ref="E109:H109"/>
    <mergeCell ref="I109:L109"/>
    <mergeCell ref="M109:P109"/>
    <mergeCell ref="Q109:R109"/>
    <mergeCell ref="S109:T109"/>
    <mergeCell ref="U109:V109"/>
    <mergeCell ref="W110:X110"/>
    <mergeCell ref="Y110:Z110"/>
    <mergeCell ref="A110:D110"/>
    <mergeCell ref="E110:H110"/>
    <mergeCell ref="I110:L110"/>
    <mergeCell ref="M110:P110"/>
    <mergeCell ref="Q110:R110"/>
    <mergeCell ref="S110:T110"/>
    <mergeCell ref="U110:V110"/>
    <mergeCell ref="W111:X111"/>
    <mergeCell ref="Y111:Z111"/>
    <mergeCell ref="A111:D111"/>
    <mergeCell ref="E111:H111"/>
    <mergeCell ref="I111:L111"/>
    <mergeCell ref="M111:P111"/>
    <mergeCell ref="Q111:R111"/>
    <mergeCell ref="S111:T111"/>
    <mergeCell ref="U111:V111"/>
    <mergeCell ref="O106:P106"/>
    <mergeCell ref="Q106:R106"/>
    <mergeCell ref="S106:T106"/>
    <mergeCell ref="U106:V106"/>
    <mergeCell ref="W106:X106"/>
    <mergeCell ref="Y106:Z106"/>
    <mergeCell ref="AA106:AB106"/>
    <mergeCell ref="A106:B106"/>
    <mergeCell ref="C106:D106"/>
    <mergeCell ref="E106:F106"/>
    <mergeCell ref="G106:H106"/>
    <mergeCell ref="I106:J106"/>
    <mergeCell ref="K106:L106"/>
    <mergeCell ref="M106:N106"/>
    <mergeCell ref="O107:P107"/>
    <mergeCell ref="Q107:R107"/>
    <mergeCell ref="S107:T107"/>
    <mergeCell ref="U107:V107"/>
    <mergeCell ref="W107:X107"/>
    <mergeCell ref="Y107:Z107"/>
    <mergeCell ref="AA107:AB107"/>
    <mergeCell ref="A107:B107"/>
    <mergeCell ref="C107:D107"/>
    <mergeCell ref="E107:F107"/>
    <mergeCell ref="G107:H107"/>
    <mergeCell ref="I107:J107"/>
    <mergeCell ref="K107:L107"/>
    <mergeCell ref="M107:N107"/>
    <mergeCell ref="W108:X108"/>
    <mergeCell ref="Y108:Z108"/>
    <mergeCell ref="A108:D108"/>
    <mergeCell ref="E108:H108"/>
    <mergeCell ref="I108:L108"/>
    <mergeCell ref="M108:P108"/>
    <mergeCell ref="Q108:R108"/>
    <mergeCell ref="S108:T108"/>
    <mergeCell ref="U108:V108"/>
    <mergeCell ref="A119:B119"/>
    <mergeCell ref="A120:B120"/>
    <mergeCell ref="A121:B121"/>
    <mergeCell ref="A122:B122"/>
    <mergeCell ref="A112:B112"/>
    <mergeCell ref="A113:B113"/>
    <mergeCell ref="A114:B114"/>
    <mergeCell ref="A115:B115"/>
    <mergeCell ref="A116:B116"/>
    <mergeCell ref="A117:B117"/>
    <mergeCell ref="A118:B118"/>
  </mergeCells>
  <conditionalFormatting sqref="C8:C27 C31:C50 C54:C76 C80:C101">
    <cfRule type="expression" dxfId="0" priority="1">
      <formula>COUNTIF(INDIRECT("AndraAktiviteter"), C8)</formula>
    </cfRule>
  </conditionalFormatting>
  <conditionalFormatting sqref="A8:AB27 A31:AB50 A54:AB76 A80:AB101">
    <cfRule type="expression" dxfId="1" priority="2">
      <formula>indirect("D"&amp;row())&lt;&gt;$E$2</formula>
    </cfRule>
  </conditionalFormatting>
  <conditionalFormatting sqref="C9">
    <cfRule type="expression" dxfId="0" priority="3">
      <formula>COUNTIF(INDIRECT("AndraAktiviteter"), C9)</formula>
    </cfRule>
  </conditionalFormatting>
  <conditionalFormatting sqref="E3:J6">
    <cfRule type="expression" dxfId="2" priority="4">
      <formula>$M$2&lt;2</formula>
    </cfRule>
  </conditionalFormatting>
  <conditionalFormatting sqref="K3:P6">
    <cfRule type="expression" dxfId="2" priority="5">
      <formula>$M$2&lt;3</formula>
    </cfRule>
  </conditionalFormatting>
  <conditionalFormatting sqref="W3:AB6">
    <cfRule type="expression" dxfId="2" priority="6">
      <formula>$M$2&lt;5</formula>
    </cfRule>
  </conditionalFormatting>
  <conditionalFormatting sqref="O1:P2">
    <cfRule type="expression" dxfId="2" priority="7">
      <formula>$M$2=1</formula>
    </cfRule>
  </conditionalFormatting>
  <conditionalFormatting sqref="Q3:V6">
    <cfRule type="expression" dxfId="2" priority="8">
      <formula>$M$2&lt;4</formula>
    </cfRule>
  </conditionalFormatting>
  <dataValidations>
    <dataValidation type="list" allowBlank="1" showInputMessage="1" showErrorMessage="1" prompt="I cell I6 måste det stå antingen &quot;Yes&quot; eller &quot;No&quot;." sqref="I6 O6 U6 AA6">
      <formula1>"Yes,No"</formula1>
    </dataValidation>
    <dataValidation type="custom" allowBlank="1" showDropDown="1" showInputMessage="1" showErrorMessage="1" prompt="Cellen måste innehålla en tid (ex 09:15). Om en starttid för en sidogren efterfrågas och &quot;=time(hh:mm:ss)&quot; visas, så måste den inskrivna tiden ligga mellan starttiden för grenen ovanför och nedanför, ex =time(09;15;0). Om du inte efterfrågats att skriva i" sqref="A8:A27 A31:A50 A54 A80">
      <formula1>IF(OR(ISDATE(indirect("A"&amp;row()-1)=FALSE),ISDATE(indirect("A"&amp;row()+1)=FALSE)),AND(ISDATE(A8)=TRUE,A8&gt;=A7,A8&lt;=A9),ISDATE(A8)=TRUE)</formula1>
    </dataValidation>
    <dataValidation type="list" allowBlank="1" showInputMessage="1" showErrorMessage="1" prompt="I cellerna i kolumn Q måste det stå antingen &quot;Yes&quot; eller &quot;No&quot;." sqref="Q8:Q27 Q31:Q50 Q52 Q54:Q76 Q78 Q80:Q101">
      <formula1>"Yes,No"</formula1>
    </dataValidation>
    <dataValidation type="list" allowBlank="1" showInputMessage="1" showErrorMessage="1" prompt="Antalet sidor / stages / blandningsbord måste vara ett heltal mellan 1 och 10." sqref="S2 G6 M6 S6 Y6 O8:O27 O31:O50 O52 O54:O76 O78 O80:O101">
      <formula1>"1,2,3,4,5,6,7,8,9,10"</formula1>
    </dataValidation>
    <dataValidation type="custom" allowBlank="1" showDropDown="1" showInputMessage="1" showErrorMessage="1" prompt="För att kalkylarket ska fungera får inte huvudrummet eller sidorummen dela namn med varandra. Dessutom får inte denna cell vara ifylld om inte antalet tävlingsrum i cell M2 är minst 4." sqref="Q4 W4">
      <formula1>AND(Q4&lt;&gt;K4,Q4&lt;&gt;E4,Q4&lt;&gt;E2,M2&gt;=4)</formula1>
    </dataValidation>
    <dataValidation type="custom" allowBlank="1" showDropDown="1" showInputMessage="1" showErrorMessage="1" prompt="Rör ej! Behövs för beräkningar och analys." sqref="L29">
      <formula1>IF($O$2="No",1440-($A$6*60+$B$6)-SUM($L$7:indirect("L"&amp;row()-2))+($A$29*60+$B$29), 1440-($A$6*60+$B$6)-SUM(FILTER($L$7:indirect("L"&amp;row()-2),REGEXMATCH($D$7:indirect("D"&amp;row()-2),$E$2)))+($A$29*60+$B$29))</formula1>
    </dataValidation>
    <dataValidation type="custom" allowBlank="1" showDropDown="1" showInputMessage="1" showErrorMessage="1" prompt="Cellen måste innehålla en tid (ex 09:15). Om en starttid för en sidogren efterfrågas och &quot;=time(hh:mm:ss)&quot; visas, så måste den inskrivna tiden ligga mellan starttiden för grenen ovanför och nedanför, ex =time(09;15;0). Om du inte efterfrågats att skriva i" sqref="A60:A76">
      <formula1>IF(OR(ISDATE(indirect("A"&amp;row()-1)=FALSE),ISDATE(indirect("A"&amp;row()+1)=FALSE)),AND(ISDATE(A60)=TRUE,A60&gt;=A59,A60&lt;=A102),ISDATE(A60)=TRUE)</formula1>
    </dataValidation>
    <dataValidation type="custom" allowBlank="1" showDropDown="1" showInputMessage="1" showErrorMessage="1" prompt="Fyll i den minut som tävlingens första gren eller aktivitet börjar på. Minuten måste vara delbar med 5. Börjar tävlingen exempelvis klockan 09:15 så skriver du &quot;15&quot; i cellen." sqref="B6 B29 B52 B78">
      <formula1>AND(B6&gt;=0,B6&lt;60,MOD(B6,5)=0)</formula1>
    </dataValidation>
    <dataValidation type="list" allowBlank="1" showInputMessage="1" showErrorMessage="1" prompt="Det angivna tävlingsformatet finns inte. Testa att börja skriva på formatet (eller välja i menyn)." sqref="F8:F27 F31:F50 F54:F76 F80:F101">
      <formula1>"Avg of 5,Mean of 3,Best of 3,Best of 2,Best of 1"</formula1>
    </dataValidation>
    <dataValidation type="custom" allowBlank="1" showDropDown="1" showInputMessage="1" showErrorMessage="1" prompt="Rör ej! Cellen behövs för korrekta beräkningar och analyser." sqref="R52:S52 R78:S78">
      <formula1>$L$52</formula1>
    </dataValidation>
    <dataValidation type="custom" allowBlank="1" showDropDown="1" showInputMessage="1" showErrorMessage="1" prompt="Antalet grupper måste vara ett positivt heltal mellan 1 och 999." sqref="N8:N27 N31:N50 N52 N54:N76 N78 N80:N101">
      <formula1>AND(N8&gt;0,N8&lt;1000,MOD(N8,1)=0)</formula1>
    </dataValidation>
    <dataValidation type="custom" allowBlank="1" showDropDown="1" showInputMessage="1" showErrorMessage="1" prompt="Cellen måste innehålla en tid (ex 09:15). Om en starttid för en sidogren efterfrågas och &quot;=time(hh:mm:ss)&quot; visas, så måste den inskrivna tiden ligga mellan starttiden för grenen ovanför och nedanför, ex =time(09;15;0). Om du inte efterfrågats att skriva i" sqref="A55:A59">
      <formula1>IF(OR(ISDATE(indirect("A"&amp;row()-1)=FALSE),ISDATE(indirect("A"&amp;row()+1)=FALSE)),AND(ISDATE(A55)=TRUE,A55&gt;=A54,A55&lt;=A77),ISDATE(A55)=TRUE)</formula1>
    </dataValidation>
    <dataValidation type="custom" allowBlank="1" showDropDown="1" showInputMessage="1" showErrorMessage="1" prompt="Cellen måste innehålla en tid (ex 09:15). Om du efterfrågas att skriva in en tid eftersom &quot;=time(hh:mm:ss)&quot; visas, så gör du det i samma cell, exempelvis &quot;=time(09;15;0). Om du inte efterfrågats att skriva in en tid, men cellen ändå visar ett felmeddeland" sqref="B8:B27 B31:B50 B54:B76 B80:B101">
      <formula1>OR(NOT(ISERROR(DATEVALUE(B8))), AND(ISNUMBER(B8), LEFT(CELL("format", B8))="D"))</formula1>
    </dataValidation>
    <dataValidation type="custom" allowBlank="1" showDropDown="1" showInputMessage="1" showErrorMessage="1" prompt="För att kalkylarket ska fungera får inte huvudrummet eller sidorummen dela namn med varandra." sqref="E2">
      <formula1>AND(E2&lt;&gt;E4,E2&lt;&gt;K4,E2&lt;&gt;Q4)</formula1>
    </dataValidation>
    <dataValidation type="custom" allowBlank="1" showDropDown="1" showInputMessage="1" showErrorMessage="1" prompt="Cell C6 måste innehålla ett giltigt datum. Dubbelklicka på cellen så kommer en kalender upp där du kan välja en tävlingsdag." sqref="C6">
      <formula1>OR(NOT(ISERROR(DATEVALUE(C6))), AND(ISNUMBER(C6), LEFT(CELL("format", C6))="D"))</formula1>
    </dataValidation>
    <dataValidation type="list" allowBlank="1" showInputMessage="1" showErrorMessage="1" prompt="I cell O2 måste det stå antingen &quot;Yes&quot; eller &quot;No&quot;." sqref="O2">
      <formula1>"Yes,No"</formula1>
    </dataValidation>
    <dataValidation type="custom" allowBlank="1" showDropDown="1" showInputMessage="1" showErrorMessage="1" prompt="Cellen måste innehålla en tid (ex 09:15). Om en starttid för en sidogren efterfrågas och &quot;=time(hh:mm:ss)&quot; visas, så måste den inskrivna tiden ligga mellan starttiden för grenen ovanför och nedanför, ex =time(09;15;0). Om du inte efterfrågats att skriva i" sqref="A81:A101">
      <formula1>IF(OR(ISDATE(indirect("A"&amp;row()-1)=FALSE),ISDATE(indirect("A"&amp;row()+1)=FALSE)),AND(ISDATE(A81)=TRUE,A81&gt;=A80,A81&lt;=A102),ISDATE(A81)=TRUE)</formula1>
    </dataValidation>
    <dataValidation type="custom" allowBlank="1" showDropDown="1" showInputMessage="1" showErrorMessage="1" prompt="Cellens värde måste vara ett heltal mellan 0 och 1440 (24h). Cellen går inte heller att fylla i om det inte finns en beräknad tid i kolumn L att jämföra med." sqref="S8:S27 S31:S50 S54:S76 S80:S101">
      <formula1>OR(S8="?",S8="",AND(L8&gt;0,S8&gt;=0,S8&lt;=1440))</formula1>
    </dataValidation>
    <dataValidation type="list" allowBlank="1" showInputMessage="1" showErrorMessage="1" prompt="Grenen eller aktiviteten kunde inte hittas i &quot;Info&quot;-fliken. Testa att börja skriva på grenens eller aktivitetens namn (eller välja i menyn). Vill du lägga till en inofficiell gren, eller en aktivitet som inte brukar finnas på tävlingar, så kan du lägga ti" sqref="C8:C27 C31:C50 C54:C76">
      <formula1>Info!$A$2:$A81</formula1>
    </dataValidation>
    <dataValidation type="custom" allowBlank="1" showDropDown="1" showInputMessage="1" showErrorMessage="1" prompt="För att kalkylarket ska fungera får inte huvudrummet eller sidorummen dela namn med varandra. Dessutom får inte denna cell vara ifylld om inte antalet tävlingsrum i cell M2 är minst 3." sqref="K4">
      <formula1>AND(K4&lt;&gt;E2,K4&lt;&gt;E4,K4&lt;&gt;Q4,M2&gt;=3)</formula1>
    </dataValidation>
    <dataValidation type="custom" allowBlank="1" showDropDown="1" showInputMessage="1" showErrorMessage="1" prompt="Cell C52 måste innehålla ett giltigt datum. Dubbelklicka på cellen så kommer en kalender upp där du kan välja en tävlingsdag." sqref="C52 C78">
      <formula1>OR(NOT(ISERROR(DATEVALUE(C52))), AND(ISNUMBER(C52), LEFT(CELL("format", C52))="D"))</formula1>
    </dataValidation>
    <dataValidation type="custom" allowBlank="1" showDropDown="1" showInputMessage="1" showErrorMessage="1" prompt="Fyll i det timslag som dagens första gren eller aktivitet börjar på. Börjar tävlingen exempelvis klockan 09:15 så skriver du &quot;9&quot; i cellen." sqref="A6 A29 A52 A78">
      <formula1>AND(A6&gt;=0,A6&lt;24,MOD(A6,1)=0)</formula1>
    </dataValidation>
    <dataValidation type="custom" allowBlank="1" showDropDown="1" showInputMessage="1" showErrorMessage="1" prompt="Cell C29 måste innehålla ett giltigt datum. Dubbelklicka på cellen så kommer en kalender upp där du kan välja en tävlingsdag." sqref="C29">
      <formula1>OR(NOT(ISERROR(DATEVALUE(C29))), AND(ISNUMBER(C29), LEFT(CELL("format", C29))="D"))</formula1>
    </dataValidation>
    <dataValidation type="list" allowBlank="1" showInputMessage="1" showErrorMessage="1" prompt="Rör ej - måste vara samma som huvudrummets namn." sqref="I4">
      <formula1>$E$2</formula1>
    </dataValidation>
    <dataValidation type="list" allowBlank="1" showInputMessage="1" showErrorMessage="1" prompt="I cell U2 måste det stå antingen &quot;Yes&quot; eller &quot;No&quot;." sqref="U2">
      <formula1>"Yes,No"</formula1>
    </dataValidation>
    <dataValidation type="list" allowBlank="1" showInputMessage="1" showErrorMessage="1" prompt="Det valda namnet på omgången matchar inget av de tillåtna namnen. Testa att börja skriva på omgångens namn (eller välja i menyn)." sqref="E8:E27 E31:E50 E54:E76 E80:E101">
      <formula1>"1,2,3,Final,R1 - A1,R1 - A2,R1 - A3,R2 - A1,R2 - A2,R2 - A3,R3 - A1,R3 - A2,R3 - A3,Final - A1,Final - A2,Final - A3"</formula1>
    </dataValidation>
    <dataValidation type="list" allowBlank="1" showInputMessage="1" showErrorMessage="1" prompt="Grenen eller aktiviteten kunde inte hittas i &quot;Info&quot;-fliken. Testa att börja skriva på grenens eller aktivitetens namn (eller välja i menyn). Vill du lägga till en inofficiell gren, eller en aktivitet som inte brukar finnas på tävlingar, så kan du lägga ti" sqref="C80:C101">
      <formula1>Info!$A$2:$A132</formula1>
    </dataValidation>
    <dataValidation type="custom" allowBlank="1" showDropDown="1" showInputMessage="1" showErrorMessage="1" prompt="Antalet uppställda timers måste vara ett heltal mellan 1 och 999." sqref="Q2 E6 K6 Q6 W6 P8:P27 P31:P50 P52 P54:P76 P78 P80:P101">
      <formula1>AND(E2&gt;0,E2&lt;1000,MOD(E2,1)=0)</formula1>
    </dataValidation>
    <dataValidation type="list" allowBlank="1" showInputMessage="1" showErrorMessage="1" prompt="Rör ej - behövs för summaberäkningarna" sqref="D29 D52 D78 D103">
      <formula1>$E$2</formula1>
    </dataValidation>
    <dataValidation type="list" allowBlank="1" showInputMessage="1" showErrorMessage="1" prompt="Det angivna rummet / scenen matchar inget av de namngivna rummen på rad 1-6. Testa att börja skriva på rummets namn (eller välja i menyn). Om du saknar eller vill ändra namnet på ett rum så gör du det på rad 1-6 i dokumentet. Om du behöver fler extrarum s" sqref="D8:D27 D31:D50 D54:D76 D80:D101">
      <formula1>RummensNamn</formula1>
    </dataValidation>
    <dataValidation type="custom" allowBlank="1" showDropDown="1" showInputMessage="1" showErrorMessage="1" prompt="För att kalkylarket ska fungera får inte huvudrummet eller sidorummen dela namn med varandra. Dessutom får inte denna cell vara ifylld om inte antalet tävlingsrum i cell M2 är minst 2." sqref="E4">
      <formula1>AND(E4&lt;&gt;E2,E4&lt;&gt;K4,E4&lt;&gt;Q4,M2&gt;=2)</formula1>
    </dataValidation>
    <dataValidation type="custom" allowBlank="1" showDropDown="1" showInputMessage="1" showErrorMessage="1" prompt="Cellens värde måste vara ett tal mellan 1 och 1440 (24h). Cellen går inte heller att fylla i om det inte finns en beräknad tid i kolumn L att jämföra med." sqref="R8:R27 R31:R50 R54:R76 R80:R101">
      <formula1>OR(R8="?",R8="",AND(L8&gt;0,R8&gt;=1,R8&lt;=1440))</formula1>
    </dataValidation>
    <dataValidation type="custom" allowBlank="1" showDropDown="1" showInputMessage="1" showErrorMessage="1" prompt="Rör ej! Cellen behövs för korrekta beräkningar och analyser." sqref="R29:S29 R103:S103">
      <formula1>$L$29</formula1>
    </dataValidation>
    <dataValidation type="list" allowBlank="1" showInputMessage="1" showErrorMessage="1" prompt="Antalet tävlingsrum måste vara ett heltal mellan 1 och 5." sqref="M2">
      <formula1>"1,2,3,4,5"</formula1>
    </dataValidation>
    <dataValidation type="custom" allowBlank="1" showDropDown="1" showInputMessage="1" showErrorMessage="1" prompt="Deltagargränsen måste vara ett heltal mellan 1 och 9999." sqref="I2">
      <formula1>AND(I2&gt;0,I2&lt;10000,MOD(I2,1)=0)</formula1>
    </dataValidation>
    <dataValidation type="list" allowBlank="1" showInputMessage="1" showErrorMessage="1" prompt="Den angivna populäraste grenen är antingen felstavad eller finns inte i &quot;Info&quot;-dokumentet." sqref="K2">
      <formula1>AllaAktiviteter</formula1>
    </dataValidation>
    <dataValidation type="custom" allowBlank="1" showDropDown="1" showInputMessage="1" showErrorMessage="1" prompt="Det angivna antalet deltagare måste vara ett heltal mellan 1 och deltagargränsen (i cell I2). För 3x3 FMC samt 3x3 MBLD har deltagarantalet ingen påverkan på tidsåtgången, och går ej heller att skriva in i cellen. Däremot behöver arrangören fortfarande se" sqref="J8:J27 J29 J31:J50 J52 J54:J76 J78 J80:J101">
      <formula1>AND($I$2&gt;=J8,0&lt;J8,MOD(J8,1)=0)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5.88"/>
    <col customWidth="1" min="2" max="2" width="10.13"/>
    <col customWidth="1" min="3" max="3" width="25.75"/>
    <col customWidth="1" min="4" max="4" width="10.88"/>
    <col customWidth="1" min="5" max="5" width="14.13"/>
    <col customWidth="1" min="6" max="7" width="18.25"/>
    <col customWidth="1" min="8" max="8" width="29.63"/>
    <col customWidth="1" min="9" max="9" width="25.38"/>
    <col customWidth="1" min="10" max="10" width="20.63"/>
    <col customWidth="1" min="11" max="11" width="19.13"/>
    <col customWidth="1" min="12" max="12" width="16.63"/>
    <col customWidth="1" min="13" max="13" width="18.0"/>
    <col customWidth="1" min="14" max="14" width="19.38"/>
    <col customWidth="1" min="15" max="15" width="25.13"/>
    <col customWidth="1" min="16" max="19" width="19.0"/>
    <col customWidth="1" min="20" max="20" width="64.75"/>
  </cols>
  <sheetData>
    <row r="1" ht="15.75" customHeight="1">
      <c r="A1" s="19" t="s">
        <v>118</v>
      </c>
      <c r="B1" s="19" t="s">
        <v>56</v>
      </c>
      <c r="C1" s="19" t="s">
        <v>119</v>
      </c>
      <c r="D1" s="19" t="s">
        <v>38</v>
      </c>
      <c r="E1" s="19" t="s">
        <v>120</v>
      </c>
      <c r="F1" s="97" t="s">
        <v>121</v>
      </c>
      <c r="G1" s="19" t="s">
        <v>122</v>
      </c>
      <c r="H1" s="19" t="s">
        <v>123</v>
      </c>
      <c r="I1" s="19" t="s">
        <v>124</v>
      </c>
      <c r="J1" s="19" t="s">
        <v>125</v>
      </c>
      <c r="K1" s="19" t="s">
        <v>126</v>
      </c>
      <c r="L1" s="19" t="s">
        <v>127</v>
      </c>
      <c r="M1" s="19" t="s">
        <v>128</v>
      </c>
      <c r="N1" s="19" t="s">
        <v>129</v>
      </c>
      <c r="O1" s="19" t="s">
        <v>130</v>
      </c>
      <c r="P1" s="19" t="s">
        <v>131</v>
      </c>
      <c r="Q1" s="19" t="s">
        <v>132</v>
      </c>
      <c r="R1" s="19" t="s">
        <v>133</v>
      </c>
      <c r="S1" s="19" t="s">
        <v>134</v>
      </c>
      <c r="T1" s="19" t="s">
        <v>135</v>
      </c>
    </row>
    <row r="2" ht="15.75" customHeight="1">
      <c r="A2" s="98" t="s">
        <v>12</v>
      </c>
      <c r="B2" s="98">
        <v>2.2</v>
      </c>
      <c r="C2" s="98">
        <f t="shared" ref="C2:C7" si="2">B2*$T$17</f>
        <v>1.65</v>
      </c>
      <c r="D2" s="98" t="s">
        <v>136</v>
      </c>
      <c r="E2" s="98" t="s">
        <v>13</v>
      </c>
      <c r="F2" s="99" t="s">
        <v>13</v>
      </c>
      <c r="G2" s="98" t="s">
        <v>137</v>
      </c>
      <c r="H2" s="98">
        <v>1.0</v>
      </c>
      <c r="I2" s="98">
        <v>4.0</v>
      </c>
      <c r="J2" s="100" t="str">
        <f t="shared" ref="J2:N2" si="1">IF(AND($E2="No",$F2="No"),"N/A","?")</f>
        <v>N/A</v>
      </c>
      <c r="K2" s="100" t="str">
        <f t="shared" si="1"/>
        <v>N/A</v>
      </c>
      <c r="L2" s="100" t="str">
        <f t="shared" si="1"/>
        <v>N/A</v>
      </c>
      <c r="M2" s="100" t="str">
        <f t="shared" si="1"/>
        <v>N/A</v>
      </c>
      <c r="N2" s="100" t="str">
        <f t="shared" si="1"/>
        <v>N/A</v>
      </c>
      <c r="O2" s="99" t="s">
        <v>138</v>
      </c>
      <c r="P2" s="98">
        <v>5.0</v>
      </c>
      <c r="Q2" s="98">
        <v>2.0</v>
      </c>
      <c r="R2" s="98">
        <v>2.0</v>
      </c>
      <c r="S2" s="98">
        <v>1.0</v>
      </c>
      <c r="T2" s="101">
        <v>0.95</v>
      </c>
    </row>
    <row r="3" ht="15.75" customHeight="1">
      <c r="A3" s="98" t="s">
        <v>94</v>
      </c>
      <c r="B3" s="98">
        <v>1.625</v>
      </c>
      <c r="C3" s="98">
        <f t="shared" si="2"/>
        <v>1.21875</v>
      </c>
      <c r="D3" s="98" t="s">
        <v>136</v>
      </c>
      <c r="E3" s="98" t="s">
        <v>13</v>
      </c>
      <c r="F3" s="99" t="s">
        <v>13</v>
      </c>
      <c r="G3" s="98" t="s">
        <v>137</v>
      </c>
      <c r="H3" s="98">
        <v>0.875</v>
      </c>
      <c r="I3" s="98">
        <v>3.0</v>
      </c>
      <c r="J3" s="100" t="str">
        <f>IF(AND($E3="No",$F3="No"),"N/A","?")</f>
        <v>N/A</v>
      </c>
      <c r="K3" s="100" t="s">
        <v>138</v>
      </c>
      <c r="L3" s="100" t="s">
        <v>138</v>
      </c>
      <c r="M3" s="100" t="s">
        <v>138</v>
      </c>
      <c r="N3" s="100" t="s">
        <v>138</v>
      </c>
      <c r="O3" s="99" t="s">
        <v>138</v>
      </c>
      <c r="P3" s="98">
        <v>2.0</v>
      </c>
      <c r="Q3" s="98">
        <v>1.0</v>
      </c>
      <c r="R3" s="98">
        <v>1.0</v>
      </c>
      <c r="S3" s="98">
        <v>1.0</v>
      </c>
      <c r="T3" s="102"/>
    </row>
    <row r="4" ht="15.75" customHeight="1">
      <c r="A4" s="98" t="s">
        <v>95</v>
      </c>
      <c r="B4" s="98">
        <v>3.5</v>
      </c>
      <c r="C4" s="98">
        <f t="shared" si="2"/>
        <v>2.625</v>
      </c>
      <c r="D4" s="98" t="s">
        <v>136</v>
      </c>
      <c r="E4" s="98" t="s">
        <v>14</v>
      </c>
      <c r="F4" s="99" t="s">
        <v>13</v>
      </c>
      <c r="G4" s="98" t="s">
        <v>137</v>
      </c>
      <c r="H4" s="98">
        <v>0.725</v>
      </c>
      <c r="I4" s="98">
        <v>2.0</v>
      </c>
      <c r="J4" s="98">
        <v>1.0</v>
      </c>
      <c r="K4" s="98">
        <v>1.125</v>
      </c>
      <c r="L4" s="98">
        <v>1.25</v>
      </c>
      <c r="M4" s="98">
        <v>1.5</v>
      </c>
      <c r="N4" s="98">
        <v>1.75</v>
      </c>
      <c r="O4" s="99">
        <v>6.0</v>
      </c>
      <c r="P4" s="98">
        <v>4.0</v>
      </c>
      <c r="Q4" s="98">
        <v>3.0</v>
      </c>
      <c r="R4" s="98">
        <v>3.0</v>
      </c>
      <c r="S4" s="98">
        <v>2.0</v>
      </c>
      <c r="T4" s="19" t="s">
        <v>139</v>
      </c>
    </row>
    <row r="5" ht="15.75" customHeight="1">
      <c r="A5" s="98" t="s">
        <v>96</v>
      </c>
      <c r="B5" s="98">
        <v>5.0</v>
      </c>
      <c r="C5" s="98">
        <f t="shared" si="2"/>
        <v>3.75</v>
      </c>
      <c r="D5" s="98" t="s">
        <v>136</v>
      </c>
      <c r="E5" s="98" t="s">
        <v>14</v>
      </c>
      <c r="F5" s="99" t="s">
        <v>13</v>
      </c>
      <c r="G5" s="98" t="s">
        <v>140</v>
      </c>
      <c r="H5" s="98">
        <v>0.525</v>
      </c>
      <c r="I5" s="98">
        <v>2.0</v>
      </c>
      <c r="J5" s="98">
        <v>1.75</v>
      </c>
      <c r="K5" s="98">
        <v>2.0</v>
      </c>
      <c r="L5" s="98">
        <v>2.25</v>
      </c>
      <c r="M5" s="98">
        <v>2.5</v>
      </c>
      <c r="N5" s="98">
        <v>2.75</v>
      </c>
      <c r="O5" s="99">
        <v>10.0</v>
      </c>
      <c r="P5" s="98">
        <v>6.0</v>
      </c>
      <c r="Q5" s="98">
        <v>4.0</v>
      </c>
      <c r="R5" s="98">
        <v>4.0</v>
      </c>
      <c r="S5" s="98">
        <v>3.0</v>
      </c>
      <c r="T5" s="98">
        <v>0.9</v>
      </c>
    </row>
    <row r="6" ht="15.75" customHeight="1">
      <c r="A6" s="98" t="s">
        <v>97</v>
      </c>
      <c r="B6" s="98">
        <v>7.5</v>
      </c>
      <c r="C6" s="98">
        <f t="shared" si="2"/>
        <v>5.625</v>
      </c>
      <c r="D6" s="98" t="s">
        <v>141</v>
      </c>
      <c r="E6" s="98" t="s">
        <v>14</v>
      </c>
      <c r="F6" s="99" t="s">
        <v>13</v>
      </c>
      <c r="G6" s="98" t="s">
        <v>142</v>
      </c>
      <c r="H6" s="98">
        <v>0.375</v>
      </c>
      <c r="I6" s="98">
        <v>1.0</v>
      </c>
      <c r="J6" s="98">
        <v>3.25</v>
      </c>
      <c r="K6" s="98">
        <v>3.75</v>
      </c>
      <c r="L6" s="98">
        <v>4.25</v>
      </c>
      <c r="M6" s="98">
        <v>4.75</v>
      </c>
      <c r="N6" s="98">
        <v>5.25</v>
      </c>
      <c r="O6" s="99">
        <v>12.0</v>
      </c>
      <c r="P6" s="98">
        <v>8.0</v>
      </c>
      <c r="Q6" s="98">
        <v>6.0</v>
      </c>
      <c r="R6" s="98">
        <v>6.0</v>
      </c>
      <c r="S6" s="98">
        <v>4.0</v>
      </c>
      <c r="T6" s="8"/>
    </row>
    <row r="7" ht="15.75" customHeight="1">
      <c r="A7" s="98" t="s">
        <v>98</v>
      </c>
      <c r="B7" s="98">
        <v>10.0</v>
      </c>
      <c r="C7" s="98">
        <f t="shared" si="2"/>
        <v>7.5</v>
      </c>
      <c r="D7" s="98" t="s">
        <v>141</v>
      </c>
      <c r="E7" s="98" t="s">
        <v>14</v>
      </c>
      <c r="F7" s="99" t="s">
        <v>13</v>
      </c>
      <c r="G7" s="98" t="s">
        <v>143</v>
      </c>
      <c r="H7" s="98">
        <v>0.325</v>
      </c>
      <c r="I7" s="98">
        <v>1.0</v>
      </c>
      <c r="J7" s="98">
        <v>5.0</v>
      </c>
      <c r="K7" s="98">
        <v>5.625</v>
      </c>
      <c r="L7" s="98">
        <v>6.25</v>
      </c>
      <c r="M7" s="98">
        <v>6.875</v>
      </c>
      <c r="N7" s="98">
        <v>7.5</v>
      </c>
      <c r="O7" s="99">
        <v>18.0</v>
      </c>
      <c r="P7" s="98">
        <v>10.0</v>
      </c>
      <c r="Q7" s="98">
        <v>8.0</v>
      </c>
      <c r="R7" s="98">
        <v>8.0</v>
      </c>
      <c r="S7" s="98">
        <v>5.0</v>
      </c>
      <c r="T7" s="19" t="s">
        <v>144</v>
      </c>
    </row>
    <row r="8" ht="15.75" customHeight="1">
      <c r="A8" s="98" t="s">
        <v>99</v>
      </c>
      <c r="B8" s="100" t="s">
        <v>138</v>
      </c>
      <c r="C8" s="100" t="s">
        <v>138</v>
      </c>
      <c r="D8" s="98" t="s">
        <v>145</v>
      </c>
      <c r="E8" s="98" t="s">
        <v>13</v>
      </c>
      <c r="F8" s="99" t="s">
        <v>14</v>
      </c>
      <c r="G8" s="100" t="s">
        <v>138</v>
      </c>
      <c r="H8" s="98">
        <v>0.375</v>
      </c>
      <c r="I8" s="98">
        <v>2.0</v>
      </c>
      <c r="J8" s="103">
        <v>9.0</v>
      </c>
      <c r="K8" s="103">
        <v>12.0</v>
      </c>
      <c r="L8" s="103">
        <v>15.0</v>
      </c>
      <c r="M8" s="103">
        <v>18.0</v>
      </c>
      <c r="N8" s="103">
        <v>21.0</v>
      </c>
      <c r="O8" s="104">
        <v>15.0</v>
      </c>
      <c r="P8" s="105" t="str">
        <f t="shared" ref="P8:S8" si="3">IF($F8="Yes","N/A","?")</f>
        <v>N/A</v>
      </c>
      <c r="Q8" s="105" t="str">
        <f t="shared" si="3"/>
        <v>N/A</v>
      </c>
      <c r="R8" s="105" t="str">
        <f t="shared" si="3"/>
        <v>N/A</v>
      </c>
      <c r="S8" s="105" t="str">
        <f t="shared" si="3"/>
        <v>N/A</v>
      </c>
      <c r="T8" s="98">
        <v>16.0</v>
      </c>
    </row>
    <row r="9" ht="15.75" customHeight="1">
      <c r="A9" s="98" t="s">
        <v>69</v>
      </c>
      <c r="B9" s="98">
        <v>70.0</v>
      </c>
      <c r="C9" s="98">
        <v>70.0</v>
      </c>
      <c r="D9" s="100" t="s">
        <v>138</v>
      </c>
      <c r="E9" s="98" t="s">
        <v>13</v>
      </c>
      <c r="F9" s="99" t="s">
        <v>13</v>
      </c>
      <c r="G9" s="100" t="s">
        <v>138</v>
      </c>
      <c r="H9" s="98">
        <v>0.325</v>
      </c>
      <c r="I9" s="98">
        <v>1.0</v>
      </c>
      <c r="J9" s="100" t="str">
        <f>IF(AND($E9="No",$F9="No"),"N/A","?")</f>
        <v>N/A</v>
      </c>
      <c r="K9" s="105" t="s">
        <v>138</v>
      </c>
      <c r="L9" s="105" t="s">
        <v>138</v>
      </c>
      <c r="M9" s="105" t="s">
        <v>138</v>
      </c>
      <c r="N9" s="105" t="s">
        <v>138</v>
      </c>
      <c r="O9" s="105" t="s">
        <v>138</v>
      </c>
      <c r="P9" s="105" t="s">
        <v>138</v>
      </c>
      <c r="Q9" s="105" t="s">
        <v>138</v>
      </c>
      <c r="R9" s="105" t="s">
        <v>138</v>
      </c>
      <c r="S9" s="105" t="s">
        <v>138</v>
      </c>
      <c r="T9" s="8"/>
    </row>
    <row r="10" ht="15.75" customHeight="1">
      <c r="A10" s="98" t="s">
        <v>100</v>
      </c>
      <c r="B10" s="98">
        <v>2.5</v>
      </c>
      <c r="C10" s="98">
        <f t="shared" ref="C10:C15" si="4">B10*$T$17</f>
        <v>1.875</v>
      </c>
      <c r="D10" s="98" t="s">
        <v>136</v>
      </c>
      <c r="E10" s="98" t="s">
        <v>14</v>
      </c>
      <c r="F10" s="99" t="s">
        <v>13</v>
      </c>
      <c r="G10" s="98" t="s">
        <v>137</v>
      </c>
      <c r="H10" s="98">
        <v>0.6</v>
      </c>
      <c r="I10" s="98">
        <v>2.0</v>
      </c>
      <c r="J10" s="98">
        <v>0.5</v>
      </c>
      <c r="K10" s="98">
        <v>0.625</v>
      </c>
      <c r="L10" s="98">
        <v>0.75</v>
      </c>
      <c r="M10" s="98">
        <v>0.875</v>
      </c>
      <c r="N10" s="98">
        <v>1.0</v>
      </c>
      <c r="O10" s="99">
        <v>4.0</v>
      </c>
      <c r="P10" s="98">
        <v>3.0</v>
      </c>
      <c r="Q10" s="98">
        <v>2.0</v>
      </c>
      <c r="R10" s="98">
        <v>2.0</v>
      </c>
      <c r="S10" s="98">
        <v>1.0</v>
      </c>
      <c r="T10" s="19" t="s">
        <v>146</v>
      </c>
    </row>
    <row r="11" ht="15.75" customHeight="1">
      <c r="A11" s="98" t="s">
        <v>101</v>
      </c>
      <c r="B11" s="98">
        <v>3.75</v>
      </c>
      <c r="C11" s="98">
        <f t="shared" si="4"/>
        <v>2.8125</v>
      </c>
      <c r="D11" s="98" t="s">
        <v>136</v>
      </c>
      <c r="E11" s="98" t="s">
        <v>14</v>
      </c>
      <c r="F11" s="99" t="s">
        <v>13</v>
      </c>
      <c r="G11" s="98" t="s">
        <v>140</v>
      </c>
      <c r="H11" s="98">
        <v>0.375</v>
      </c>
      <c r="I11" s="98">
        <v>2.0</v>
      </c>
      <c r="J11" s="98">
        <v>0.25</v>
      </c>
      <c r="K11" s="98">
        <v>0.375</v>
      </c>
      <c r="L11" s="98">
        <v>0.5</v>
      </c>
      <c r="M11" s="98">
        <v>0.625</v>
      </c>
      <c r="N11" s="98">
        <v>0.75</v>
      </c>
      <c r="O11" s="99">
        <v>2.0</v>
      </c>
      <c r="P11" s="98">
        <v>2.0</v>
      </c>
      <c r="Q11" s="98">
        <v>1.0</v>
      </c>
      <c r="R11" s="98">
        <v>1.0</v>
      </c>
      <c r="S11" s="98">
        <v>1.0</v>
      </c>
      <c r="T11" s="98">
        <v>2.5</v>
      </c>
    </row>
    <row r="12" ht="15.75" customHeight="1">
      <c r="A12" s="98" t="s">
        <v>102</v>
      </c>
      <c r="B12" s="98">
        <v>4.5</v>
      </c>
      <c r="C12" s="98">
        <f t="shared" si="4"/>
        <v>3.375</v>
      </c>
      <c r="D12" s="98" t="s">
        <v>136</v>
      </c>
      <c r="E12" s="98" t="s">
        <v>14</v>
      </c>
      <c r="F12" s="99" t="s">
        <v>13</v>
      </c>
      <c r="G12" s="98" t="s">
        <v>143</v>
      </c>
      <c r="H12" s="98">
        <v>0.425</v>
      </c>
      <c r="I12" s="98">
        <v>2.0</v>
      </c>
      <c r="J12" s="98">
        <v>1.75</v>
      </c>
      <c r="K12" s="98">
        <v>2.0</v>
      </c>
      <c r="L12" s="98">
        <v>2.25</v>
      </c>
      <c r="M12" s="98">
        <v>2.5</v>
      </c>
      <c r="N12" s="98">
        <v>2.75</v>
      </c>
      <c r="O12" s="99">
        <v>10.0</v>
      </c>
      <c r="P12" s="98">
        <v>6.0</v>
      </c>
      <c r="Q12" s="98">
        <v>4.0</v>
      </c>
      <c r="R12" s="98">
        <v>4.0</v>
      </c>
      <c r="S12" s="98">
        <v>3.0</v>
      </c>
      <c r="T12" s="90"/>
    </row>
    <row r="13" ht="15.75" customHeight="1">
      <c r="A13" s="98" t="s">
        <v>103</v>
      </c>
      <c r="B13" s="98">
        <v>2.0</v>
      </c>
      <c r="C13" s="98">
        <f t="shared" si="4"/>
        <v>1.5</v>
      </c>
      <c r="D13" s="98" t="s">
        <v>136</v>
      </c>
      <c r="E13" s="98" t="s">
        <v>13</v>
      </c>
      <c r="F13" s="99" t="s">
        <v>13</v>
      </c>
      <c r="G13" s="98" t="s">
        <v>137</v>
      </c>
      <c r="H13" s="98">
        <v>0.75</v>
      </c>
      <c r="I13" s="98">
        <v>3.0</v>
      </c>
      <c r="J13" s="100" t="str">
        <f t="shared" ref="J13:J14" si="5">IF(AND($E13="No",$F13="No"),"N/A","?")</f>
        <v>N/A</v>
      </c>
      <c r="K13" s="100" t="s">
        <v>138</v>
      </c>
      <c r="L13" s="100" t="s">
        <v>138</v>
      </c>
      <c r="M13" s="100" t="s">
        <v>138</v>
      </c>
      <c r="N13" s="100" t="s">
        <v>138</v>
      </c>
      <c r="O13" s="99" t="s">
        <v>138</v>
      </c>
      <c r="P13" s="98">
        <v>2.0</v>
      </c>
      <c r="Q13" s="98">
        <v>1.0</v>
      </c>
      <c r="R13" s="98">
        <v>1.0</v>
      </c>
      <c r="S13" s="98">
        <v>1.0</v>
      </c>
      <c r="T13" s="19" t="s">
        <v>147</v>
      </c>
    </row>
    <row r="14" ht="15.75" customHeight="1">
      <c r="A14" s="98" t="s">
        <v>104</v>
      </c>
      <c r="B14" s="98">
        <v>2.0</v>
      </c>
      <c r="C14" s="98">
        <f t="shared" si="4"/>
        <v>1.5</v>
      </c>
      <c r="D14" s="98" t="s">
        <v>136</v>
      </c>
      <c r="E14" s="98" t="s">
        <v>13</v>
      </c>
      <c r="F14" s="99" t="s">
        <v>13</v>
      </c>
      <c r="G14" s="98" t="s">
        <v>137</v>
      </c>
      <c r="H14" s="98">
        <v>0.625</v>
      </c>
      <c r="I14" s="98">
        <v>3.0</v>
      </c>
      <c r="J14" s="100" t="str">
        <f t="shared" si="5"/>
        <v>N/A</v>
      </c>
      <c r="K14" s="100" t="s">
        <v>138</v>
      </c>
      <c r="L14" s="100" t="s">
        <v>138</v>
      </c>
      <c r="M14" s="100" t="s">
        <v>138</v>
      </c>
      <c r="N14" s="100" t="s">
        <v>138</v>
      </c>
      <c r="O14" s="99" t="s">
        <v>138</v>
      </c>
      <c r="P14" s="98">
        <v>2.0</v>
      </c>
      <c r="Q14" s="98">
        <v>1.0</v>
      </c>
      <c r="R14" s="98">
        <v>1.0</v>
      </c>
      <c r="S14" s="98">
        <v>1.0</v>
      </c>
      <c r="T14" s="98">
        <v>1.25</v>
      </c>
    </row>
    <row r="15" ht="15.75" customHeight="1">
      <c r="A15" s="98" t="s">
        <v>105</v>
      </c>
      <c r="B15" s="98">
        <v>3.0</v>
      </c>
      <c r="C15" s="98">
        <f t="shared" si="4"/>
        <v>2.25</v>
      </c>
      <c r="D15" s="98" t="s">
        <v>136</v>
      </c>
      <c r="E15" s="98" t="s">
        <v>14</v>
      </c>
      <c r="F15" s="99" t="s">
        <v>13</v>
      </c>
      <c r="G15" s="98" t="s">
        <v>143</v>
      </c>
      <c r="H15" s="98">
        <v>0.4</v>
      </c>
      <c r="I15" s="98">
        <v>2.0</v>
      </c>
      <c r="J15" s="98">
        <v>0.5</v>
      </c>
      <c r="K15" s="98">
        <v>0.625</v>
      </c>
      <c r="L15" s="98">
        <v>0.75</v>
      </c>
      <c r="M15" s="98">
        <v>0.875</v>
      </c>
      <c r="N15" s="98">
        <v>1.0</v>
      </c>
      <c r="O15" s="99">
        <v>4.0</v>
      </c>
      <c r="P15" s="98">
        <v>3.0</v>
      </c>
      <c r="Q15" s="98">
        <v>2.0</v>
      </c>
      <c r="R15" s="98">
        <v>2.0</v>
      </c>
      <c r="S15" s="98">
        <v>1.0</v>
      </c>
      <c r="T15" s="8"/>
    </row>
    <row r="16" ht="15.75" customHeight="1">
      <c r="A16" s="98" t="s">
        <v>106</v>
      </c>
      <c r="B16" s="100" t="s">
        <v>138</v>
      </c>
      <c r="C16" s="100" t="s">
        <v>138</v>
      </c>
      <c r="D16" s="98" t="s">
        <v>145</v>
      </c>
      <c r="E16" s="98" t="s">
        <v>13</v>
      </c>
      <c r="F16" s="99" t="s">
        <v>14</v>
      </c>
      <c r="G16" s="100" t="s">
        <v>138</v>
      </c>
      <c r="H16" s="98">
        <v>0.15</v>
      </c>
      <c r="I16" s="98">
        <v>1.0</v>
      </c>
      <c r="J16" s="98">
        <v>25.0</v>
      </c>
      <c r="K16" s="98">
        <v>32.5</v>
      </c>
      <c r="L16" s="98">
        <v>40.0</v>
      </c>
      <c r="M16" s="98">
        <v>47.5</v>
      </c>
      <c r="N16" s="98">
        <v>55.0</v>
      </c>
      <c r="O16" s="99">
        <v>40.0</v>
      </c>
      <c r="P16" s="105" t="str">
        <f t="shared" ref="P16:S16" si="6">IF($F16="Yes","N/A","?")</f>
        <v>N/A</v>
      </c>
      <c r="Q16" s="105" t="str">
        <f t="shared" si="6"/>
        <v>N/A</v>
      </c>
      <c r="R16" s="105" t="str">
        <f t="shared" si="6"/>
        <v>N/A</v>
      </c>
      <c r="S16" s="105" t="str">
        <f t="shared" si="6"/>
        <v>N/A</v>
      </c>
      <c r="T16" s="19" t="s">
        <v>148</v>
      </c>
    </row>
    <row r="17" ht="15.75" customHeight="1">
      <c r="A17" s="98" t="s">
        <v>107</v>
      </c>
      <c r="B17" s="100" t="s">
        <v>138</v>
      </c>
      <c r="C17" s="100" t="s">
        <v>138</v>
      </c>
      <c r="D17" s="98" t="s">
        <v>145</v>
      </c>
      <c r="E17" s="98" t="s">
        <v>13</v>
      </c>
      <c r="F17" s="99" t="s">
        <v>14</v>
      </c>
      <c r="G17" s="100" t="s">
        <v>138</v>
      </c>
      <c r="H17" s="98">
        <v>0.125</v>
      </c>
      <c r="I17" s="98">
        <v>1.0</v>
      </c>
      <c r="J17" s="103">
        <v>35.0</v>
      </c>
      <c r="K17" s="103">
        <v>47.5</v>
      </c>
      <c r="L17" s="103">
        <v>60.0</v>
      </c>
      <c r="M17" s="103">
        <v>72.5</v>
      </c>
      <c r="N17" s="103">
        <v>85.0</v>
      </c>
      <c r="O17" s="104">
        <v>60.0</v>
      </c>
      <c r="P17" s="105" t="str">
        <f t="shared" ref="P17:S17" si="7">IF($F17="Yes","N/A","?")</f>
        <v>N/A</v>
      </c>
      <c r="Q17" s="105" t="str">
        <f t="shared" si="7"/>
        <v>N/A</v>
      </c>
      <c r="R17" s="105" t="str">
        <f t="shared" si="7"/>
        <v>N/A</v>
      </c>
      <c r="S17" s="105" t="str">
        <f t="shared" si="7"/>
        <v>N/A</v>
      </c>
      <c r="T17" s="98">
        <v>0.75</v>
      </c>
    </row>
    <row r="18" ht="15.75" customHeight="1">
      <c r="A18" s="98" t="s">
        <v>77</v>
      </c>
      <c r="B18" s="98">
        <v>75.0</v>
      </c>
      <c r="C18" s="98">
        <v>75.0</v>
      </c>
      <c r="D18" s="100" t="s">
        <v>138</v>
      </c>
      <c r="E18" s="98" t="s">
        <v>13</v>
      </c>
      <c r="F18" s="99" t="s">
        <v>13</v>
      </c>
      <c r="G18" s="100" t="s">
        <v>138</v>
      </c>
      <c r="H18" s="98">
        <v>0.225</v>
      </c>
      <c r="I18" s="98">
        <v>1.0</v>
      </c>
      <c r="J18" s="100" t="str">
        <f>IF(AND($E18="No",$F18="No"),"N/A","?")</f>
        <v>N/A</v>
      </c>
      <c r="K18" s="105" t="s">
        <v>138</v>
      </c>
      <c r="L18" s="105" t="s">
        <v>138</v>
      </c>
      <c r="M18" s="105" t="s">
        <v>138</v>
      </c>
      <c r="N18" s="105" t="s">
        <v>138</v>
      </c>
      <c r="O18" s="105" t="s">
        <v>138</v>
      </c>
      <c r="P18" s="106" t="s">
        <v>138</v>
      </c>
      <c r="Q18" s="106" t="s">
        <v>138</v>
      </c>
      <c r="R18" s="106" t="s">
        <v>138</v>
      </c>
      <c r="S18" s="106" t="s">
        <v>138</v>
      </c>
      <c r="T18" s="90"/>
    </row>
    <row r="19" ht="15.75" customHeight="1">
      <c r="A19" s="98" t="s">
        <v>108</v>
      </c>
      <c r="B19" s="98">
        <v>8.75</v>
      </c>
      <c r="C19" s="98">
        <f>B19*$T$17</f>
        <v>6.5625</v>
      </c>
      <c r="D19" s="98" t="s">
        <v>141</v>
      </c>
      <c r="E19" s="98" t="s">
        <v>14</v>
      </c>
      <c r="F19" s="99" t="s">
        <v>13</v>
      </c>
      <c r="G19" s="98" t="s">
        <v>143</v>
      </c>
      <c r="H19" s="98">
        <f>(H6+H7)/2</f>
        <v>0.35</v>
      </c>
      <c r="I19" s="98">
        <v>1.0</v>
      </c>
      <c r="J19" s="103" t="str">
        <f t="shared" ref="J19:N19" si="8">CONCATENATE(J6&amp;" / "&amp;J7)</f>
        <v>3.25 / 5</v>
      </c>
      <c r="K19" s="103" t="str">
        <f t="shared" si="8"/>
        <v>3.75 / 5.625</v>
      </c>
      <c r="L19" s="103" t="str">
        <f t="shared" si="8"/>
        <v>4.25 / 6.25</v>
      </c>
      <c r="M19" s="103" t="str">
        <f t="shared" si="8"/>
        <v>4.75 / 6.875</v>
      </c>
      <c r="N19" s="103" t="str">
        <f t="shared" si="8"/>
        <v>5.25 / 7.5</v>
      </c>
      <c r="O19" s="104">
        <v>30.0</v>
      </c>
      <c r="P19" s="103" t="str">
        <f t="shared" ref="P19:S19" si="9">IF($F$19="No",CONCATENATE(P6&amp;" / "&amp;P7),"N/A")</f>
        <v>8 / 10</v>
      </c>
      <c r="Q19" s="103" t="str">
        <f t="shared" si="9"/>
        <v>6 / 8</v>
      </c>
      <c r="R19" s="103" t="str">
        <f t="shared" si="9"/>
        <v>6 / 8</v>
      </c>
      <c r="S19" s="103" t="str">
        <f t="shared" si="9"/>
        <v>4 / 5</v>
      </c>
      <c r="T19" s="19" t="s">
        <v>149</v>
      </c>
    </row>
    <row r="20" ht="15.75" customHeight="1">
      <c r="A20" s="98" t="s">
        <v>109</v>
      </c>
      <c r="B20" s="100" t="s">
        <v>138</v>
      </c>
      <c r="C20" s="100" t="s">
        <v>138</v>
      </c>
      <c r="D20" s="98" t="s">
        <v>145</v>
      </c>
      <c r="E20" s="98" t="s">
        <v>13</v>
      </c>
      <c r="F20" s="99" t="s">
        <v>14</v>
      </c>
      <c r="G20" s="100" t="s">
        <v>138</v>
      </c>
      <c r="H20" s="98">
        <f>(H16+H17)/2</f>
        <v>0.1375</v>
      </c>
      <c r="I20" s="98">
        <v>1.0</v>
      </c>
      <c r="J20" s="103">
        <v>45.0</v>
      </c>
      <c r="K20" s="103">
        <v>60.0</v>
      </c>
      <c r="L20" s="103">
        <v>75.0</v>
      </c>
      <c r="M20" s="103">
        <v>90.0</v>
      </c>
      <c r="N20" s="103">
        <v>105.0</v>
      </c>
      <c r="O20" s="104">
        <v>75.0</v>
      </c>
      <c r="P20" s="105" t="str">
        <f t="shared" ref="P20:S20" si="10">IF($F20="Yes","N/A","?")</f>
        <v>N/A</v>
      </c>
      <c r="Q20" s="105" t="str">
        <f t="shared" si="10"/>
        <v>N/A</v>
      </c>
      <c r="R20" s="105" t="str">
        <f t="shared" si="10"/>
        <v>N/A</v>
      </c>
      <c r="S20" s="105" t="str">
        <f t="shared" si="10"/>
        <v>N/A</v>
      </c>
      <c r="T20" s="98">
        <v>1.3</v>
      </c>
    </row>
    <row r="21" ht="15.75" customHeight="1">
      <c r="A21" s="8"/>
      <c r="B21" s="19" t="s">
        <v>150</v>
      </c>
      <c r="D21" s="90"/>
      <c r="E21" s="90"/>
      <c r="F21" s="90"/>
      <c r="G21" s="90"/>
      <c r="H21" s="90"/>
      <c r="I21" s="90"/>
      <c r="J21" s="107" t="s">
        <v>151</v>
      </c>
      <c r="K21" s="107" t="s">
        <v>151</v>
      </c>
      <c r="L21" s="107" t="s">
        <v>151</v>
      </c>
      <c r="M21" s="107" t="s">
        <v>151</v>
      </c>
      <c r="N21" s="107" t="s">
        <v>151</v>
      </c>
      <c r="O21" s="108"/>
      <c r="P21" s="108"/>
      <c r="Q21" s="108"/>
      <c r="R21" s="108"/>
      <c r="S21" s="108"/>
      <c r="T21" s="90"/>
    </row>
    <row r="22" ht="15.75" customHeight="1">
      <c r="A22" s="98" t="s">
        <v>152</v>
      </c>
      <c r="B22" s="98">
        <v>15.0</v>
      </c>
      <c r="C22" s="98">
        <v>15.0</v>
      </c>
      <c r="D22" s="90"/>
      <c r="E22" s="90"/>
      <c r="F22" s="90"/>
      <c r="G22" s="90"/>
      <c r="H22" s="90"/>
      <c r="I22" s="90"/>
      <c r="J22" s="103">
        <v>0.65</v>
      </c>
      <c r="K22" s="103">
        <v>0.725</v>
      </c>
      <c r="L22" s="103">
        <f>$T$26</f>
        <v>0.8</v>
      </c>
      <c r="M22" s="103">
        <v>0.875</v>
      </c>
      <c r="N22" s="103">
        <v>0.95</v>
      </c>
      <c r="O22" s="109"/>
      <c r="P22" s="109"/>
      <c r="Q22" s="109"/>
      <c r="R22" s="109"/>
      <c r="S22" s="109"/>
      <c r="T22" s="19" t="s">
        <v>153</v>
      </c>
    </row>
    <row r="23" ht="15.75" customHeight="1">
      <c r="A23" s="98" t="s">
        <v>154</v>
      </c>
      <c r="B23" s="98">
        <v>15.0</v>
      </c>
      <c r="C23" s="98">
        <v>15.0</v>
      </c>
      <c r="D23" s="90"/>
      <c r="E23" s="90"/>
      <c r="F23" s="90"/>
      <c r="G23" s="90"/>
      <c r="H23" s="90"/>
      <c r="I23" s="90"/>
      <c r="J23" s="107" t="s">
        <v>155</v>
      </c>
      <c r="K23" s="107" t="s">
        <v>155</v>
      </c>
      <c r="L23" s="107" t="s">
        <v>155</v>
      </c>
      <c r="M23" s="107" t="s">
        <v>155</v>
      </c>
      <c r="N23" s="107" t="s">
        <v>155</v>
      </c>
      <c r="O23" s="108"/>
      <c r="P23" s="108"/>
      <c r="Q23" s="108"/>
      <c r="R23" s="108"/>
      <c r="S23" s="108"/>
      <c r="T23" s="98">
        <v>1.2</v>
      </c>
    </row>
    <row r="24" ht="15.75" customHeight="1">
      <c r="A24" s="98" t="s">
        <v>156</v>
      </c>
      <c r="B24" s="98">
        <v>0.0</v>
      </c>
      <c r="C24" s="98">
        <v>0.0</v>
      </c>
      <c r="D24" s="90"/>
      <c r="E24" s="90"/>
      <c r="F24" s="90"/>
      <c r="G24" s="90"/>
      <c r="H24" s="90"/>
      <c r="I24" s="90"/>
      <c r="J24" s="103">
        <v>0.8</v>
      </c>
      <c r="K24" s="103">
        <v>0.85</v>
      </c>
      <c r="L24" s="103">
        <f>$T$29</f>
        <v>0.9</v>
      </c>
      <c r="M24" s="103">
        <v>0.925</v>
      </c>
      <c r="N24" s="103">
        <v>0.95</v>
      </c>
      <c r="O24" s="109"/>
      <c r="P24" s="109"/>
      <c r="Q24" s="109"/>
      <c r="R24" s="109"/>
      <c r="S24" s="109"/>
      <c r="T24" s="90"/>
    </row>
    <row r="25" ht="15.75" customHeight="1">
      <c r="A25" s="98" t="s">
        <v>157</v>
      </c>
      <c r="B25" s="98">
        <v>60.0</v>
      </c>
      <c r="C25" s="98">
        <v>60.0</v>
      </c>
      <c r="D25" s="90"/>
      <c r="E25" s="90"/>
      <c r="F25" s="90"/>
      <c r="G25" s="90"/>
      <c r="H25" s="90"/>
      <c r="I25" s="90"/>
      <c r="J25" s="107" t="s">
        <v>158</v>
      </c>
      <c r="K25" s="103"/>
      <c r="L25" s="107" t="s">
        <v>159</v>
      </c>
      <c r="M25" s="103"/>
      <c r="N25" s="103"/>
      <c r="O25" s="109"/>
      <c r="P25" s="109"/>
      <c r="Q25" s="109"/>
      <c r="R25" s="109"/>
      <c r="S25" s="109"/>
      <c r="T25" s="19" t="s">
        <v>160</v>
      </c>
    </row>
    <row r="26" ht="15.75" customHeight="1">
      <c r="A26" s="98" t="s">
        <v>161</v>
      </c>
      <c r="B26" s="98">
        <v>60.0</v>
      </c>
      <c r="C26" s="98">
        <v>60.0</v>
      </c>
      <c r="D26" s="90"/>
      <c r="E26" s="90"/>
      <c r="F26" s="90"/>
      <c r="G26" s="90"/>
      <c r="H26" s="90"/>
      <c r="I26" s="90"/>
      <c r="J26" s="103">
        <v>0.975</v>
      </c>
      <c r="L26" s="103">
        <v>0.975</v>
      </c>
      <c r="O26" s="109"/>
      <c r="P26" s="109"/>
      <c r="Q26" s="109"/>
      <c r="R26" s="109"/>
      <c r="S26" s="109"/>
      <c r="T26" s="98">
        <v>0.8</v>
      </c>
    </row>
    <row r="27" ht="15.75" customHeight="1">
      <c r="A27" s="98" t="s">
        <v>162</v>
      </c>
      <c r="B27" s="98">
        <v>60.0</v>
      </c>
      <c r="C27" s="98">
        <v>60.0</v>
      </c>
      <c r="D27" s="90"/>
      <c r="E27" s="90"/>
      <c r="F27" s="90"/>
      <c r="G27" s="90"/>
      <c r="H27" s="90"/>
      <c r="I27" s="90"/>
      <c r="J27" s="109"/>
      <c r="K27" s="109"/>
      <c r="L27" s="109"/>
      <c r="M27" s="109"/>
      <c r="N27" s="109"/>
      <c r="O27" s="109"/>
      <c r="P27" s="109"/>
      <c r="Q27" s="109"/>
      <c r="R27" s="109"/>
      <c r="S27" s="109"/>
      <c r="T27" s="90"/>
    </row>
    <row r="28" ht="15.75" customHeight="1">
      <c r="A28" s="98" t="s">
        <v>163</v>
      </c>
      <c r="B28" s="98">
        <v>15.0</v>
      </c>
      <c r="C28" s="98">
        <v>15.0</v>
      </c>
      <c r="D28" s="90"/>
      <c r="E28" s="90"/>
      <c r="F28" s="90"/>
      <c r="G28" s="90"/>
      <c r="H28" s="90"/>
      <c r="I28" s="90"/>
      <c r="J28" s="109"/>
      <c r="K28" s="109"/>
      <c r="L28" s="109"/>
      <c r="M28" s="109"/>
      <c r="N28" s="109"/>
      <c r="O28" s="109"/>
      <c r="P28" s="109"/>
      <c r="Q28" s="109"/>
      <c r="R28" s="109"/>
      <c r="S28" s="109"/>
      <c r="T28" s="19" t="s">
        <v>164</v>
      </c>
    </row>
    <row r="29" ht="15.75" customHeight="1">
      <c r="A29" s="98" t="s">
        <v>165</v>
      </c>
      <c r="B29" s="98">
        <v>20.0</v>
      </c>
      <c r="C29" s="98">
        <v>20.0</v>
      </c>
      <c r="D29" s="90"/>
      <c r="E29" s="90"/>
      <c r="F29" s="90"/>
      <c r="G29" s="90"/>
      <c r="H29" s="90"/>
      <c r="I29" s="90"/>
      <c r="J29" s="109"/>
      <c r="K29" s="109"/>
      <c r="L29" s="109"/>
      <c r="M29" s="109"/>
      <c r="N29" s="109"/>
      <c r="O29" s="109"/>
      <c r="P29" s="109"/>
      <c r="Q29" s="109"/>
      <c r="R29" s="109"/>
      <c r="S29" s="109"/>
      <c r="T29" s="98">
        <v>0.9</v>
      </c>
    </row>
    <row r="30" ht="15.75" customHeight="1">
      <c r="A30" s="98" t="s">
        <v>166</v>
      </c>
      <c r="B30" s="98">
        <v>10.0</v>
      </c>
      <c r="C30" s="98">
        <v>10.0</v>
      </c>
      <c r="D30" s="90"/>
      <c r="E30" s="90"/>
      <c r="F30" s="90"/>
      <c r="G30" s="90"/>
      <c r="H30" s="90"/>
      <c r="I30" s="90"/>
      <c r="J30" s="109"/>
      <c r="K30" s="109"/>
      <c r="L30" s="109"/>
      <c r="M30" s="109"/>
      <c r="N30" s="109"/>
      <c r="O30" s="109"/>
      <c r="P30" s="109"/>
      <c r="Q30" s="109"/>
      <c r="R30" s="109"/>
      <c r="S30" s="109"/>
      <c r="T30" s="90"/>
    </row>
    <row r="31" ht="15.75" customHeight="1">
      <c r="A31" s="100"/>
      <c r="B31" s="100"/>
      <c r="C31" s="100"/>
      <c r="D31" s="90"/>
      <c r="E31" s="90"/>
      <c r="F31" s="90"/>
      <c r="G31" s="90"/>
      <c r="H31" s="90"/>
      <c r="I31" s="90"/>
      <c r="J31" s="109"/>
      <c r="K31" s="109"/>
      <c r="L31" s="109"/>
      <c r="M31" s="109"/>
      <c r="N31" s="109"/>
      <c r="O31" s="109"/>
      <c r="P31" s="109"/>
      <c r="Q31" s="109"/>
      <c r="R31" s="109"/>
      <c r="S31" s="109"/>
      <c r="T31" s="19" t="s">
        <v>167</v>
      </c>
    </row>
    <row r="32" ht="15.75" customHeight="1">
      <c r="A32" s="100"/>
      <c r="B32" s="100"/>
      <c r="C32" s="100"/>
      <c r="D32" s="90"/>
      <c r="E32" s="90"/>
      <c r="F32" s="90"/>
      <c r="G32" s="90"/>
      <c r="H32" s="90"/>
      <c r="I32" s="90"/>
      <c r="J32" s="109"/>
      <c r="K32" s="109"/>
      <c r="L32" s="109"/>
      <c r="M32" s="109"/>
      <c r="N32" s="109"/>
      <c r="O32" s="109"/>
      <c r="P32" s="109"/>
      <c r="Q32" s="109"/>
      <c r="R32" s="109"/>
      <c r="S32" s="109"/>
      <c r="T32" s="98">
        <v>0.75</v>
      </c>
    </row>
    <row r="33" ht="15.75" customHeight="1">
      <c r="A33" s="100"/>
      <c r="B33" s="100"/>
      <c r="C33" s="100"/>
      <c r="D33" s="90"/>
      <c r="E33" s="90"/>
      <c r="F33" s="90"/>
      <c r="G33" s="90"/>
      <c r="H33" s="90"/>
      <c r="I33" s="90"/>
      <c r="J33" s="109"/>
      <c r="K33" s="109"/>
      <c r="L33" s="109"/>
      <c r="M33" s="109"/>
      <c r="N33" s="109"/>
      <c r="O33" s="109"/>
      <c r="P33" s="109"/>
      <c r="Q33" s="109"/>
      <c r="R33" s="109"/>
      <c r="S33" s="109"/>
      <c r="T33" s="90"/>
    </row>
    <row r="34" ht="15.75" customHeight="1">
      <c r="A34" s="100"/>
      <c r="B34" s="100"/>
      <c r="C34" s="100"/>
      <c r="D34" s="90"/>
      <c r="E34" s="90"/>
      <c r="F34" s="90"/>
      <c r="G34" s="90"/>
      <c r="H34" s="90"/>
      <c r="I34" s="90"/>
      <c r="J34" s="109"/>
      <c r="K34" s="109"/>
      <c r="L34" s="109"/>
      <c r="M34" s="109"/>
      <c r="N34" s="109"/>
      <c r="O34" s="109"/>
      <c r="P34" s="109"/>
      <c r="Q34" s="109"/>
      <c r="R34" s="109"/>
      <c r="S34" s="109"/>
      <c r="T34" s="19" t="s">
        <v>168</v>
      </c>
    </row>
    <row r="35" ht="15.75" customHeight="1">
      <c r="A35" s="100"/>
      <c r="B35" s="100"/>
      <c r="C35" s="100"/>
      <c r="D35" s="90"/>
      <c r="E35" s="90"/>
      <c r="F35" s="90"/>
      <c r="G35" s="90"/>
      <c r="H35" s="90"/>
      <c r="I35" s="90"/>
      <c r="J35" s="109"/>
      <c r="K35" s="109"/>
      <c r="L35" s="109"/>
      <c r="M35" s="109"/>
      <c r="N35" s="109"/>
      <c r="O35" s="109"/>
      <c r="P35" s="109"/>
      <c r="Q35" s="109"/>
      <c r="R35" s="109"/>
      <c r="S35" s="109"/>
      <c r="T35" s="98">
        <v>1.0</v>
      </c>
    </row>
    <row r="36" ht="15.75" customHeight="1">
      <c r="A36" s="100"/>
      <c r="B36" s="100"/>
      <c r="C36" s="100"/>
      <c r="D36" s="90"/>
      <c r="E36" s="90"/>
      <c r="F36" s="90"/>
      <c r="G36" s="90"/>
      <c r="H36" s="90"/>
      <c r="I36" s="90"/>
      <c r="J36" s="109"/>
      <c r="K36" s="109"/>
      <c r="L36" s="109"/>
      <c r="M36" s="109"/>
      <c r="N36" s="109"/>
      <c r="O36" s="109"/>
      <c r="P36" s="109"/>
      <c r="Q36" s="109"/>
      <c r="R36" s="109"/>
      <c r="S36" s="109"/>
      <c r="T36" s="90"/>
    </row>
    <row r="37" ht="15.75" customHeight="1">
      <c r="A37" s="100"/>
      <c r="B37" s="100"/>
      <c r="C37" s="100"/>
      <c r="D37" s="90"/>
      <c r="E37" s="90"/>
      <c r="F37" s="90"/>
      <c r="G37" s="90"/>
      <c r="H37" s="90"/>
      <c r="I37" s="90"/>
      <c r="J37" s="109"/>
      <c r="K37" s="109"/>
      <c r="L37" s="109"/>
      <c r="M37" s="109"/>
      <c r="N37" s="109"/>
      <c r="O37" s="109"/>
      <c r="P37" s="109"/>
      <c r="Q37" s="109"/>
      <c r="R37" s="109"/>
      <c r="S37" s="109"/>
      <c r="T37" s="19" t="s">
        <v>169</v>
      </c>
    </row>
    <row r="38" ht="15.75" customHeight="1">
      <c r="A38" s="100"/>
      <c r="B38" s="100"/>
      <c r="C38" s="100"/>
      <c r="D38" s="90"/>
      <c r="E38" s="90"/>
      <c r="F38" s="90"/>
      <c r="G38" s="90"/>
      <c r="H38" s="90"/>
      <c r="I38" s="90"/>
      <c r="J38" s="109"/>
      <c r="K38" s="109"/>
      <c r="L38" s="109"/>
      <c r="M38" s="109"/>
      <c r="N38" s="109"/>
      <c r="O38" s="109"/>
      <c r="P38" s="109"/>
      <c r="Q38" s="109"/>
      <c r="R38" s="109"/>
      <c r="S38" s="109"/>
      <c r="T38" s="98">
        <v>1.1</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1:C21"/>
    <mergeCell ref="J26:K26"/>
    <mergeCell ref="L26:N26"/>
  </mergeCells>
  <conditionalFormatting sqref="J2:N20">
    <cfRule type="expression" dxfId="3" priority="1">
      <formula>indirect("F"&amp;row())="Yes"</formula>
    </cfRule>
  </conditionalFormatting>
  <conditionalFormatting sqref="J2:O20">
    <cfRule type="expression" dxfId="4" priority="2">
      <formula>AND(indirect("E"&amp;row())="No",indirect("F"&amp;row())="No")</formula>
    </cfRule>
  </conditionalFormatting>
  <dataValidations>
    <dataValidation type="decimal" allowBlank="1" showDropDown="1" showInputMessage="1" showErrorMessage="1" prompt="Tiden det tar att byta mellan grupper måste vara ett tal mellan 0 och 60." sqref="T11">
      <formula1>0.0</formula1>
      <formula2>60.0</formula2>
    </dataValidation>
    <dataValidation type="list" allowBlank="1" showInputMessage="1" showErrorMessage="1" prompt="Ange ett av de valbara alternativen i listan." sqref="G2:G7 G10:G15 G19">
      <formula1>"Nej,Svår,Mycket svår,N/A"</formula1>
    </dataValidation>
    <dataValidation type="decimal" allowBlank="1" showDropDown="1" showInputMessage="1" showErrorMessage="1" prompt="Kvoten mellan hur mycket snabbare en finalrunda går att genomföra jämfört med en 1:a runda måste vara ett tal mellan 0 och 1." sqref="T5">
      <formula1>0.0</formula1>
      <formula2>1.0</formula2>
    </dataValidation>
    <dataValidation type="custom" allowBlank="1" showDropDown="1" showInputMessage="1" showErrorMessage="1" prompt="Om cumulative time limit för grenen är satt till &quot;No&quot; i kolumn F så måste formatet på denna cell vara x / y, exempelvis 8 / 10. Används cumulative time limit så sätts cellen som blank eller &quot;N/A&quot; , då den inte längre har någon påverkan på beräkningarna." sqref="P20:S20">
      <formula1>IF($F20="No",REGEXMATCH(TO_TEXT(P20)," / ")=TRUE,OR(P20="N/A",P20="",AND(P20&gt;0,P20&lt;=60)))</formula1>
    </dataValidation>
    <dataValidation type="decimal" allowBlank="1" showDropDown="1" showInputMessage="1" showErrorMessage="1" prompt="För grenen 3x3 måste detta tal vara exakt 1." sqref="H2">
      <formula1>1.0</formula1>
      <formula2>1.0</formula2>
    </dataValidation>
    <dataValidation type="decimal" allowBlank="1" showDropDown="1" showInputMessage="1" showErrorMessage="1" prompt="Den extra tiden det tar att byta mellan grupper om fler än ett blandningsbord / stage används måste vara ett tal mellan 0 och 60." sqref="T14">
      <formula1>0.0</formula1>
      <formula2>60.0</formula2>
    </dataValidation>
    <dataValidation type="decimal" operator="greaterThan" allowBlank="1" showDropDown="1" showInputMessage="1" showErrorMessage="1" prompt="Försökstiden måste vara ett tal större än 0." sqref="B2:C7 B10:C15 B19:C19">
      <formula1>0.0</formula1>
    </dataValidation>
    <dataValidation type="list" allowBlank="1" showDropDown="1" showInputMessage="1" showErrorMessage="1" prompt="Cellen måste vara tom (N/A) då tidsåtgången för rundor i 4x4 BLD, 5x5 BLD (och 4x4 / 5x5 BLD) endast beror på den cumulative time limit som väljs när grenen skrivs in i schemat." sqref="B16:C17 B20:C20">
      <formula1>"N/A"</formula1>
    </dataValidation>
    <dataValidation type="decimal" allowBlank="1" showDropDown="1" showInputMessage="1" showErrorMessage="1" prompt="Kvoten mellan hur många av deltagarna som väntas klara en normal cumulative time limit måste vara ett tal mellan 0 och 1." sqref="T29">
      <formula1>0.0</formula1>
      <formula2>1.0</formula2>
    </dataValidation>
    <dataValidation type="custom" allowBlank="1" showDropDown="1" showInputMessage="1" showErrorMessage="1" prompt="Grenen 3x3 BLD får ej ha en cutoff." sqref="E8">
      <formula1>E8="No"</formula1>
    </dataValidation>
    <dataValidation type="list" allowBlank="1" showInputMessage="1" showErrorMessage="1" prompt="Cell D9 måste vara tom (N/A) då 3x3 FMC kan ha många olika format. Kalkylarket gör ett försök att läsa av hur många rundor du vill ha när du gör schemat, men det kan sedan även ändras manuellt." sqref="D9">
      <formula1>"N/A"</formula1>
    </dataValidation>
    <dataValidation type="custom" allowBlank="1" showDropDown="1" showInputMessage="1" showErrorMessage="1" prompt="Om cutoff för grenen är satt till &quot;Yes&quot; i kolumn E så måste formatet på denna cell vara x / y, exempelvis 4,5 / 6,5. Används inte cutoff måste talet vara mellan 0 och 180." sqref="L19">
      <formula1>IF(E19="Yes",REGEXMATCH(TO_TEXT(L19)," / ")=TRUE,AND(L19&gt;0,L19&lt;=180))</formula1>
    </dataValidation>
    <dataValidation type="custom" allowBlank="1" showDropDown="1" showInputMessage="1" showErrorMessage="1" prompt="Grenen 3x3 MBLD får ej ha en cumulative time limit." sqref="F18">
      <formula1>F18="No"</formula1>
    </dataValidation>
    <dataValidation type="custom" allowBlank="1" showDropDown="1" showInputMessage="1" showErrorMessage="1" prompt="Time limit per lösning i 3x3 FMC är alltid 60 minuter och har således ingen påverkan på schemat om den ändras här." sqref="P9:S9">
      <formula1>P9="N/A"</formula1>
    </dataValidation>
    <dataValidation type="custom" allowBlank="1" showDropDown="1" showInputMessage="1" showErrorMessage="1" prompt="Grenen 4x4 BLD får ej ha en cutoff." sqref="E16">
      <formula1>E16="No"</formula1>
    </dataValidation>
    <dataValidation type="list" allowBlank="1" showInputMessage="1" showErrorMessage="1" prompt="Formatet måste vara Best of 3." sqref="D8 D16:D17 D20">
      <formula1>"Best of 3"</formula1>
    </dataValidation>
    <dataValidation type="list" allowBlank="1" showInputMessage="1" showErrorMessage="1" prompt="Cell D18 måste vara tom (N/A) då 3x3 MBLD kan ha många olika format. Kalkylarket gör ett försök att läsa av hur många rundor du vill ha när du gör schemat, men det kan sedan även ändras manuellt." sqref="D18">
      <formula1>"N/A"</formula1>
    </dataValidation>
    <dataValidation type="list" allowBlank="1" showInputMessage="1" showErrorMessage="1" prompt="Formatet måste vara Mean of 3." sqref="D6:D7 D19">
      <formula1>"Mean of 3"</formula1>
    </dataValidation>
    <dataValidation type="list" allowBlank="1" showInputMessage="1" showErrorMessage="1" prompt="Hur svårblandad grenen är har ingen påverkan för beräkningarna på hur lång tid finaler i dessa grenar kommer ta." sqref="G8:G9 G16:G18 G20">
      <formula1>"N/A"</formula1>
    </dataValidation>
    <dataValidation type="custom" allowBlank="1" showDropDown="1" showInputMessage="1" showErrorMessage="1" prompt="Grenen 3x3 FMC får ej ha en cumulative time limit." sqref="F9">
      <formula1>F9="No"</formula1>
    </dataValidation>
    <dataValidation type="custom" allowBlank="1" showDropDown="1" showInputMessage="1" showErrorMessage="1" prompt="Om cutoff för grenen är satt till &quot;Yes&quot; i kolumn E så måste formatet på denna cell vara x / y, exempelvis 4,5 / 6,5. Används inte cutoff måste talet vara mellan 0 och 180." sqref="J19">
      <formula1>IF(E19="Yes",REGEXMATCH(TO_TEXT(J19)," / ")=TRUE,AND(J19&gt;0,J19&lt;=180))</formula1>
    </dataValidation>
    <dataValidation type="decimal" allowBlank="1" showDropDown="1" showInputMessage="1" showErrorMessage="1" prompt="Kvoten över antalet deltagare som väntas klara olika hårda cutoffs måste vara ett tal mellan 0 och 1." sqref="J22:N22 J26">
      <formula1>0.0</formula1>
      <formula2>1.0</formula2>
    </dataValidation>
    <dataValidation type="custom" allowBlank="1" showDropDown="1" showInputMessage="1" showErrorMessage="1" prompt="Grenen 5x5 BLD får ej ha en cutoff." sqref="E17">
      <formula1>E17="No"</formula1>
    </dataValidation>
    <dataValidation type="custom" allowBlank="1" showDropDown="1" showInputMessage="1" showErrorMessage="1" prompt="Om cumulative time limit för grenen är satt till &quot;No&quot; i kolumn F så måste formatet på denna cell vara x / y, exempelvis 8 / 10. Används cumulative time limit så sätts cellen som blank eller &quot;N/A&quot; , då den inte längre har någon påverkan på beräkningarna." sqref="P19:S19">
      <formula1>IF($F19="No",REGEXMATCH(TO_TEXT(P19)," / ")=TRUE,OR(P20="N/A",P20="",AND(P19&gt;0,P19&lt;=60)))</formula1>
    </dataValidation>
    <dataValidation type="decimal" allowBlank="1" showDropDown="1" showInputMessage="1" showErrorMessage="1" prompt="Kvoten mellan hur mycket längre tid det tar att genomföra en final i en MYCKET svårblandad gren jämfört med en &quot;normal&quot; gren måste vara ett tal mellan 0 och 2." sqref="T38">
      <formula1>0.0</formula1>
      <formula2>2.0</formula2>
    </dataValidation>
    <dataValidation type="decimal" operator="greaterThan" allowBlank="1" showDropDown="1" showInputMessage="1" showErrorMessage="1" prompt="Tidsåtgången för en runda 3x3 FMC måste vara ett tal större än 60, då det tar tid utöver själva försöket att ordna med logistiken kring försöket." sqref="B9:C9">
      <formula1>60.0</formula1>
    </dataValidation>
    <dataValidation type="decimal" allowBlank="1" showDropDown="1" showInputMessage="1" showErrorMessage="1" prompt="Kvoten mellan hur många av deltagarna går vidare till nästa runda i genomsnitt måste vara ett tal mellan 0 och 0,75 (75%, WCA:s regler).." sqref="T32">
      <formula1>0.0</formula1>
      <formula2>0.75</formula2>
    </dataValidation>
    <dataValidation type="decimal" operator="greaterThan" allowBlank="1" showDropDown="1" showInputMessage="1" showErrorMessage="1" prompt="Tidsåtgången för en runda 3x3 MBLD måste vara ett tal större än 60, då det tar tid utöver själva försöket att ordna med logistiken kring försöket." sqref="B18:C18">
      <formula1>60.0</formula1>
    </dataValidation>
    <dataValidation type="custom" allowBlank="1" showDropDown="1" showInputMessage="1" showErrorMessage="1" prompt="Om cutoff för grenen är satt till &quot;Yes&quot; i kolumn E så måste formatet på denna cell vara x / y, exempelvis 4,5 / 6,5. Används inte cutoff måste talet vara mellan 0 och 180." sqref="K19">
      <formula1>IF(E19="Yes",REGEXMATCH(TO_TEXT(K19)," / ")=TRUE,AND(K19&gt;0,K19&lt;=180))</formula1>
    </dataValidation>
    <dataValidation type="list" allowBlank="1" showDropDown="1" showInputMessage="1" showErrorMessage="1" prompt="Cellen måste vara tom (N/A) då tidsåtgången för rundor i 3x3 BLD endast beror på den cumulative time limit som väljs när grenen skrivs in i schemat." sqref="B8:C8">
      <formula1>"N/A"</formula1>
    </dataValidation>
    <dataValidation type="custom" allowBlank="1" showDropDown="1" showInputMessage="1" showErrorMessage="1" prompt="Genomsnittliga antalet timers uppställda på tävlingar måste vara ett heltal mellan 1 och 9999." sqref="T8">
      <formula1>AND(T8&gt;0,T8&lt;1000,MOD(T8,1)=0)</formula1>
    </dataValidation>
    <dataValidation type="custom" allowBlank="1" showDropDown="1" showInputMessage="1" showErrorMessage="1" prompt="Här måste det stå antingen Yes eller No. Dessutom får det inte stå &quot;Yes&quot; på samma rad i både E- och F-kolumnen." sqref="E2:E7 E9:E15 E18:E19">
      <formula1>IF(F2="Yes",E2="No",OR(E2="Yes",E2="No"))</formula1>
    </dataValidation>
    <dataValidation type="decimal" operator="greaterThanOrEqual" allowBlank="1" showDropDown="1" showInputMessage="1" showErrorMessage="1" prompt="Tidsåtgången måste vara ett tal större än eller lika med 0." sqref="B22:C38">
      <formula1>0.0</formula1>
    </dataValidation>
    <dataValidation type="decimal" allowBlank="1" showDropDown="1" showInputMessage="1" showErrorMessage="1" prompt="Kvoten mellan hur mycket längre tid det tar att genomföra en final i en svårblandad gren jämfört med en &quot;normal&quot; gren måste vara ett tal mellan 0 och 2." sqref="T35">
      <formula1>0.0</formula1>
      <formula2>2.0</formula2>
    </dataValidation>
    <dataValidation type="custom" allowBlank="1" showDropDown="1" showInputMessage="1" showErrorMessage="1" prompt="Talet måste (om ej tomt eller N/A) vara mellan 0 och 180." sqref="J2:O18 O19 J20:O20">
      <formula1>OR(J2="N/A",J2="",AND(J2&gt;0,J2&lt;=180))</formula1>
    </dataValidation>
    <dataValidation type="custom" allowBlank="1" showDropDown="1" showInputMessage="1" showErrorMessage="1" prompt="Om cutoff för grenen är satt till &quot;Yes&quot; i kolumn E så måste formatet på denna cell vara x / y, exempelvis 4,5 / 6,5. Används inte cutoff måste talet vara mellan 0 och 180." sqref="N19">
      <formula1>IF(E19="Yes",REGEXMATCH(TO_TEXT(N19)," / ")=TRUE,AND(N19&gt;0,N19&lt;=180))</formula1>
    </dataValidation>
    <dataValidation type="custom" allowBlank="1" showDropDown="1" showInputMessage="1" showErrorMessage="1" prompt="Är cumulative time limit i kolumn F satt till &quot;No&quot; måste här stå ett tal mellan 0 och 60. Annars kan cellen sättas som blank eller &quot;N/A&quot; då den inte längre har någon påverkan på beräkningarna." sqref="P2:S8 P10:S17">
      <formula1>IF($F2="No",AND(P2&gt;0,P2&lt;=60),OR(P2="N/A",P2=""))</formula1>
    </dataValidation>
    <dataValidation type="decimal" allowBlank="1" showDropDown="1" showInputMessage="1" showErrorMessage="1" prompt="Kvoten mellan hur mycket snabbare en runda med fixed seating går att genomföra jämfört med en utan fixed seating måste vara ett tal mellan 0 och 1." sqref="T17">
      <formula1>0.0</formula1>
      <formula2>1.0</formula2>
    </dataValidation>
    <dataValidation type="custom" allowBlank="1" showDropDown="1" showInputMessage="1" showErrorMessage="1" prompt="Time limit per lösning i 3x3 MBLD är alltid 60 minuter och har således ingen påverkan på schemat om den ändras här." sqref="P18:S18">
      <formula1>P18="N/A"</formula1>
    </dataValidation>
    <dataValidation type="decimal" allowBlank="1" showDropDown="1" showInputMessage="1" showErrorMessage="1" prompt="Kvoten mellan hur mycket mer tid än själva cumulative time limit som måste avsättas för 3x3 BLD måste vara ett tal mellan 1 och 2." sqref="T23">
      <formula1>1.0</formula1>
      <formula2>2.0</formula2>
    </dataValidation>
    <dataValidation type="decimal" allowBlank="1" showDropDown="1" showInputMessage="1" showErrorMessage="1" prompt="Kvoten mellan hur många av deltagarna som väntas klara en normal cutoff måste vara ett tal mellan 0 och 1." sqref="T26">
      <formula1>0.0</formula1>
      <formula2>1.0</formula2>
    </dataValidation>
    <dataValidation type="list" allowBlank="1" showInputMessage="1" showErrorMessage="1" prompt="Antalet förväntade rundor i en gren måste vara mellan 1 och 4." sqref="I2:I20">
      <formula1>"1,2,3,4"</formula1>
    </dataValidation>
    <dataValidation type="decimal" allowBlank="1" showDropDown="1" showInputMessage="1" showErrorMessage="1" prompt="Kvoten mellan hur mycket mer tid än själva cumulative time limit som måste avsättas för långa blindgrenar måste vara ett tal mellan 1 och 2." sqref="T20">
      <formula1>1.0</formula1>
      <formula2>2.0</formula2>
    </dataValidation>
    <dataValidation type="list" allowBlank="1" showInputMessage="1" showErrorMessage="1" prompt="Formatet måste vara Avg of 5" sqref="D2:D5">
      <formula1>"Avg of 5"</formula1>
    </dataValidation>
    <dataValidation type="custom" allowBlank="1" showDropDown="1" showInputMessage="1" showErrorMessage="1" prompt="Här måste det stå antingen Yes eller No. Dessutom får det inte stå &quot;Yes&quot; på samma rad i både E- och F-kolumnen. Vill du ändra så att en gren i framtiden har c.t.l. istället för cutoff kan du först sätta E-kolumnen till &quot;No&quot;, och sedan ändra i F-kolumnen t" sqref="F2:F8 F10:F17 F19:F20">
      <formula1>IF(E2="Yes",F2="No",OR(F2="Yes",F2="No"))</formula1>
    </dataValidation>
    <dataValidation type="decimal" allowBlank="1" showDropDown="1" showInputMessage="1" showErrorMessage="1" prompt="Kvoten mellan hur mycket snabbare en 2:a/3:e runda går att genomföra jämfört med en 1:a runda måste vara ett tal mellan 0 och 1." sqref="T2">
      <formula1>0.0</formula1>
      <formula2>1.0</formula2>
    </dataValidation>
    <dataValidation type="decimal" allowBlank="1" showDropDown="1" showInputMessage="1" showErrorMessage="1" prompt="Kvoten över antalet deltagare som väntas klara olika hårda cumulative time limits måste vara ett tal mellan 0 och 1." sqref="J24:N24 L26">
      <formula1>0.0</formula1>
      <formula2>1.0</formula2>
    </dataValidation>
    <dataValidation type="list" allowBlank="1" showInputMessage="1" showErrorMessage="1" prompt="Formatet måste vara Avg of 5." sqref="D10:D15">
      <formula1>"Avg of 5"</formula1>
    </dataValidation>
    <dataValidation type="custom" allowBlank="1" showDropDown="1" showInputMessage="1" showErrorMessage="1" prompt="Om cutoff för grenen är satt till &quot;Yes&quot; i kolumn E så måste formatet på denna cell vara x / y, exempelvis 4,5 / 6,5. Används inte cutoff måste talet vara mellan 0 och 180." sqref="M19">
      <formula1>IF(E19="Yes",REGEXMATCH(TO_TEXT(M19)," / ")=TRUE,AND(M19&gt;0,M19&lt;=180))</formula1>
    </dataValidation>
    <dataValidation type="custom" allowBlank="1" showDropDown="1" showInputMessage="1" showErrorMessage="1" prompt="Grenarna 4x4 / 5x5 BLD får ej ha en cutoff." sqref="E20">
      <formula1>E20="No"</formula1>
    </dataValidation>
    <dataValidation type="decimal" allowBlank="1" showDropDown="1" showInputMessage="1" showErrorMessage="1" prompt="Kvoten av antalet förväntade deltagare i en gren jämfört med 3x3 måste vara ett tal mellan 0 och 1." sqref="H3:H20">
      <formula1>0.0</formula1>
      <formula2>1.0</formula2>
    </dataValidation>
  </dataValidations>
  <drawing r:id="rId2"/>
  <legacyDrawing r:id="rId3"/>
</worksheet>
</file>