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faltynowski/Documents/Repositories/netherlands-gva-time-series-analysis/src/"/>
    </mc:Choice>
  </mc:AlternateContent>
  <xr:revisionPtr revIDLastSave="0" documentId="13_ncr:1_{65AC3792-5A8A-6740-9DD7-6BA7FBE9C732}" xr6:coauthVersionLast="47" xr6:coauthVersionMax="47" xr10:uidLastSave="{00000000-0000-0000-0000-000000000000}"/>
  <bookViews>
    <workbookView xWindow="0" yWindow="0" windowWidth="38400" windowHeight="21600" firstSheet="3" activeTab="13" xr2:uid="{C63F3EB8-08D2-414D-8217-7DA2F26F8F2E}"/>
  </bookViews>
  <sheets>
    <sheet name="01 Removing Trend and Season" sheetId="1" r:id="rId1"/>
    <sheet name="02 Constant Prices" sheetId="4" r:id="rId2"/>
    <sheet name="02 GVA Const 2020 in Const 2016" sheetId="33" r:id="rId3"/>
    <sheet name="02 GVA Const 2020 in Const 2024" sheetId="34" r:id="rId4"/>
    <sheet name="03 Linear Trend" sheetId="7" r:id="rId5"/>
    <sheet name="03 DA Linear Model" sheetId="23" r:id="rId6"/>
    <sheet name="03 Power Trend" sheetId="25" r:id="rId7"/>
    <sheet name="03 DA Power Model" sheetId="26" r:id="rId8"/>
    <sheet name="03 Exponential Trend" sheetId="27" r:id="rId9"/>
    <sheet name="03 DA Exponential Model" sheetId="28" r:id="rId10"/>
    <sheet name="04 Quadratic Trend" sheetId="29" r:id="rId11"/>
    <sheet name="04 Logistic Trend" sheetId="31" r:id="rId12"/>
    <sheet name="04 Summary" sheetId="30" r:id="rId13"/>
    <sheet name="05 Structural Brakes Analysis" sheetId="32" r:id="rId14"/>
  </sheets>
  <definedNames>
    <definedName name="solver_adj" localSheetId="1" hidden="1">'02 Constant Prices'!$G$38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itr" localSheetId="1" hidden="1">2147483647</definedName>
    <definedName name="solver_lin" localSheetId="1" hidden="1">2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0</definedName>
    <definedName name="solver_opt" localSheetId="1" hidden="1">'02 Constant Prices'!$K$8</definedName>
    <definedName name="solver_pre" localSheetId="1" hidden="1">0.000001</definedName>
    <definedName name="solver_rbv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3</definedName>
    <definedName name="solver_val" localSheetId="1" hidden="1">0</definedName>
    <definedName name="solver_ver" localSheetId="1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0" i="32" l="1"/>
  <c r="N81" i="32" s="1"/>
  <c r="E43" i="34"/>
  <c r="E42" i="34"/>
  <c r="E41" i="34"/>
  <c r="E40" i="34"/>
  <c r="E39" i="34"/>
  <c r="E38" i="34"/>
  <c r="E37" i="34"/>
  <c r="E36" i="34"/>
  <c r="E35" i="34"/>
  <c r="E34" i="34"/>
  <c r="E33" i="34"/>
  <c r="E32" i="34"/>
  <c r="E31" i="34"/>
  <c r="E30" i="34"/>
  <c r="E29" i="34"/>
  <c r="E28" i="34"/>
  <c r="E27" i="34"/>
  <c r="E26" i="34"/>
  <c r="E25" i="34"/>
  <c r="E24" i="34"/>
  <c r="E23" i="34"/>
  <c r="E22" i="34"/>
  <c r="E21" i="34"/>
  <c r="E20" i="34"/>
  <c r="E19" i="34"/>
  <c r="E18" i="34"/>
  <c r="E17" i="34"/>
  <c r="E16" i="34"/>
  <c r="E15" i="34"/>
  <c r="E14" i="34"/>
  <c r="E13" i="34"/>
  <c r="E12" i="34"/>
  <c r="E11" i="34"/>
  <c r="E10" i="34"/>
  <c r="E9" i="34"/>
  <c r="E8" i="34"/>
  <c r="E7" i="34"/>
  <c r="I6" i="34"/>
  <c r="E6" i="34"/>
  <c r="I5" i="34"/>
  <c r="E5" i="34"/>
  <c r="E4" i="34"/>
  <c r="I3" i="34"/>
  <c r="E3" i="34"/>
  <c r="I4" i="34" s="1"/>
  <c r="E43" i="33"/>
  <c r="E42" i="33"/>
  <c r="E41" i="33"/>
  <c r="E40" i="33"/>
  <c r="E39" i="33"/>
  <c r="E38" i="33"/>
  <c r="E37" i="33"/>
  <c r="E36" i="33"/>
  <c r="E35" i="33"/>
  <c r="E34" i="33"/>
  <c r="E33" i="33"/>
  <c r="E32" i="33"/>
  <c r="E31" i="33"/>
  <c r="E30" i="33"/>
  <c r="E29" i="33"/>
  <c r="E28" i="33"/>
  <c r="E27" i="33"/>
  <c r="E26" i="33"/>
  <c r="E25" i="33"/>
  <c r="E24" i="33"/>
  <c r="E23" i="33"/>
  <c r="E22" i="33"/>
  <c r="E21" i="33"/>
  <c r="E20" i="33"/>
  <c r="E19" i="33"/>
  <c r="E18" i="33"/>
  <c r="E17" i="33"/>
  <c r="E16" i="33"/>
  <c r="E15" i="33"/>
  <c r="I4" i="33" s="1"/>
  <c r="E14" i="33"/>
  <c r="E13" i="33"/>
  <c r="E12" i="33"/>
  <c r="E11" i="33"/>
  <c r="E10" i="33"/>
  <c r="E9" i="33"/>
  <c r="E8" i="33"/>
  <c r="E7" i="33"/>
  <c r="I6" i="33"/>
  <c r="E6" i="33"/>
  <c r="E5" i="33"/>
  <c r="E4" i="33"/>
  <c r="E3" i="33"/>
  <c r="I6" i="30"/>
  <c r="J6" i="30" s="1"/>
  <c r="F3" i="30"/>
  <c r="F4" i="30"/>
  <c r="F5" i="30"/>
  <c r="F6" i="30"/>
  <c r="F7" i="30"/>
  <c r="F8" i="30"/>
  <c r="F9" i="30"/>
  <c r="F10" i="30"/>
  <c r="F11" i="30"/>
  <c r="F12" i="30"/>
  <c r="F13" i="30"/>
  <c r="F14" i="30"/>
  <c r="F15" i="30"/>
  <c r="F16" i="30"/>
  <c r="F17" i="30"/>
  <c r="F18" i="30"/>
  <c r="F19" i="30"/>
  <c r="F20" i="30"/>
  <c r="F21" i="30"/>
  <c r="F22" i="30"/>
  <c r="F23" i="30"/>
  <c r="F24" i="30"/>
  <c r="F25" i="30"/>
  <c r="F26" i="30"/>
  <c r="F27" i="30"/>
  <c r="F28" i="30"/>
  <c r="F29" i="30"/>
  <c r="F30" i="30"/>
  <c r="F31" i="30"/>
  <c r="F32" i="30"/>
  <c r="F33" i="30"/>
  <c r="F34" i="30"/>
  <c r="F35" i="30"/>
  <c r="F36" i="30"/>
  <c r="F37" i="30"/>
  <c r="F38" i="30"/>
  <c r="F39" i="30"/>
  <c r="F40" i="30"/>
  <c r="F41" i="30"/>
  <c r="F42" i="30"/>
  <c r="F43" i="30"/>
  <c r="F2" i="30"/>
  <c r="I3" i="31"/>
  <c r="I4" i="31"/>
  <c r="I5" i="31"/>
  <c r="I6" i="31"/>
  <c r="I7" i="31"/>
  <c r="I8" i="31"/>
  <c r="I9" i="31"/>
  <c r="I10" i="31"/>
  <c r="I11" i="31"/>
  <c r="I12" i="31"/>
  <c r="I13" i="31"/>
  <c r="I14" i="31"/>
  <c r="I15" i="31"/>
  <c r="I16" i="31"/>
  <c r="I17" i="31"/>
  <c r="I18" i="31"/>
  <c r="I19" i="31"/>
  <c r="I20" i="31"/>
  <c r="I21" i="31"/>
  <c r="I22" i="31"/>
  <c r="I23" i="31"/>
  <c r="I24" i="31"/>
  <c r="I25" i="31"/>
  <c r="I26" i="31"/>
  <c r="I27" i="31"/>
  <c r="I28" i="31"/>
  <c r="I29" i="31"/>
  <c r="I30" i="31"/>
  <c r="I31" i="31"/>
  <c r="I32" i="31"/>
  <c r="I33" i="31"/>
  <c r="I34" i="31"/>
  <c r="I35" i="31"/>
  <c r="I36" i="31"/>
  <c r="I37" i="31"/>
  <c r="I38" i="31"/>
  <c r="I39" i="31"/>
  <c r="I40" i="31"/>
  <c r="I41" i="31"/>
  <c r="I42" i="31"/>
  <c r="I43" i="31"/>
  <c r="I2" i="31"/>
  <c r="E3" i="31"/>
  <c r="E4" i="31"/>
  <c r="E5" i="31"/>
  <c r="E6" i="31"/>
  <c r="E7" i="31"/>
  <c r="E8" i="31"/>
  <c r="E9" i="31"/>
  <c r="E10" i="31"/>
  <c r="E11" i="31"/>
  <c r="E12" i="31"/>
  <c r="E13" i="31"/>
  <c r="E14" i="31"/>
  <c r="E15" i="31"/>
  <c r="E16" i="31"/>
  <c r="E17" i="31"/>
  <c r="E18" i="31"/>
  <c r="E19" i="31"/>
  <c r="E20" i="31"/>
  <c r="E21" i="31"/>
  <c r="E22" i="31"/>
  <c r="E23" i="31"/>
  <c r="E24" i="31"/>
  <c r="E25" i="31"/>
  <c r="E26" i="31"/>
  <c r="E27" i="31"/>
  <c r="E28" i="31"/>
  <c r="E29" i="31"/>
  <c r="E30" i="31"/>
  <c r="E31" i="31"/>
  <c r="E32" i="31"/>
  <c r="E33" i="31"/>
  <c r="E34" i="31"/>
  <c r="E35" i="31"/>
  <c r="E36" i="31"/>
  <c r="E37" i="31"/>
  <c r="E38" i="31"/>
  <c r="E39" i="31"/>
  <c r="E40" i="31"/>
  <c r="E41" i="31"/>
  <c r="E42" i="31"/>
  <c r="E43" i="31"/>
  <c r="E2" i="31"/>
  <c r="L9" i="25"/>
  <c r="J10" i="25"/>
  <c r="L10" i="25" s="1"/>
  <c r="N10" i="25" s="1"/>
  <c r="I5" i="30"/>
  <c r="I4" i="30"/>
  <c r="I3" i="30"/>
  <c r="I2" i="30"/>
  <c r="E3" i="30"/>
  <c r="E4" i="30"/>
  <c r="E5" i="30"/>
  <c r="E6" i="30"/>
  <c r="E7" i="30"/>
  <c r="E8" i="30"/>
  <c r="E9" i="30"/>
  <c r="E10" i="30"/>
  <c r="E11" i="30"/>
  <c r="E12" i="30"/>
  <c r="E13" i="30"/>
  <c r="E14" i="30"/>
  <c r="E15" i="30"/>
  <c r="E16" i="30"/>
  <c r="E17" i="30"/>
  <c r="E18" i="30"/>
  <c r="E19" i="30"/>
  <c r="E20" i="30"/>
  <c r="E21" i="30"/>
  <c r="E22" i="30"/>
  <c r="E23" i="30"/>
  <c r="E24" i="30"/>
  <c r="E25" i="30"/>
  <c r="E26" i="30"/>
  <c r="E27" i="30"/>
  <c r="E28" i="30"/>
  <c r="E29" i="30"/>
  <c r="E30" i="30"/>
  <c r="E31" i="30"/>
  <c r="E32" i="30"/>
  <c r="E33" i="30"/>
  <c r="E34" i="30"/>
  <c r="E35" i="30"/>
  <c r="E36" i="30"/>
  <c r="E37" i="30"/>
  <c r="E38" i="30"/>
  <c r="E39" i="30"/>
  <c r="E40" i="30"/>
  <c r="E41" i="30"/>
  <c r="E42" i="30"/>
  <c r="E43" i="30"/>
  <c r="E2" i="30"/>
  <c r="D3" i="30"/>
  <c r="D4" i="30"/>
  <c r="D5" i="30"/>
  <c r="D6" i="30"/>
  <c r="D7" i="30"/>
  <c r="D8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D27" i="30"/>
  <c r="D28" i="30"/>
  <c r="D29" i="30"/>
  <c r="D30" i="30"/>
  <c r="D31" i="30"/>
  <c r="D32" i="30"/>
  <c r="D33" i="30"/>
  <c r="D34" i="30"/>
  <c r="D35" i="30"/>
  <c r="D36" i="30"/>
  <c r="D37" i="30"/>
  <c r="D38" i="30"/>
  <c r="D39" i="30"/>
  <c r="D40" i="30"/>
  <c r="D41" i="30"/>
  <c r="D42" i="30"/>
  <c r="D43" i="30"/>
  <c r="D2" i="30"/>
  <c r="C3" i="30"/>
  <c r="C4" i="30"/>
  <c r="C5" i="30"/>
  <c r="C6" i="30"/>
  <c r="C7" i="30"/>
  <c r="C8" i="30"/>
  <c r="C9" i="30"/>
  <c r="C10" i="30"/>
  <c r="C11" i="30"/>
  <c r="C12" i="30"/>
  <c r="C13" i="30"/>
  <c r="C14" i="30"/>
  <c r="C15" i="30"/>
  <c r="C16" i="30"/>
  <c r="C17" i="30"/>
  <c r="C18" i="30"/>
  <c r="C19" i="30"/>
  <c r="C20" i="30"/>
  <c r="C21" i="30"/>
  <c r="C22" i="30"/>
  <c r="C23" i="30"/>
  <c r="C24" i="30"/>
  <c r="C25" i="30"/>
  <c r="C26" i="30"/>
  <c r="C27" i="30"/>
  <c r="C28" i="30"/>
  <c r="C29" i="30"/>
  <c r="C30" i="30"/>
  <c r="C31" i="30"/>
  <c r="C32" i="30"/>
  <c r="C33" i="30"/>
  <c r="C34" i="30"/>
  <c r="C35" i="30"/>
  <c r="C36" i="30"/>
  <c r="C37" i="30"/>
  <c r="C38" i="30"/>
  <c r="C39" i="30"/>
  <c r="C40" i="30"/>
  <c r="C41" i="30"/>
  <c r="C42" i="30"/>
  <c r="C43" i="30"/>
  <c r="C2" i="30"/>
  <c r="B3" i="30"/>
  <c r="B4" i="30"/>
  <c r="B5" i="30"/>
  <c r="B6" i="30"/>
  <c r="B7" i="30"/>
  <c r="B8" i="30"/>
  <c r="B9" i="30"/>
  <c r="B10" i="30"/>
  <c r="B11" i="30"/>
  <c r="B12" i="30"/>
  <c r="B13" i="30"/>
  <c r="B14" i="30"/>
  <c r="B15" i="30"/>
  <c r="B16" i="30"/>
  <c r="B17" i="30"/>
  <c r="B18" i="30"/>
  <c r="B19" i="30"/>
  <c r="B20" i="30"/>
  <c r="B21" i="30"/>
  <c r="B22" i="30"/>
  <c r="B23" i="30"/>
  <c r="B24" i="30"/>
  <c r="B25" i="30"/>
  <c r="B26" i="30"/>
  <c r="B27" i="30"/>
  <c r="B28" i="30"/>
  <c r="B29" i="30"/>
  <c r="B30" i="30"/>
  <c r="B31" i="30"/>
  <c r="B32" i="30"/>
  <c r="B33" i="30"/>
  <c r="B34" i="30"/>
  <c r="B35" i="30"/>
  <c r="B36" i="30"/>
  <c r="B37" i="30"/>
  <c r="B38" i="30"/>
  <c r="B39" i="30"/>
  <c r="B40" i="30"/>
  <c r="B41" i="30"/>
  <c r="B42" i="30"/>
  <c r="B43" i="30"/>
  <c r="B2" i="30"/>
  <c r="Z43" i="25"/>
  <c r="Y45" i="29"/>
  <c r="Y41" i="29"/>
  <c r="Z39" i="27"/>
  <c r="Z35" i="27"/>
  <c r="Z35" i="25"/>
  <c r="K3" i="29"/>
  <c r="K4" i="29"/>
  <c r="K5" i="29"/>
  <c r="K6" i="29"/>
  <c r="K7" i="29"/>
  <c r="K8" i="29"/>
  <c r="Y49" i="29" s="1"/>
  <c r="K9" i="29"/>
  <c r="K10" i="29"/>
  <c r="K11" i="29"/>
  <c r="K12" i="29"/>
  <c r="K13" i="29"/>
  <c r="K14" i="29"/>
  <c r="K15" i="29"/>
  <c r="K16" i="29"/>
  <c r="K17" i="29"/>
  <c r="K18" i="29"/>
  <c r="K19" i="29"/>
  <c r="K20" i="29"/>
  <c r="K21" i="29"/>
  <c r="K22" i="29"/>
  <c r="K23" i="29"/>
  <c r="K24" i="29"/>
  <c r="K25" i="29"/>
  <c r="K26" i="29"/>
  <c r="K27" i="29"/>
  <c r="K28" i="29"/>
  <c r="K29" i="29"/>
  <c r="K30" i="29"/>
  <c r="K31" i="29"/>
  <c r="K32" i="29"/>
  <c r="K33" i="29"/>
  <c r="K34" i="29"/>
  <c r="K35" i="29"/>
  <c r="K36" i="29"/>
  <c r="K37" i="29"/>
  <c r="K38" i="29"/>
  <c r="K39" i="29"/>
  <c r="K40" i="29"/>
  <c r="K41" i="29"/>
  <c r="K42" i="29"/>
  <c r="K43" i="29"/>
  <c r="K2" i="29"/>
  <c r="V33" i="29"/>
  <c r="R12" i="29" a="1"/>
  <c r="R12" i="29" s="1"/>
  <c r="P12" i="29" a="1"/>
  <c r="P12" i="29" s="1"/>
  <c r="T7" i="29" a="1"/>
  <c r="T7" i="29" s="1"/>
  <c r="P7" i="29" a="1"/>
  <c r="P7" i="29" s="1"/>
  <c r="I3" i="29"/>
  <c r="I4" i="29"/>
  <c r="I5" i="29"/>
  <c r="I6" i="29"/>
  <c r="I7" i="29"/>
  <c r="I8" i="29"/>
  <c r="I9" i="29"/>
  <c r="I10" i="29"/>
  <c r="I11" i="29"/>
  <c r="I12" i="29"/>
  <c r="I13" i="29"/>
  <c r="I14" i="29"/>
  <c r="I15" i="29"/>
  <c r="I16" i="29"/>
  <c r="I17" i="29"/>
  <c r="I18" i="29"/>
  <c r="I19" i="29"/>
  <c r="I20" i="29"/>
  <c r="I21" i="29"/>
  <c r="I22" i="29"/>
  <c r="I23" i="29"/>
  <c r="I24" i="29"/>
  <c r="I25" i="29"/>
  <c r="I26" i="29"/>
  <c r="I27" i="29"/>
  <c r="I28" i="29"/>
  <c r="I29" i="29"/>
  <c r="I30" i="29"/>
  <c r="I31" i="29"/>
  <c r="I32" i="29"/>
  <c r="I33" i="29"/>
  <c r="I34" i="29"/>
  <c r="I35" i="29"/>
  <c r="I36" i="29"/>
  <c r="I37" i="29"/>
  <c r="I38" i="29"/>
  <c r="I39" i="29"/>
  <c r="I40" i="29"/>
  <c r="I41" i="29"/>
  <c r="I42" i="29"/>
  <c r="I43" i="29"/>
  <c r="I2" i="29"/>
  <c r="H43" i="29"/>
  <c r="E43" i="29"/>
  <c r="H42" i="29"/>
  <c r="E42" i="29"/>
  <c r="H41" i="29"/>
  <c r="E41" i="29"/>
  <c r="H40" i="29"/>
  <c r="E40" i="29"/>
  <c r="H39" i="29"/>
  <c r="E39" i="29"/>
  <c r="H38" i="29"/>
  <c r="E38" i="29"/>
  <c r="H37" i="29"/>
  <c r="E37" i="29"/>
  <c r="H36" i="29"/>
  <c r="E36" i="29"/>
  <c r="H35" i="29"/>
  <c r="E35" i="29"/>
  <c r="H34" i="29"/>
  <c r="E34" i="29"/>
  <c r="H33" i="29"/>
  <c r="E33" i="29"/>
  <c r="H32" i="29"/>
  <c r="E32" i="29"/>
  <c r="H31" i="29"/>
  <c r="E31" i="29"/>
  <c r="H30" i="29"/>
  <c r="E30" i="29"/>
  <c r="H29" i="29"/>
  <c r="E29" i="29"/>
  <c r="H28" i="29"/>
  <c r="E28" i="29"/>
  <c r="H27" i="29"/>
  <c r="E27" i="29"/>
  <c r="H26" i="29"/>
  <c r="E26" i="29"/>
  <c r="H25" i="29"/>
  <c r="E25" i="29"/>
  <c r="H24" i="29"/>
  <c r="E24" i="29"/>
  <c r="H23" i="29"/>
  <c r="E23" i="29"/>
  <c r="H22" i="29"/>
  <c r="E22" i="29"/>
  <c r="H21" i="29"/>
  <c r="E21" i="29"/>
  <c r="H20" i="29"/>
  <c r="E20" i="29"/>
  <c r="H19" i="29"/>
  <c r="E19" i="29"/>
  <c r="H18" i="29"/>
  <c r="E18" i="29"/>
  <c r="H17" i="29"/>
  <c r="E17" i="29"/>
  <c r="H16" i="29"/>
  <c r="E16" i="29"/>
  <c r="H15" i="29"/>
  <c r="E15" i="29"/>
  <c r="H14" i="29"/>
  <c r="E14" i="29"/>
  <c r="H13" i="29"/>
  <c r="E13" i="29"/>
  <c r="H12" i="29"/>
  <c r="E12" i="29"/>
  <c r="H11" i="29"/>
  <c r="E11" i="29"/>
  <c r="H10" i="29"/>
  <c r="E10" i="29"/>
  <c r="H9" i="29"/>
  <c r="E9" i="29"/>
  <c r="H8" i="29"/>
  <c r="E8" i="29"/>
  <c r="H7" i="29"/>
  <c r="E7" i="29"/>
  <c r="H6" i="29"/>
  <c r="E6" i="29"/>
  <c r="H5" i="29"/>
  <c r="E5" i="29"/>
  <c r="H4" i="29"/>
  <c r="E4" i="29"/>
  <c r="H3" i="29"/>
  <c r="E3" i="29"/>
  <c r="H2" i="29"/>
  <c r="P2" i="29" s="1" a="1"/>
  <c r="P2" i="29" s="1"/>
  <c r="E2" i="29"/>
  <c r="Z43" i="27"/>
  <c r="W43" i="7"/>
  <c r="J3" i="27"/>
  <c r="J4" i="27"/>
  <c r="J5" i="27"/>
  <c r="J6" i="27"/>
  <c r="J7" i="27"/>
  <c r="J8" i="27"/>
  <c r="J9" i="27"/>
  <c r="J10" i="27"/>
  <c r="J11" i="27"/>
  <c r="J12" i="27"/>
  <c r="J13" i="27"/>
  <c r="J14" i="27"/>
  <c r="J15" i="27"/>
  <c r="J16" i="27"/>
  <c r="J17" i="27"/>
  <c r="J18" i="27"/>
  <c r="J19" i="27"/>
  <c r="J20" i="27"/>
  <c r="J21" i="27"/>
  <c r="J22" i="27"/>
  <c r="J23" i="27"/>
  <c r="J24" i="27"/>
  <c r="J25" i="27"/>
  <c r="J26" i="27"/>
  <c r="J27" i="27"/>
  <c r="J28" i="27"/>
  <c r="J29" i="27"/>
  <c r="J30" i="27"/>
  <c r="J31" i="27"/>
  <c r="J32" i="27"/>
  <c r="J33" i="27"/>
  <c r="J34" i="27"/>
  <c r="J35" i="27"/>
  <c r="J36" i="27"/>
  <c r="J37" i="27"/>
  <c r="J38" i="27"/>
  <c r="J39" i="27"/>
  <c r="J40" i="27"/>
  <c r="J41" i="27"/>
  <c r="J42" i="27"/>
  <c r="J43" i="27"/>
  <c r="J2" i="27"/>
  <c r="H3" i="27"/>
  <c r="H4" i="27"/>
  <c r="H5" i="27"/>
  <c r="H6" i="27"/>
  <c r="H7" i="27"/>
  <c r="Q2" i="27" s="1" a="1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2" i="27"/>
  <c r="E43" i="27"/>
  <c r="E42" i="27"/>
  <c r="E41" i="27"/>
  <c r="E40" i="27"/>
  <c r="E39" i="27"/>
  <c r="E38" i="27"/>
  <c r="E37" i="27"/>
  <c r="E36" i="27"/>
  <c r="E35" i="27"/>
  <c r="E34" i="27"/>
  <c r="E33" i="27"/>
  <c r="E32" i="27"/>
  <c r="E31" i="27"/>
  <c r="E30" i="27"/>
  <c r="E29" i="27"/>
  <c r="E28" i="27"/>
  <c r="E27" i="27"/>
  <c r="E26" i="27"/>
  <c r="E25" i="27"/>
  <c r="E24" i="27"/>
  <c r="E23" i="27"/>
  <c r="E22" i="27"/>
  <c r="E21" i="27"/>
  <c r="E20" i="27"/>
  <c r="E19" i="27"/>
  <c r="E18" i="27"/>
  <c r="E17" i="27"/>
  <c r="E16" i="27"/>
  <c r="E15" i="27"/>
  <c r="E14" i="27"/>
  <c r="E13" i="27"/>
  <c r="E12" i="27"/>
  <c r="E11" i="27"/>
  <c r="E10" i="27"/>
  <c r="E9" i="27"/>
  <c r="E8" i="27"/>
  <c r="E7" i="27"/>
  <c r="E6" i="27"/>
  <c r="E5" i="27"/>
  <c r="E4" i="27"/>
  <c r="E3" i="27"/>
  <c r="E2" i="27"/>
  <c r="N3" i="25"/>
  <c r="N4" i="25"/>
  <c r="N5" i="25"/>
  <c r="N6" i="25"/>
  <c r="N7" i="25"/>
  <c r="N8" i="25"/>
  <c r="N9" i="25"/>
  <c r="N11" i="25"/>
  <c r="N12" i="25"/>
  <c r="N13" i="25"/>
  <c r="N14" i="25"/>
  <c r="N15" i="25"/>
  <c r="N16" i="25"/>
  <c r="N17" i="25"/>
  <c r="N18" i="25"/>
  <c r="N19" i="25"/>
  <c r="N20" i="25"/>
  <c r="N21" i="25"/>
  <c r="N22" i="25"/>
  <c r="N23" i="25"/>
  <c r="N24" i="25"/>
  <c r="N25" i="25"/>
  <c r="N26" i="25"/>
  <c r="N27" i="25"/>
  <c r="N28" i="25"/>
  <c r="N29" i="25"/>
  <c r="N30" i="25"/>
  <c r="N31" i="25"/>
  <c r="N32" i="25"/>
  <c r="N33" i="25"/>
  <c r="N34" i="25"/>
  <c r="N35" i="25"/>
  <c r="N36" i="25"/>
  <c r="N37" i="25"/>
  <c r="N38" i="25"/>
  <c r="N39" i="25"/>
  <c r="N40" i="25"/>
  <c r="N41" i="25"/>
  <c r="N42" i="25"/>
  <c r="N43" i="25"/>
  <c r="N2" i="25"/>
  <c r="L43" i="25"/>
  <c r="L3" i="25"/>
  <c r="L4" i="25"/>
  <c r="L5" i="25"/>
  <c r="L6" i="25"/>
  <c r="L7" i="25"/>
  <c r="L8" i="25"/>
  <c r="L11" i="25"/>
  <c r="L12" i="25"/>
  <c r="L13" i="25"/>
  <c r="L14" i="25"/>
  <c r="L15" i="25"/>
  <c r="L16" i="25"/>
  <c r="L17" i="25"/>
  <c r="L18" i="25"/>
  <c r="L19" i="25"/>
  <c r="L20" i="25"/>
  <c r="L21" i="25"/>
  <c r="L22" i="25"/>
  <c r="L23" i="25"/>
  <c r="L24" i="25"/>
  <c r="L25" i="25"/>
  <c r="L26" i="25"/>
  <c r="L27" i="25"/>
  <c r="L28" i="25"/>
  <c r="L29" i="25"/>
  <c r="L30" i="25"/>
  <c r="L31" i="25"/>
  <c r="L32" i="25"/>
  <c r="L33" i="25"/>
  <c r="L34" i="25"/>
  <c r="L35" i="25"/>
  <c r="L36" i="25"/>
  <c r="L37" i="25"/>
  <c r="L38" i="25"/>
  <c r="L39" i="25"/>
  <c r="L40" i="25"/>
  <c r="L41" i="25"/>
  <c r="L42" i="25"/>
  <c r="L2" i="25"/>
  <c r="H3" i="25"/>
  <c r="H4" i="25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2" i="25"/>
  <c r="E3" i="25"/>
  <c r="E4" i="25"/>
  <c r="E5" i="25"/>
  <c r="E6" i="25"/>
  <c r="E7" i="25"/>
  <c r="E8" i="25"/>
  <c r="E9" i="25"/>
  <c r="E10" i="25"/>
  <c r="E11" i="25"/>
  <c r="E12" i="25"/>
  <c r="E13" i="25"/>
  <c r="E14" i="25"/>
  <c r="E15" i="25"/>
  <c r="E16" i="25"/>
  <c r="E17" i="25"/>
  <c r="E18" i="25"/>
  <c r="E19" i="25"/>
  <c r="E20" i="25"/>
  <c r="E21" i="25"/>
  <c r="E22" i="25"/>
  <c r="E23" i="25"/>
  <c r="E24" i="25"/>
  <c r="E25" i="25"/>
  <c r="E26" i="25"/>
  <c r="E27" i="25"/>
  <c r="E28" i="25"/>
  <c r="E29" i="25"/>
  <c r="E30" i="25"/>
  <c r="E31" i="25"/>
  <c r="E32" i="25"/>
  <c r="E33" i="25"/>
  <c r="E34" i="25"/>
  <c r="E35" i="25"/>
  <c r="E36" i="25"/>
  <c r="E37" i="25"/>
  <c r="E38" i="25"/>
  <c r="E39" i="25"/>
  <c r="E40" i="25"/>
  <c r="E41" i="25"/>
  <c r="E42" i="25"/>
  <c r="E43" i="25"/>
  <c r="E2" i="25"/>
  <c r="W39" i="7"/>
  <c r="W35" i="7"/>
  <c r="J4" i="34" l="1"/>
  <c r="F15" i="34" s="1"/>
  <c r="F11" i="34"/>
  <c r="F19" i="34"/>
  <c r="F27" i="34"/>
  <c r="I8" i="34"/>
  <c r="J5" i="34" s="1"/>
  <c r="I3" i="33"/>
  <c r="I5" i="33"/>
  <c r="J3" i="30"/>
  <c r="J5" i="30"/>
  <c r="J4" i="30"/>
  <c r="J2" i="30"/>
  <c r="L1" i="31"/>
  <c r="L4" i="31"/>
  <c r="L2" i="31"/>
  <c r="L6" i="31"/>
  <c r="L5" i="31"/>
  <c r="Z39" i="25"/>
  <c r="Q2" i="27"/>
  <c r="Q10" i="27" s="1" a="1"/>
  <c r="Q10" i="27" s="1"/>
  <c r="Q2" i="25" a="1"/>
  <c r="Q2" i="25" s="1"/>
  <c r="Q10" i="25" s="1" a="1"/>
  <c r="Q10" i="25" s="1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2" i="7"/>
  <c r="F31" i="34" l="1"/>
  <c r="F23" i="34"/>
  <c r="F39" i="34"/>
  <c r="F35" i="34"/>
  <c r="F20" i="34"/>
  <c r="F8" i="34"/>
  <c r="F32" i="34"/>
  <c r="F40" i="34"/>
  <c r="F24" i="34"/>
  <c r="F4" i="34"/>
  <c r="F12" i="34"/>
  <c r="F16" i="34"/>
  <c r="F36" i="34"/>
  <c r="F28" i="34"/>
  <c r="J6" i="34"/>
  <c r="F7" i="34"/>
  <c r="F3" i="34"/>
  <c r="F43" i="34"/>
  <c r="J3" i="34"/>
  <c r="I8" i="33"/>
  <c r="G3" i="31"/>
  <c r="G11" i="31"/>
  <c r="G19" i="31"/>
  <c r="G27" i="31"/>
  <c r="G35" i="31"/>
  <c r="G43" i="31"/>
  <c r="G14" i="31"/>
  <c r="G24" i="31"/>
  <c r="G25" i="31"/>
  <c r="G42" i="31"/>
  <c r="G4" i="31"/>
  <c r="G12" i="31"/>
  <c r="G20" i="31"/>
  <c r="G28" i="31"/>
  <c r="G36" i="31"/>
  <c r="G2" i="31"/>
  <c r="G22" i="31"/>
  <c r="G16" i="31"/>
  <c r="G33" i="31"/>
  <c r="G34" i="31"/>
  <c r="G5" i="31"/>
  <c r="G13" i="31"/>
  <c r="G21" i="31"/>
  <c r="G29" i="31"/>
  <c r="G37" i="31"/>
  <c r="G30" i="31"/>
  <c r="G8" i="31"/>
  <c r="G41" i="31"/>
  <c r="G26" i="31"/>
  <c r="G6" i="31"/>
  <c r="G38" i="31"/>
  <c r="G32" i="31"/>
  <c r="G17" i="31"/>
  <c r="G18" i="31"/>
  <c r="G7" i="31"/>
  <c r="G15" i="31"/>
  <c r="G23" i="31"/>
  <c r="G31" i="31"/>
  <c r="G39" i="31"/>
  <c r="G40" i="31"/>
  <c r="G9" i="31"/>
  <c r="G10" i="31"/>
  <c r="Q6" i="27" a="1"/>
  <c r="Q6" i="25" a="1"/>
  <c r="Q6" i="25" s="1"/>
  <c r="T6" i="25" s="1" a="1"/>
  <c r="O2" i="7" a="1"/>
  <c r="O2" i="7" s="1"/>
  <c r="F5" i="4"/>
  <c r="F7" i="4"/>
  <c r="F8" i="4" s="1"/>
  <c r="F9" i="4" s="1"/>
  <c r="F10" i="4" s="1"/>
  <c r="K7" i="4"/>
  <c r="K2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G37" i="4" s="1"/>
  <c r="G36" i="4" s="1"/>
  <c r="G35" i="4" s="1"/>
  <c r="G34" i="4" s="1"/>
  <c r="G33" i="4" s="1"/>
  <c r="G32" i="4" s="1"/>
  <c r="G31" i="4" s="1"/>
  <c r="G30" i="4" s="1"/>
  <c r="G29" i="4" s="1"/>
  <c r="G28" i="4" s="1"/>
  <c r="G27" i="4" s="1"/>
  <c r="G26" i="4" s="1"/>
  <c r="G25" i="4" s="1"/>
  <c r="G24" i="4" s="1"/>
  <c r="G23" i="4" s="1"/>
  <c r="G22" i="4" s="1"/>
  <c r="G21" i="4" s="1"/>
  <c r="G20" i="4" s="1"/>
  <c r="G19" i="4" s="1"/>
  <c r="G18" i="4" s="1"/>
  <c r="G17" i="4" s="1"/>
  <c r="G16" i="4" s="1"/>
  <c r="G15" i="4" s="1"/>
  <c r="G14" i="4" s="1"/>
  <c r="G13" i="4" s="1"/>
  <c r="G12" i="4" s="1"/>
  <c r="G11" i="4" s="1"/>
  <c r="G10" i="4" s="1"/>
  <c r="G9" i="4" s="1"/>
  <c r="G8" i="4" s="1"/>
  <c r="G7" i="4" s="1"/>
  <c r="G6" i="4" s="1"/>
  <c r="G5" i="4" s="1"/>
  <c r="G4" i="4" s="1"/>
  <c r="G3" i="4" s="1"/>
  <c r="G2" i="4" s="1"/>
  <c r="E39" i="4"/>
  <c r="G39" i="4" s="1"/>
  <c r="E40" i="4"/>
  <c r="E41" i="4"/>
  <c r="E42" i="4"/>
  <c r="E43" i="4"/>
  <c r="E3" i="4"/>
  <c r="F18" i="34" l="1"/>
  <c r="F42" i="34"/>
  <c r="F38" i="34"/>
  <c r="F34" i="34"/>
  <c r="F30" i="34"/>
  <c r="F26" i="34"/>
  <c r="F22" i="34"/>
  <c r="J8" i="34"/>
  <c r="F14" i="34"/>
  <c r="F10" i="34"/>
  <c r="F6" i="34"/>
  <c r="F5" i="34"/>
  <c r="F9" i="34"/>
  <c r="F25" i="34"/>
  <c r="F33" i="34"/>
  <c r="F37" i="34"/>
  <c r="F29" i="34"/>
  <c r="F17" i="34"/>
  <c r="F41" i="34"/>
  <c r="F21" i="34"/>
  <c r="F13" i="34"/>
  <c r="J4" i="33"/>
  <c r="J6" i="33"/>
  <c r="J3" i="33"/>
  <c r="J5" i="33"/>
  <c r="Q6" i="27"/>
  <c r="T6" i="27" a="1"/>
  <c r="S10" i="25" a="1"/>
  <c r="T6" i="25"/>
  <c r="O10" i="7" a="1"/>
  <c r="O10" i="7" s="1"/>
  <c r="O6" i="7" a="1"/>
  <c r="F11" i="4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" i="4"/>
  <c r="F3" i="4" s="1"/>
  <c r="F2" i="4" s="1"/>
  <c r="G40" i="4"/>
  <c r="G41" i="4" s="1"/>
  <c r="G42" i="4" s="1"/>
  <c r="G43" i="4" s="1"/>
  <c r="K3" i="4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3" i="1"/>
  <c r="F8" i="33" l="1"/>
  <c r="F40" i="33"/>
  <c r="F36" i="33"/>
  <c r="F24" i="33"/>
  <c r="F4" i="33"/>
  <c r="F20" i="33"/>
  <c r="F32" i="33"/>
  <c r="F16" i="33"/>
  <c r="F28" i="33"/>
  <c r="F12" i="33"/>
  <c r="F30" i="33"/>
  <c r="F26" i="33"/>
  <c r="F38" i="33"/>
  <c r="F6" i="33"/>
  <c r="F18" i="33"/>
  <c r="F14" i="33"/>
  <c r="F42" i="33"/>
  <c r="F22" i="33"/>
  <c r="F10" i="33"/>
  <c r="F34" i="33"/>
  <c r="J8" i="33"/>
  <c r="F21" i="33"/>
  <c r="F9" i="33"/>
  <c r="F25" i="33"/>
  <c r="F41" i="33"/>
  <c r="F17" i="33"/>
  <c r="F33" i="33"/>
  <c r="F37" i="33"/>
  <c r="F29" i="33"/>
  <c r="F13" i="33"/>
  <c r="F5" i="33"/>
  <c r="F39" i="33"/>
  <c r="F19" i="33"/>
  <c r="F27" i="33"/>
  <c r="F15" i="33"/>
  <c r="F11" i="33"/>
  <c r="F7" i="33"/>
  <c r="F23" i="33"/>
  <c r="F3" i="33"/>
  <c r="F43" i="33"/>
  <c r="F35" i="33"/>
  <c r="F31" i="33"/>
  <c r="V32" i="29"/>
  <c r="T6" i="27"/>
  <c r="S10" i="27" a="1"/>
  <c r="S10" i="25"/>
  <c r="V28" i="25"/>
  <c r="O6" i="7"/>
  <c r="R6" i="7" a="1"/>
  <c r="K8" i="4"/>
  <c r="I3" i="1"/>
  <c r="I6" i="1"/>
  <c r="I4" i="1"/>
  <c r="I5" i="1"/>
  <c r="M34" i="29" l="1"/>
  <c r="M30" i="29"/>
  <c r="M27" i="29"/>
  <c r="M23" i="29"/>
  <c r="M20" i="29"/>
  <c r="M41" i="29"/>
  <c r="M16" i="29"/>
  <c r="M14" i="29"/>
  <c r="M12" i="29"/>
  <c r="M9" i="29"/>
  <c r="M7" i="29"/>
  <c r="M6" i="29"/>
  <c r="M4" i="29"/>
  <c r="M43" i="29"/>
  <c r="M39" i="29"/>
  <c r="M37" i="29"/>
  <c r="M35" i="29"/>
  <c r="M33" i="29"/>
  <c r="M31" i="29"/>
  <c r="M29" i="29"/>
  <c r="V31" i="29"/>
  <c r="M26" i="29"/>
  <c r="M24" i="29"/>
  <c r="M21" i="29"/>
  <c r="M19" i="29"/>
  <c r="M17" i="29"/>
  <c r="M42" i="29"/>
  <c r="M40" i="29"/>
  <c r="M28" i="29"/>
  <c r="M22" i="29"/>
  <c r="M15" i="29"/>
  <c r="M13" i="29"/>
  <c r="M11" i="29"/>
  <c r="M10" i="29"/>
  <c r="M8" i="29"/>
  <c r="M5" i="29"/>
  <c r="M3" i="29"/>
  <c r="M25" i="29"/>
  <c r="M18" i="29"/>
  <c r="M38" i="29"/>
  <c r="M36" i="29"/>
  <c r="M32" i="29"/>
  <c r="V28" i="27"/>
  <c r="S10" i="27"/>
  <c r="V27" i="27" s="1"/>
  <c r="V27" i="25"/>
  <c r="R6" i="7"/>
  <c r="Q10" i="7" s="1" a="1"/>
  <c r="T28" i="7" s="1"/>
  <c r="I8" i="1"/>
  <c r="J5" i="1" s="1"/>
  <c r="M2" i="29" l="1"/>
  <c r="P19" i="29" s="1"/>
  <c r="R19" i="29" s="1"/>
  <c r="L11" i="27"/>
  <c r="N11" i="27" s="1"/>
  <c r="L43" i="27"/>
  <c r="N43" i="27" s="1"/>
  <c r="L35" i="27"/>
  <c r="N35" i="27" s="1"/>
  <c r="L23" i="27"/>
  <c r="N23" i="27" s="1"/>
  <c r="L19" i="27"/>
  <c r="N19" i="27" s="1"/>
  <c r="L13" i="27"/>
  <c r="N13" i="27" s="1"/>
  <c r="L9" i="27"/>
  <c r="N9" i="27" s="1"/>
  <c r="L5" i="27"/>
  <c r="N5" i="27" s="1"/>
  <c r="L38" i="27"/>
  <c r="N38" i="27" s="1"/>
  <c r="L30" i="27"/>
  <c r="N30" i="27" s="1"/>
  <c r="L28" i="27"/>
  <c r="N28" i="27" s="1"/>
  <c r="L26" i="27"/>
  <c r="N26" i="27" s="1"/>
  <c r="L16" i="27"/>
  <c r="N16" i="27" s="1"/>
  <c r="L2" i="27"/>
  <c r="N2" i="27" s="1"/>
  <c r="L41" i="27"/>
  <c r="N41" i="27" s="1"/>
  <c r="L33" i="27"/>
  <c r="N33" i="27" s="1"/>
  <c r="L36" i="27"/>
  <c r="N36" i="27" s="1"/>
  <c r="L24" i="27"/>
  <c r="N24" i="27" s="1"/>
  <c r="L20" i="27"/>
  <c r="N20" i="27" s="1"/>
  <c r="L14" i="27"/>
  <c r="N14" i="27" s="1"/>
  <c r="L10" i="27"/>
  <c r="N10" i="27" s="1"/>
  <c r="L6" i="27"/>
  <c r="N6" i="27" s="1"/>
  <c r="L39" i="27"/>
  <c r="N39" i="27" s="1"/>
  <c r="L31" i="27"/>
  <c r="N31" i="27" s="1"/>
  <c r="L27" i="27"/>
  <c r="N27" i="27" s="1"/>
  <c r="L40" i="27"/>
  <c r="N40" i="27" s="1"/>
  <c r="L32" i="27"/>
  <c r="N32" i="27" s="1"/>
  <c r="L22" i="27"/>
  <c r="N22" i="27" s="1"/>
  <c r="L17" i="27"/>
  <c r="N17" i="27" s="1"/>
  <c r="L7" i="27"/>
  <c r="N7" i="27" s="1"/>
  <c r="L3" i="27"/>
  <c r="N3" i="27" s="1"/>
  <c r="L42" i="27"/>
  <c r="N42" i="27" s="1"/>
  <c r="L34" i="27"/>
  <c r="N34" i="27" s="1"/>
  <c r="L18" i="27"/>
  <c r="N18" i="27" s="1"/>
  <c r="L12" i="27"/>
  <c r="N12" i="27" s="1"/>
  <c r="L8" i="27"/>
  <c r="N8" i="27" s="1"/>
  <c r="L4" i="27"/>
  <c r="N4" i="27" s="1"/>
  <c r="L37" i="27"/>
  <c r="N37" i="27" s="1"/>
  <c r="L29" i="27"/>
  <c r="N29" i="27" s="1"/>
  <c r="L25" i="27"/>
  <c r="N25" i="27" s="1"/>
  <c r="L21" i="27"/>
  <c r="N21" i="27" s="1"/>
  <c r="L15" i="27"/>
  <c r="N15" i="27" s="1"/>
  <c r="J3" i="25"/>
  <c r="J11" i="25"/>
  <c r="J19" i="25"/>
  <c r="J27" i="25"/>
  <c r="J35" i="25"/>
  <c r="J43" i="25"/>
  <c r="J39" i="25"/>
  <c r="J16" i="25"/>
  <c r="J33" i="25"/>
  <c r="J26" i="25"/>
  <c r="J4" i="25"/>
  <c r="J12" i="25"/>
  <c r="J20" i="25"/>
  <c r="J28" i="25"/>
  <c r="J36" i="25"/>
  <c r="J2" i="25"/>
  <c r="Q16" i="25" s="1"/>
  <c r="S16" i="25" s="1"/>
  <c r="J31" i="25"/>
  <c r="J24" i="25"/>
  <c r="J25" i="25"/>
  <c r="J5" i="25"/>
  <c r="J13" i="25"/>
  <c r="J21" i="25"/>
  <c r="J29" i="25"/>
  <c r="J37" i="25"/>
  <c r="J15" i="25"/>
  <c r="J40" i="25"/>
  <c r="J17" i="25"/>
  <c r="J34" i="25"/>
  <c r="J6" i="25"/>
  <c r="J14" i="25"/>
  <c r="J22" i="25"/>
  <c r="J30" i="25"/>
  <c r="J38" i="25"/>
  <c r="J23" i="25"/>
  <c r="J32" i="25"/>
  <c r="J41" i="25"/>
  <c r="J18" i="25"/>
  <c r="J7" i="25"/>
  <c r="J8" i="25"/>
  <c r="J42" i="25"/>
  <c r="J9" i="25"/>
  <c r="Q10" i="7"/>
  <c r="T27" i="7" s="1"/>
  <c r="J6" i="1"/>
  <c r="J4" i="1"/>
  <c r="F32" i="1"/>
  <c r="F40" i="1"/>
  <c r="F4" i="1"/>
  <c r="F24" i="1"/>
  <c r="F16" i="1"/>
  <c r="F36" i="1"/>
  <c r="F28" i="1"/>
  <c r="F20" i="1"/>
  <c r="F12" i="1"/>
  <c r="F8" i="1"/>
  <c r="J3" i="1"/>
  <c r="Q26" i="29" l="1"/>
  <c r="Q33" i="29" s="1"/>
  <c r="R26" i="29"/>
  <c r="R33" i="29" s="1"/>
  <c r="W33" i="29" s="1"/>
  <c r="X33" i="29" s="1"/>
  <c r="Y33" i="29" s="1"/>
  <c r="Q24" i="29"/>
  <c r="Q31" i="29" s="1"/>
  <c r="P24" i="29"/>
  <c r="P31" i="29" s="1"/>
  <c r="W31" i="29" s="1"/>
  <c r="X31" i="29" s="1"/>
  <c r="Y31" i="29" s="1"/>
  <c r="R24" i="29"/>
  <c r="R31" i="29" s="1"/>
  <c r="P25" i="29"/>
  <c r="P32" i="29" s="1"/>
  <c r="Q25" i="29"/>
  <c r="Q32" i="29" s="1"/>
  <c r="W32" i="29" s="1"/>
  <c r="X32" i="29" s="1"/>
  <c r="Y32" i="29" s="1"/>
  <c r="R25" i="29"/>
  <c r="R32" i="29" s="1"/>
  <c r="P26" i="29"/>
  <c r="P33" i="29" s="1"/>
  <c r="Q16" i="27"/>
  <c r="S16" i="27" s="1"/>
  <c r="R21" i="25"/>
  <c r="R27" i="25" s="1"/>
  <c r="Q21" i="25"/>
  <c r="Q27" i="25" s="1"/>
  <c r="W27" i="25" s="1"/>
  <c r="X27" i="25" s="1"/>
  <c r="Y27" i="25" s="1"/>
  <c r="R22" i="25"/>
  <c r="R28" i="25" s="1"/>
  <c r="W28" i="25" s="1"/>
  <c r="X28" i="25" s="1"/>
  <c r="Y28" i="25" s="1"/>
  <c r="Q22" i="25"/>
  <c r="Q28" i="25" s="1"/>
  <c r="J26" i="7"/>
  <c r="L26" i="7" s="1"/>
  <c r="J13" i="7"/>
  <c r="L13" i="7" s="1"/>
  <c r="J28" i="7"/>
  <c r="L28" i="7" s="1"/>
  <c r="J22" i="7"/>
  <c r="L22" i="7" s="1"/>
  <c r="J36" i="7"/>
  <c r="L36" i="7" s="1"/>
  <c r="J18" i="7"/>
  <c r="L18" i="7" s="1"/>
  <c r="J17" i="7"/>
  <c r="L17" i="7" s="1"/>
  <c r="J43" i="7"/>
  <c r="L43" i="7" s="1"/>
  <c r="J4" i="7"/>
  <c r="L4" i="7" s="1"/>
  <c r="J23" i="7"/>
  <c r="L23" i="7" s="1"/>
  <c r="J30" i="7"/>
  <c r="L30" i="7" s="1"/>
  <c r="J38" i="7"/>
  <c r="L38" i="7" s="1"/>
  <c r="J11" i="7"/>
  <c r="L11" i="7" s="1"/>
  <c r="J20" i="7"/>
  <c r="L20" i="7" s="1"/>
  <c r="J10" i="7"/>
  <c r="L10" i="7" s="1"/>
  <c r="J12" i="7"/>
  <c r="L12" i="7" s="1"/>
  <c r="J32" i="7"/>
  <c r="L32" i="7" s="1"/>
  <c r="J14" i="7"/>
  <c r="L14" i="7" s="1"/>
  <c r="J29" i="7"/>
  <c r="L29" i="7" s="1"/>
  <c r="J37" i="7"/>
  <c r="L37" i="7" s="1"/>
  <c r="J9" i="7"/>
  <c r="L9" i="7" s="1"/>
  <c r="J3" i="7"/>
  <c r="L3" i="7" s="1"/>
  <c r="J8" i="7"/>
  <c r="L8" i="7" s="1"/>
  <c r="J31" i="7"/>
  <c r="L31" i="7" s="1"/>
  <c r="J41" i="7"/>
  <c r="L41" i="7" s="1"/>
  <c r="J21" i="7"/>
  <c r="L21" i="7" s="1"/>
  <c r="J33" i="7"/>
  <c r="L33" i="7" s="1"/>
  <c r="J7" i="7"/>
  <c r="L7" i="7" s="1"/>
  <c r="J15" i="7"/>
  <c r="L15" i="7" s="1"/>
  <c r="J25" i="7"/>
  <c r="L25" i="7" s="1"/>
  <c r="J2" i="7"/>
  <c r="L2" i="7" s="1"/>
  <c r="J6" i="7"/>
  <c r="L6" i="7" s="1"/>
  <c r="J40" i="7"/>
  <c r="L40" i="7" s="1"/>
  <c r="J35" i="7"/>
  <c r="L35" i="7" s="1"/>
  <c r="J16" i="7"/>
  <c r="L16" i="7" s="1"/>
  <c r="J19" i="7"/>
  <c r="L19" i="7" s="1"/>
  <c r="J5" i="7"/>
  <c r="L5" i="7" s="1"/>
  <c r="J24" i="7"/>
  <c r="L24" i="7" s="1"/>
  <c r="J27" i="7"/>
  <c r="L27" i="7" s="1"/>
  <c r="J39" i="7"/>
  <c r="L39" i="7" s="1"/>
  <c r="J42" i="7"/>
  <c r="L42" i="7" s="1"/>
  <c r="J34" i="7"/>
  <c r="L34" i="7" s="1"/>
  <c r="F11" i="1"/>
  <c r="F19" i="1"/>
  <c r="F15" i="1"/>
  <c r="F31" i="1"/>
  <c r="F3" i="1"/>
  <c r="F39" i="1"/>
  <c r="F23" i="1"/>
  <c r="F43" i="1"/>
  <c r="F27" i="1"/>
  <c r="F7" i="1"/>
  <c r="F35" i="1"/>
  <c r="J8" i="1"/>
  <c r="F42" i="1"/>
  <c r="F26" i="1"/>
  <c r="F10" i="1"/>
  <c r="F22" i="1"/>
  <c r="F30" i="1"/>
  <c r="F6" i="1"/>
  <c r="F38" i="1"/>
  <c r="F34" i="1"/>
  <c r="F14" i="1"/>
  <c r="F18" i="1"/>
  <c r="F29" i="1"/>
  <c r="F21" i="1"/>
  <c r="F41" i="1"/>
  <c r="F13" i="1"/>
  <c r="F5" i="1"/>
  <c r="F9" i="1"/>
  <c r="F33" i="1"/>
  <c r="F17" i="1"/>
  <c r="F37" i="1"/>
  <c r="F25" i="1"/>
  <c r="R21" i="27" l="1"/>
  <c r="R27" i="27" s="1"/>
  <c r="R22" i="27"/>
  <c r="R28" i="27" s="1"/>
  <c r="W28" i="27" s="1"/>
  <c r="X28" i="27" s="1"/>
  <c r="Y28" i="27" s="1"/>
  <c r="Q21" i="27"/>
  <c r="Q27" i="27" s="1"/>
  <c r="W27" i="27" s="1"/>
  <c r="X27" i="27" s="1"/>
  <c r="Y27" i="27" s="1"/>
  <c r="Q22" i="27"/>
  <c r="Q28" i="27" s="1"/>
  <c r="O16" i="7"/>
  <c r="Q16" i="7" s="1"/>
  <c r="O22" i="7" s="1"/>
  <c r="O28" i="7" s="1"/>
  <c r="P21" i="7" l="1"/>
  <c r="P27" i="7" s="1"/>
  <c r="O21" i="7"/>
  <c r="O27" i="7" s="1"/>
  <c r="U27" i="7" s="1"/>
  <c r="V27" i="7" s="1"/>
  <c r="W27" i="7" s="1"/>
  <c r="P22" i="7"/>
  <c r="P28" i="7" s="1"/>
  <c r="U28" i="7" s="1"/>
  <c r="V28" i="7" s="1"/>
  <c r="W28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72343D-76EF-F443-A16E-E2774FAA775F}" keepAlive="1" name="Query - Sheet 1" description="Connection to the 'Sheet 1' query in the workbook." type="5" refreshedVersion="0" background="1">
    <dbPr connection="Provider=Microsoft.Mashup.OleDb.1;Data Source=$Workbook$;Location=&quot;Sheet 1&quot;;Extended Properties=&quot;&quot;" command="SELECT * FROM [Sheet 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<sst xmlns="http://schemas.openxmlformats.org/spreadsheetml/2006/main" count="378" uniqueCount="140">
  <si>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</si>
  <si>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</si>
  <si>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</si>
  <si>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</si>
  <si>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</si>
  <si>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</si>
  <si>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</si>
  <si>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</si>
  <si>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</si>
  <si>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</si>
  <si>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</si>
  <si>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</si>
  <si>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</si>
  <si>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</si>
  <si>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</si>
  <si>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</si>
  <si>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</si>
  <si>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</si>
  <si>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</si>
  <si>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</si>
  <si>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</si>
  <si>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</si>
  <si>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</si>
  <si>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</si>
  <si>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</si>
  <si>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</si>
  <si>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</si>
  <si>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</si>
  <si>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</si>
  <si>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</si>
  <si>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</si>
  <si>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</si>
  <si>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</si>
  <si>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</si>
  <si>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</si>
  <si>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</si>
  <si>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</si>
  <si>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</si>
  <si>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</si>
  <si>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</si>
  <si>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</si>
  <si>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</si>
  <si>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gva</t>
  </si>
  <si>
    <t>year</t>
  </si>
  <si>
    <t>quarter</t>
  </si>
  <si>
    <t>indicators</t>
  </si>
  <si>
    <t>raw</t>
  </si>
  <si>
    <t>cleaned</t>
  </si>
  <si>
    <t>average</t>
  </si>
  <si>
    <t>t</t>
  </si>
  <si>
    <t>chainIndex</t>
  </si>
  <si>
    <t>gvaConst2020</t>
  </si>
  <si>
    <t>Netherlands GVA in current prices in 2024</t>
  </si>
  <si>
    <t>Netherlands GVA in current prices in 2016</t>
  </si>
  <si>
    <t>gvaConst2020InConst2016</t>
  </si>
  <si>
    <t>gvaConst2020InConst2024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</si>
  <si>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</si>
  <si>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</si>
  <si>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</si>
  <si>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</si>
  <si>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</si>
  <si>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</si>
  <si>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</si>
  <si>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</si>
  <si>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</si>
  <si>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</si>
  <si>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</si>
  <si>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</si>
  <si>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</si>
  <si>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</si>
  <si>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</si>
  <si>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</si>
  <si>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</si>
  <si>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</si>
  <si>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</si>
  <si>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</si>
  <si>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</si>
  <si>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</si>
  <si>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</si>
  <si>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</si>
  <si>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X Variable 1</t>
  </si>
  <si>
    <t>GVA</t>
  </si>
  <si>
    <t>time</t>
  </si>
  <si>
    <t>Linear model formula</t>
  </si>
  <si>
    <t>Statistically significant</t>
  </si>
  <si>
    <t>If the p-value is less than 0.1, we conclude that the parameter is statistically significant.</t>
  </si>
  <si>
    <t>Average velocity</t>
  </si>
  <si>
    <t>Gross value added in the Netherlands changed quarter by quarter by PLN 2,695.59.</t>
  </si>
  <si>
    <t>Gross value added in the Netherlands changed quarter by quarter by 1,37%.</t>
  </si>
  <si>
    <t>Power model formula</t>
  </si>
  <si>
    <t>Exponential model formula</t>
  </si>
  <si>
    <t>Variance in model</t>
  </si>
  <si>
    <t>Not statistically significant so we do not consider this parameter</t>
  </si>
  <si>
    <t>Because parameter is not statistycally significant.</t>
  </si>
  <si>
    <t>Gross value added in the Netherlands changed quarter by quarter by PLN 1,524.07.</t>
  </si>
  <si>
    <t>Gross value added in the Netherlands changed quarter by quarter by 0,78%.</t>
  </si>
  <si>
    <t>Average speed</t>
  </si>
  <si>
    <t>Gross value added in the Netherlands changed quarter by quarter by PLN 2,606.82.</t>
  </si>
  <si>
    <t>Gross value added in the Netherlands changed quarter by quarter by 1,33%.</t>
  </si>
  <si>
    <t>Exact speed</t>
  </si>
  <si>
    <t>Gross value added in the Netherlands changed quarter by quarter by 1,39%.</t>
  </si>
  <si>
    <t>Rests of Power Model</t>
  </si>
  <si>
    <t>Rests of Exponential Model</t>
  </si>
  <si>
    <t>Rests of Quadratic Model</t>
  </si>
  <si>
    <t>Rests of Logistic Model</t>
  </si>
  <si>
    <t>TIME</t>
  </si>
  <si>
    <t>Rests of Linear Model</t>
  </si>
  <si>
    <t>Variance</t>
  </si>
  <si>
    <t>Quadratic Model describes Netherlands GVA in the most appropriate way</t>
  </si>
  <si>
    <t>The impact of inflation is reduced!</t>
  </si>
  <si>
    <t>b_0</t>
  </si>
  <si>
    <t>b_1</t>
  </si>
  <si>
    <t>The image shows the results of building a quadratic model in the Gretl software.</t>
  </si>
  <si>
    <r>
      <t xml:space="preserve">According to earlier calculations, the explanatory variable </t>
    </r>
    <r>
      <rPr>
        <b/>
        <sz val="12"/>
        <color theme="1"/>
        <rFont val="Aptos Narrow"/>
        <scheme val="minor"/>
      </rPr>
      <t>time</t>
    </r>
    <r>
      <rPr>
        <sz val="12"/>
        <color theme="1"/>
        <rFont val="Aptos Narrow"/>
        <family val="2"/>
        <scheme val="minor"/>
      </rPr>
      <t xml:space="preserve"> is not statistically significant.</t>
    </r>
  </si>
  <si>
    <t>I noticed a structural change in the data in the first quarter of 2020.</t>
  </si>
  <si>
    <t>I assume that the structural change was caused by the impact of the coronavirus pandemic at the beginning of 2020.</t>
  </si>
  <si>
    <t>I performed the Chow test for the first quarter of 2020.</t>
  </si>
  <si>
    <t>I verified the null hypothesis stating that there are no structural changes in the first quarter of 2020.</t>
  </si>
  <si>
    <t>Since the p-value is lower than the 5% significance level, there are grounds to reject the null hypothesis in favor of the alternative hypothesis.</t>
  </si>
  <si>
    <t>PART 1: THE CHOW TEST FOR THE FIRST QUARTER OF 2020</t>
  </si>
  <si>
    <t>wzory na d, td, \hat{y}</t>
  </si>
  <si>
    <t>average gva</t>
  </si>
  <si>
    <t>I also performed the CUSUM test, which indicates that the model is correctly specified.</t>
  </si>
  <si>
    <t>I created a new model that accounts for the structural change in the first quarter of 2020.</t>
  </si>
  <si>
    <t>According to calculations performed in Gretl, the explanatory variables squared are not statistically significant.</t>
  </si>
  <si>
    <t>This is quite interesting because, when accounting for structural changes, the p-value clearly indicates that a linear trend is a better choice.</t>
  </si>
  <si>
    <t>PART 2: GENERATING NEW MODEL INCLUDING THE STRUCTURAL BRAKE</t>
  </si>
  <si>
    <t>The estimated model accounting for structural changes, using only statistically significant coefficients.</t>
  </si>
  <si>
    <t>The quadratic model shows a slightly better Adjusted R^2, but it is small enough that it can be assumed both models represent the data well.</t>
  </si>
  <si>
    <t>I therefore chose Model 3 because it contains fewer explanatory variables, each of which is statistically significant.</t>
  </si>
  <si>
    <t>Until the end of 2019, gross value added in the Netherlands changed quarter by quarter by PLN 1807.93.</t>
  </si>
  <si>
    <t>Until the end of 2019, gross value added in the Netherlands changed quarter by quarter by 0.92%.</t>
  </si>
  <si>
    <t>Until the end of 2019</t>
  </si>
  <si>
    <t>From the beginning of 2020</t>
  </si>
  <si>
    <t>Speed</t>
  </si>
  <si>
    <t>From the beginning of 2020, gross value added in the Netherlands changed quarter by quarter by PLN 1807.93.</t>
  </si>
  <si>
    <t>From the beginning of 2020, gross value added in the Netherlands changed quarter by quarter by 0.92%.</t>
  </si>
  <si>
    <t>b_0^*</t>
  </si>
  <si>
    <t>b_1^*</t>
  </si>
  <si>
    <t>PART 3: GENERATING NEW MODEL USING ONLY STATISTICALLY SIGNIFICANT 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</si>
</sst>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family val="2"/>
      <scheme val="minor"/>
    </font>
    <font>
      <sz val="12"/>
      <color rgb="FF00B050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B05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2" fontId="0" fillId="0" borderId="0" xfId="0" applyNumberFormat="1"/>
    <xf numFmtId="1" fontId="0" fillId="0" borderId="0" xfId="0" applyNumberFormat="1"/>
    <xf numFmtId="0" fontId="1" fillId="0" borderId="0" xfId="0" applyFont="1"/>
    <xf numFmtId="2" fontId="0" fillId="2" borderId="0" xfId="0" applyNumberFormat="1" applyFill="1"/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1" fillId="0" borderId="7" xfId="0" applyFont="1" applyBorder="1"/>
    <xf numFmtId="0" fontId="1" fillId="0" borderId="2" xfId="0" applyFont="1" applyBorder="1"/>
    <xf numFmtId="0" fontId="1" fillId="0" borderId="8" xfId="0" applyFont="1" applyBorder="1"/>
    <xf numFmtId="0" fontId="3" fillId="0" borderId="4" xfId="0" applyFont="1" applyBorder="1"/>
    <xf numFmtId="0" fontId="3" fillId="0" borderId="6" xfId="0" applyFont="1" applyBorder="1"/>
    <xf numFmtId="0" fontId="4" fillId="0" borderId="0" xfId="0" applyFont="1"/>
    <xf numFmtId="0" fontId="0" fillId="0" borderId="0" xfId="0" applyAlignment="1">
      <alignment horizontal="center" vertical="center"/>
    </xf>
    <xf numFmtId="10" fontId="0" fillId="0" borderId="0" xfId="0" applyNumberFormat="1"/>
    <xf numFmtId="0" fontId="3" fillId="0" borderId="0" xfId="0" applyFo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Continuous"/>
    </xf>
    <xf numFmtId="0" fontId="5" fillId="0" borderId="4" xfId="0" applyFont="1" applyBorder="1"/>
    <xf numFmtId="0" fontId="5" fillId="0" borderId="0" xfId="0" applyFont="1"/>
    <xf numFmtId="0" fontId="6" fillId="0" borderId="0" xfId="0" applyFont="1"/>
    <xf numFmtId="0" fontId="0" fillId="3" borderId="0" xfId="0" applyFill="1"/>
    <xf numFmtId="0" fontId="7" fillId="0" borderId="0" xfId="0" applyFont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Border="1"/>
    <xf numFmtId="0" fontId="0" fillId="0" borderId="4" xfId="0" applyBorder="1"/>
    <xf numFmtId="0" fontId="0" fillId="0" borderId="6" xfId="0" applyBorder="1"/>
    <xf numFmtId="10" fontId="0" fillId="0" borderId="0" xfId="0" applyNumberFormat="1" applyBorder="1"/>
    <xf numFmtId="0" fontId="0" fillId="0" borderId="0" xfId="0" applyFill="1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800" b="1"/>
              <a:t>Time</a:t>
            </a:r>
            <a:r>
              <a:rPr lang="en-GB" sz="2800" b="1" baseline="0"/>
              <a:t> Series of Gross Value Added in </a:t>
            </a:r>
            <a:r>
              <a:rPr lang="en-GB" sz="2800" b="1" baseline="0">
                <a:solidFill>
                  <a:srgbClr val="0070C0"/>
                </a:solidFill>
              </a:rPr>
              <a:t>Netherlands</a:t>
            </a:r>
            <a:endParaRPr lang="en-GB" sz="2800" b="1">
              <a:solidFill>
                <a:srgbClr val="0070C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Gross Value Added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'01 Removing Trend and Season'!$A$2:$A$43</c:f>
              <c:strCache>
                <c:ptCount val="42"/>
                <c:pt idx="0">
                  <c:v>2015-Q1</c:v>
                </c:pt>
                <c:pt idx="1">
                  <c:v>2015-Q2</c:v>
                </c:pt>
                <c:pt idx="2">
                  <c:v>2015-Q3</c:v>
                </c:pt>
                <c:pt idx="3">
                  <c:v>2015-Q4</c:v>
                </c:pt>
                <c:pt idx="4">
                  <c:v>2016-Q1</c:v>
                </c:pt>
                <c:pt idx="5">
                  <c:v>2016-Q2</c:v>
                </c:pt>
                <c:pt idx="6">
                  <c:v>2016-Q3</c:v>
                </c:pt>
                <c:pt idx="7">
                  <c:v>2016-Q4</c:v>
                </c:pt>
                <c:pt idx="8">
                  <c:v>2017-Q1</c:v>
                </c:pt>
                <c:pt idx="9">
                  <c:v>2017-Q2</c:v>
                </c:pt>
                <c:pt idx="10">
                  <c:v>2017-Q3</c:v>
                </c:pt>
                <c:pt idx="11">
                  <c:v>2017-Q4</c:v>
                </c:pt>
                <c:pt idx="12">
                  <c:v>2018-Q1</c:v>
                </c:pt>
                <c:pt idx="13">
                  <c:v>2018-Q2</c:v>
                </c:pt>
                <c:pt idx="14">
                  <c:v>2018-Q3</c:v>
                </c:pt>
                <c:pt idx="15">
                  <c:v>2018-Q4</c:v>
                </c:pt>
                <c:pt idx="16">
                  <c:v>2019-Q1</c:v>
                </c:pt>
                <c:pt idx="17">
                  <c:v>2019-Q2</c:v>
                </c:pt>
                <c:pt idx="18">
                  <c:v>2019-Q3</c:v>
                </c:pt>
                <c:pt idx="19">
                  <c:v>2019-Q4</c:v>
                </c:pt>
                <c:pt idx="20">
                  <c:v>2020-Q1</c:v>
                </c:pt>
                <c:pt idx="21">
                  <c:v>2020-Q2</c:v>
                </c:pt>
                <c:pt idx="22">
                  <c:v>2020-Q3</c:v>
                </c:pt>
                <c:pt idx="23">
                  <c:v>2020-Q4</c:v>
                </c:pt>
                <c:pt idx="24">
                  <c:v>2021-Q1</c:v>
                </c:pt>
                <c:pt idx="25">
                  <c:v>2021-Q2</c:v>
                </c:pt>
                <c:pt idx="26">
                  <c:v>2021-Q3</c:v>
                </c:pt>
                <c:pt idx="27">
                  <c:v>2021-Q4</c:v>
                </c:pt>
                <c:pt idx="28">
                  <c:v>2022-Q1</c:v>
                </c:pt>
                <c:pt idx="29">
                  <c:v>2022-Q2</c:v>
                </c:pt>
                <c:pt idx="30">
                  <c:v>2022-Q3</c:v>
                </c:pt>
                <c:pt idx="31">
                  <c:v>2022-Q4</c:v>
                </c:pt>
                <c:pt idx="32">
                  <c:v>2023-Q1</c:v>
                </c:pt>
                <c:pt idx="33">
                  <c:v>2023-Q2</c:v>
                </c:pt>
                <c:pt idx="34">
                  <c:v>2023-Q3</c:v>
                </c:pt>
                <c:pt idx="35">
                  <c:v>2023-Q4</c:v>
                </c:pt>
                <c:pt idx="36">
                  <c:v>2024-Q1</c:v>
                </c:pt>
                <c:pt idx="37">
                  <c:v>2024-Q2</c:v>
                </c:pt>
                <c:pt idx="38">
                  <c:v>2024-Q3</c:v>
                </c:pt>
                <c:pt idx="39">
                  <c:v>2024-Q4</c:v>
                </c:pt>
                <c:pt idx="40">
                  <c:v>2025-Q1</c:v>
                </c:pt>
                <c:pt idx="41">
                  <c:v>2025-Q2</c:v>
                </c:pt>
              </c:strCache>
            </c:strRef>
          </c:cat>
          <c:val>
            <c:numRef>
              <c:f>'01 Removing Trend and Season'!$D$2:$D$43</c:f>
              <c:numCache>
                <c:formatCode>0</c:formatCode>
                <c:ptCount val="42"/>
                <c:pt idx="0">
                  <c:v>150816</c:v>
                </c:pt>
                <c:pt idx="1">
                  <c:v>159663</c:v>
                </c:pt>
                <c:pt idx="2">
                  <c:v>155573</c:v>
                </c:pt>
                <c:pt idx="3">
                  <c:v>161574</c:v>
                </c:pt>
                <c:pt idx="4">
                  <c:v>154922</c:v>
                </c:pt>
                <c:pt idx="5">
                  <c:v>164049</c:v>
                </c:pt>
                <c:pt idx="6">
                  <c:v>159126</c:v>
                </c:pt>
                <c:pt idx="7">
                  <c:v>166215</c:v>
                </c:pt>
                <c:pt idx="8">
                  <c:v>161419</c:v>
                </c:pt>
                <c:pt idx="9">
                  <c:v>171164</c:v>
                </c:pt>
                <c:pt idx="10">
                  <c:v>166103</c:v>
                </c:pt>
                <c:pt idx="11">
                  <c:v>173248</c:v>
                </c:pt>
                <c:pt idx="12">
                  <c:v>170056</c:v>
                </c:pt>
                <c:pt idx="13">
                  <c:v>179008</c:v>
                </c:pt>
                <c:pt idx="14">
                  <c:v>173652</c:v>
                </c:pt>
                <c:pt idx="15">
                  <c:v>180841</c:v>
                </c:pt>
                <c:pt idx="16">
                  <c:v>178780</c:v>
                </c:pt>
                <c:pt idx="17">
                  <c:v>188735</c:v>
                </c:pt>
                <c:pt idx="18">
                  <c:v>182497</c:v>
                </c:pt>
                <c:pt idx="19">
                  <c:v>189496</c:v>
                </c:pt>
                <c:pt idx="20">
                  <c:v>182537</c:v>
                </c:pt>
                <c:pt idx="21">
                  <c:v>175396</c:v>
                </c:pt>
                <c:pt idx="22">
                  <c:v>179815</c:v>
                </c:pt>
                <c:pt idx="23">
                  <c:v>188401</c:v>
                </c:pt>
                <c:pt idx="24">
                  <c:v>183940</c:v>
                </c:pt>
                <c:pt idx="25">
                  <c:v>201433</c:v>
                </c:pt>
                <c:pt idx="26">
                  <c:v>198942</c:v>
                </c:pt>
                <c:pt idx="27">
                  <c:v>207415</c:v>
                </c:pt>
                <c:pt idx="28">
                  <c:v>209214</c:v>
                </c:pt>
                <c:pt idx="29">
                  <c:v>224204</c:v>
                </c:pt>
                <c:pt idx="30">
                  <c:v>221953</c:v>
                </c:pt>
                <c:pt idx="31">
                  <c:v>232803</c:v>
                </c:pt>
                <c:pt idx="32">
                  <c:v>228660</c:v>
                </c:pt>
                <c:pt idx="33">
                  <c:v>239816</c:v>
                </c:pt>
                <c:pt idx="34">
                  <c:v>233082</c:v>
                </c:pt>
                <c:pt idx="35">
                  <c:v>243243</c:v>
                </c:pt>
                <c:pt idx="36">
                  <c:v>241862</c:v>
                </c:pt>
                <c:pt idx="37">
                  <c:v>255757</c:v>
                </c:pt>
                <c:pt idx="38">
                  <c:v>248625</c:v>
                </c:pt>
                <c:pt idx="39">
                  <c:v>261094</c:v>
                </c:pt>
                <c:pt idx="40">
                  <c:v>254235</c:v>
                </c:pt>
                <c:pt idx="41">
                  <c:v>269320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88-374B-80DF-B51D89626A54}"/>
            </c:ext>
          </c:extLst>
        </c:ser>
        <c:ser>
          <c:idx val="1"/>
          <c:order val="1"/>
          <c:tx>
            <c:v>No Trend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'01 Removing Trend and Season'!$A$2:$A$43</c:f>
              <c:strCache>
                <c:ptCount val="42"/>
                <c:pt idx="0">
                  <c:v>2015-Q1</c:v>
                </c:pt>
                <c:pt idx="1">
                  <c:v>2015-Q2</c:v>
                </c:pt>
                <c:pt idx="2">
                  <c:v>2015-Q3</c:v>
                </c:pt>
                <c:pt idx="3">
                  <c:v>2015-Q4</c:v>
                </c:pt>
                <c:pt idx="4">
                  <c:v>2016-Q1</c:v>
                </c:pt>
                <c:pt idx="5">
                  <c:v>2016-Q2</c:v>
                </c:pt>
                <c:pt idx="6">
                  <c:v>2016-Q3</c:v>
                </c:pt>
                <c:pt idx="7">
                  <c:v>2016-Q4</c:v>
                </c:pt>
                <c:pt idx="8">
                  <c:v>2017-Q1</c:v>
                </c:pt>
                <c:pt idx="9">
                  <c:v>2017-Q2</c:v>
                </c:pt>
                <c:pt idx="10">
                  <c:v>2017-Q3</c:v>
                </c:pt>
                <c:pt idx="11">
                  <c:v>2017-Q4</c:v>
                </c:pt>
                <c:pt idx="12">
                  <c:v>2018-Q1</c:v>
                </c:pt>
                <c:pt idx="13">
                  <c:v>2018-Q2</c:v>
                </c:pt>
                <c:pt idx="14">
                  <c:v>2018-Q3</c:v>
                </c:pt>
                <c:pt idx="15">
                  <c:v>2018-Q4</c:v>
                </c:pt>
                <c:pt idx="16">
                  <c:v>2019-Q1</c:v>
                </c:pt>
                <c:pt idx="17">
                  <c:v>2019-Q2</c:v>
                </c:pt>
                <c:pt idx="18">
                  <c:v>2019-Q3</c:v>
                </c:pt>
                <c:pt idx="19">
                  <c:v>2019-Q4</c:v>
                </c:pt>
                <c:pt idx="20">
                  <c:v>2020-Q1</c:v>
                </c:pt>
                <c:pt idx="21">
                  <c:v>2020-Q2</c:v>
                </c:pt>
                <c:pt idx="22">
                  <c:v>2020-Q3</c:v>
                </c:pt>
                <c:pt idx="23">
                  <c:v>2020-Q4</c:v>
                </c:pt>
                <c:pt idx="24">
                  <c:v>2021-Q1</c:v>
                </c:pt>
                <c:pt idx="25">
                  <c:v>2021-Q2</c:v>
                </c:pt>
                <c:pt idx="26">
                  <c:v>2021-Q3</c:v>
                </c:pt>
                <c:pt idx="27">
                  <c:v>2021-Q4</c:v>
                </c:pt>
                <c:pt idx="28">
                  <c:v>2022-Q1</c:v>
                </c:pt>
                <c:pt idx="29">
                  <c:v>2022-Q2</c:v>
                </c:pt>
                <c:pt idx="30">
                  <c:v>2022-Q3</c:v>
                </c:pt>
                <c:pt idx="31">
                  <c:v>2022-Q4</c:v>
                </c:pt>
                <c:pt idx="32">
                  <c:v>2023-Q1</c:v>
                </c:pt>
                <c:pt idx="33">
                  <c:v>2023-Q2</c:v>
                </c:pt>
                <c:pt idx="34">
                  <c:v>2023-Q3</c:v>
                </c:pt>
                <c:pt idx="35">
                  <c:v>2023-Q4</c:v>
                </c:pt>
                <c:pt idx="36">
                  <c:v>2024-Q1</c:v>
                </c:pt>
                <c:pt idx="37">
                  <c:v>2024-Q2</c:v>
                </c:pt>
                <c:pt idx="38">
                  <c:v>2024-Q3</c:v>
                </c:pt>
                <c:pt idx="39">
                  <c:v>2024-Q4</c:v>
                </c:pt>
                <c:pt idx="40">
                  <c:v>2025-Q1</c:v>
                </c:pt>
                <c:pt idx="41">
                  <c:v>2025-Q2</c:v>
                </c:pt>
              </c:strCache>
            </c:strRef>
          </c:cat>
          <c:val>
            <c:numRef>
              <c:f>'01 Removing Trend and Season'!$E$2:$E$43</c:f>
              <c:numCache>
                <c:formatCode>0</c:formatCode>
                <c:ptCount val="42"/>
                <c:pt idx="1">
                  <c:v>8847</c:v>
                </c:pt>
                <c:pt idx="2">
                  <c:v>-4090</c:v>
                </c:pt>
                <c:pt idx="3">
                  <c:v>6001</c:v>
                </c:pt>
                <c:pt idx="4">
                  <c:v>-6652</c:v>
                </c:pt>
                <c:pt idx="5">
                  <c:v>9127</c:v>
                </c:pt>
                <c:pt idx="6">
                  <c:v>-4923</c:v>
                </c:pt>
                <c:pt idx="7">
                  <c:v>7089</c:v>
                </c:pt>
                <c:pt idx="8">
                  <c:v>-4796</c:v>
                </c:pt>
                <c:pt idx="9">
                  <c:v>9745</c:v>
                </c:pt>
                <c:pt idx="10">
                  <c:v>-5061</c:v>
                </c:pt>
                <c:pt idx="11">
                  <c:v>7145</c:v>
                </c:pt>
                <c:pt idx="12">
                  <c:v>-3192</c:v>
                </c:pt>
                <c:pt idx="13">
                  <c:v>8952</c:v>
                </c:pt>
                <c:pt idx="14">
                  <c:v>-5356</c:v>
                </c:pt>
                <c:pt idx="15">
                  <c:v>7189</c:v>
                </c:pt>
                <c:pt idx="16">
                  <c:v>-2061</c:v>
                </c:pt>
                <c:pt idx="17">
                  <c:v>9955</c:v>
                </c:pt>
                <c:pt idx="18">
                  <c:v>-6238</c:v>
                </c:pt>
                <c:pt idx="19">
                  <c:v>6999</c:v>
                </c:pt>
                <c:pt idx="20">
                  <c:v>-6959</c:v>
                </c:pt>
                <c:pt idx="21">
                  <c:v>-7141</c:v>
                </c:pt>
                <c:pt idx="22">
                  <c:v>4419</c:v>
                </c:pt>
                <c:pt idx="23">
                  <c:v>8586</c:v>
                </c:pt>
                <c:pt idx="24">
                  <c:v>-4461</c:v>
                </c:pt>
                <c:pt idx="25">
                  <c:v>17493</c:v>
                </c:pt>
                <c:pt idx="26">
                  <c:v>-2491</c:v>
                </c:pt>
                <c:pt idx="27">
                  <c:v>8473</c:v>
                </c:pt>
                <c:pt idx="28">
                  <c:v>1799</c:v>
                </c:pt>
                <c:pt idx="29">
                  <c:v>14990</c:v>
                </c:pt>
                <c:pt idx="30">
                  <c:v>-2251</c:v>
                </c:pt>
                <c:pt idx="31">
                  <c:v>10850</c:v>
                </c:pt>
                <c:pt idx="32">
                  <c:v>-4143</c:v>
                </c:pt>
                <c:pt idx="33">
                  <c:v>11156</c:v>
                </c:pt>
                <c:pt idx="34">
                  <c:v>-6734</c:v>
                </c:pt>
                <c:pt idx="35">
                  <c:v>10161</c:v>
                </c:pt>
                <c:pt idx="36">
                  <c:v>-1381</c:v>
                </c:pt>
                <c:pt idx="37">
                  <c:v>13895</c:v>
                </c:pt>
                <c:pt idx="38">
                  <c:v>-7132</c:v>
                </c:pt>
                <c:pt idx="39">
                  <c:v>12469</c:v>
                </c:pt>
                <c:pt idx="40">
                  <c:v>-6859</c:v>
                </c:pt>
                <c:pt idx="41">
                  <c:v>15085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88-374B-80DF-B51D89626A54}"/>
            </c:ext>
          </c:extLst>
        </c:ser>
        <c:ser>
          <c:idx val="2"/>
          <c:order val="2"/>
          <c:tx>
            <c:v>No Trend and No Seasonality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'01 Removing Trend and Season'!$A$2:$A$43</c:f>
              <c:strCache>
                <c:ptCount val="42"/>
                <c:pt idx="0">
                  <c:v>2015-Q1</c:v>
                </c:pt>
                <c:pt idx="1">
                  <c:v>2015-Q2</c:v>
                </c:pt>
                <c:pt idx="2">
                  <c:v>2015-Q3</c:v>
                </c:pt>
                <c:pt idx="3">
                  <c:v>2015-Q4</c:v>
                </c:pt>
                <c:pt idx="4">
                  <c:v>2016-Q1</c:v>
                </c:pt>
                <c:pt idx="5">
                  <c:v>2016-Q2</c:v>
                </c:pt>
                <c:pt idx="6">
                  <c:v>2016-Q3</c:v>
                </c:pt>
                <c:pt idx="7">
                  <c:v>2016-Q4</c:v>
                </c:pt>
                <c:pt idx="8">
                  <c:v>2017-Q1</c:v>
                </c:pt>
                <c:pt idx="9">
                  <c:v>2017-Q2</c:v>
                </c:pt>
                <c:pt idx="10">
                  <c:v>2017-Q3</c:v>
                </c:pt>
                <c:pt idx="11">
                  <c:v>2017-Q4</c:v>
                </c:pt>
                <c:pt idx="12">
                  <c:v>2018-Q1</c:v>
                </c:pt>
                <c:pt idx="13">
                  <c:v>2018-Q2</c:v>
                </c:pt>
                <c:pt idx="14">
                  <c:v>2018-Q3</c:v>
                </c:pt>
                <c:pt idx="15">
                  <c:v>2018-Q4</c:v>
                </c:pt>
                <c:pt idx="16">
                  <c:v>2019-Q1</c:v>
                </c:pt>
                <c:pt idx="17">
                  <c:v>2019-Q2</c:v>
                </c:pt>
                <c:pt idx="18">
                  <c:v>2019-Q3</c:v>
                </c:pt>
                <c:pt idx="19">
                  <c:v>2019-Q4</c:v>
                </c:pt>
                <c:pt idx="20">
                  <c:v>2020-Q1</c:v>
                </c:pt>
                <c:pt idx="21">
                  <c:v>2020-Q2</c:v>
                </c:pt>
                <c:pt idx="22">
                  <c:v>2020-Q3</c:v>
                </c:pt>
                <c:pt idx="23">
                  <c:v>2020-Q4</c:v>
                </c:pt>
                <c:pt idx="24">
                  <c:v>2021-Q1</c:v>
                </c:pt>
                <c:pt idx="25">
                  <c:v>2021-Q2</c:v>
                </c:pt>
                <c:pt idx="26">
                  <c:v>2021-Q3</c:v>
                </c:pt>
                <c:pt idx="27">
                  <c:v>2021-Q4</c:v>
                </c:pt>
                <c:pt idx="28">
                  <c:v>2022-Q1</c:v>
                </c:pt>
                <c:pt idx="29">
                  <c:v>2022-Q2</c:v>
                </c:pt>
                <c:pt idx="30">
                  <c:v>2022-Q3</c:v>
                </c:pt>
                <c:pt idx="31">
                  <c:v>2022-Q4</c:v>
                </c:pt>
                <c:pt idx="32">
                  <c:v>2023-Q1</c:v>
                </c:pt>
                <c:pt idx="33">
                  <c:v>2023-Q2</c:v>
                </c:pt>
                <c:pt idx="34">
                  <c:v>2023-Q3</c:v>
                </c:pt>
                <c:pt idx="35">
                  <c:v>2023-Q4</c:v>
                </c:pt>
                <c:pt idx="36">
                  <c:v>2024-Q1</c:v>
                </c:pt>
                <c:pt idx="37">
                  <c:v>2024-Q2</c:v>
                </c:pt>
                <c:pt idx="38">
                  <c:v>2024-Q3</c:v>
                </c:pt>
                <c:pt idx="39">
                  <c:v>2024-Q4</c:v>
                </c:pt>
                <c:pt idx="40">
                  <c:v>2025-Q1</c:v>
                </c:pt>
                <c:pt idx="41">
                  <c:v>2025-Q2</c:v>
                </c:pt>
              </c:strCache>
            </c:strRef>
          </c:cat>
          <c:val>
            <c:numRef>
              <c:f>'01 Removing Trend and Season'!$F$2:$F$43</c:f>
              <c:numCache>
                <c:formatCode>0.00</c:formatCode>
                <c:ptCount val="42"/>
                <c:pt idx="1">
                  <c:v>1363.545454545454</c:v>
                </c:pt>
                <c:pt idx="2">
                  <c:v>2603.5181818181818</c:v>
                </c:pt>
                <c:pt idx="3">
                  <c:v>212.61818181818126</c:v>
                </c:pt>
                <c:pt idx="4">
                  <c:v>-73.681818181818016</c:v>
                </c:pt>
                <c:pt idx="5">
                  <c:v>1643.545454545454</c:v>
                </c:pt>
                <c:pt idx="6">
                  <c:v>1770.5181818181818</c:v>
                </c:pt>
                <c:pt idx="7">
                  <c:v>1300.6181818181813</c:v>
                </c:pt>
                <c:pt idx="8">
                  <c:v>1782.318181818182</c:v>
                </c:pt>
                <c:pt idx="9">
                  <c:v>2261.545454545454</c:v>
                </c:pt>
                <c:pt idx="10">
                  <c:v>1632.5181818181818</c:v>
                </c:pt>
                <c:pt idx="11">
                  <c:v>1356.6181818181813</c:v>
                </c:pt>
                <c:pt idx="12">
                  <c:v>3386.318181818182</c:v>
                </c:pt>
                <c:pt idx="13">
                  <c:v>1468.545454545454</c:v>
                </c:pt>
                <c:pt idx="14">
                  <c:v>1337.5181818181818</c:v>
                </c:pt>
                <c:pt idx="15">
                  <c:v>1400.6181818181813</c:v>
                </c:pt>
                <c:pt idx="16">
                  <c:v>4517.318181818182</c:v>
                </c:pt>
                <c:pt idx="17">
                  <c:v>2471.545454545454</c:v>
                </c:pt>
                <c:pt idx="18">
                  <c:v>455.5181818181818</c:v>
                </c:pt>
                <c:pt idx="19">
                  <c:v>1210.6181818181813</c:v>
                </c:pt>
                <c:pt idx="20">
                  <c:v>-380.68181818181802</c:v>
                </c:pt>
                <c:pt idx="21">
                  <c:v>-14624.454545454546</c:v>
                </c:pt>
                <c:pt idx="22">
                  <c:v>11112.518181818181</c:v>
                </c:pt>
                <c:pt idx="23">
                  <c:v>2797.6181818181813</c:v>
                </c:pt>
                <c:pt idx="24">
                  <c:v>2117.318181818182</c:v>
                </c:pt>
                <c:pt idx="25">
                  <c:v>10009.545454545454</c:v>
                </c:pt>
                <c:pt idx="26">
                  <c:v>4202.5181818181818</c:v>
                </c:pt>
                <c:pt idx="27">
                  <c:v>2684.6181818181813</c:v>
                </c:pt>
                <c:pt idx="28">
                  <c:v>8377.318181818182</c:v>
                </c:pt>
                <c:pt idx="29">
                  <c:v>7506.545454545454</c:v>
                </c:pt>
                <c:pt idx="30">
                  <c:v>4442.5181818181818</c:v>
                </c:pt>
                <c:pt idx="31">
                  <c:v>5061.6181818181813</c:v>
                </c:pt>
                <c:pt idx="32">
                  <c:v>2435.318181818182</c:v>
                </c:pt>
                <c:pt idx="33">
                  <c:v>3672.545454545454</c:v>
                </c:pt>
                <c:pt idx="34">
                  <c:v>-40.481818181818198</c:v>
                </c:pt>
                <c:pt idx="35">
                  <c:v>4372.6181818181813</c:v>
                </c:pt>
                <c:pt idx="36">
                  <c:v>5197.318181818182</c:v>
                </c:pt>
                <c:pt idx="37">
                  <c:v>6411.545454545454</c:v>
                </c:pt>
                <c:pt idx="38">
                  <c:v>-438.4818181818182</c:v>
                </c:pt>
                <c:pt idx="39">
                  <c:v>6680.6181818181813</c:v>
                </c:pt>
                <c:pt idx="40">
                  <c:v>-280.68181818181802</c:v>
                </c:pt>
                <c:pt idx="41">
                  <c:v>7601.545454545454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88-374B-80DF-B51D89626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8738992"/>
        <c:axId val="1745676304"/>
      </c:lineChart>
      <c:catAx>
        <c:axId val="1128738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745676304"/>
        <c:crosses val="autoZero"/>
        <c:auto val="1"/>
        <c:lblAlgn val="ctr"/>
        <c:lblOffset val="100"/>
        <c:noMultiLvlLbl val="0"/>
      </c:catAx>
      <c:valAx>
        <c:axId val="174567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128738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800" b="1"/>
              <a:t>Time</a:t>
            </a:r>
            <a:r>
              <a:rPr lang="en-GB" sz="2800" b="1" baseline="0"/>
              <a:t> Series of Gross Value Added in </a:t>
            </a:r>
            <a:r>
              <a:rPr lang="en-GB" sz="2800" b="1" baseline="0">
                <a:solidFill>
                  <a:srgbClr val="0070C0"/>
                </a:solidFill>
              </a:rPr>
              <a:t>Netherlands </a:t>
            </a:r>
            <a:r>
              <a:rPr lang="en-GB" sz="2800" b="1" baseline="0">
                <a:solidFill>
                  <a:schemeClr val="tx1"/>
                </a:solidFill>
              </a:rPr>
              <a:t>in Constant Prices from </a:t>
            </a:r>
            <a:r>
              <a:rPr lang="en-GB" sz="2800" b="1" baseline="0">
                <a:solidFill>
                  <a:srgbClr val="00B050"/>
                </a:solidFill>
              </a:rPr>
              <a:t>2016</a:t>
            </a:r>
            <a:r>
              <a:rPr lang="en-GB" sz="2800" b="1" baseline="0">
                <a:solidFill>
                  <a:schemeClr val="tx1"/>
                </a:solidFill>
              </a:rPr>
              <a:t> </a:t>
            </a:r>
            <a:endParaRPr lang="en-GB" sz="2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Gross Value Added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'02 GVA Const 2020 in Const 2016'!$A$2:$A$43</c:f>
              <c:strCache>
                <c:ptCount val="42"/>
                <c:pt idx="0">
                  <c:v>2015-Q1</c:v>
                </c:pt>
                <c:pt idx="1">
                  <c:v>2015-Q2</c:v>
                </c:pt>
                <c:pt idx="2">
                  <c:v>2015-Q3</c:v>
                </c:pt>
                <c:pt idx="3">
                  <c:v>2015-Q4</c:v>
                </c:pt>
                <c:pt idx="4">
                  <c:v>2016-Q1</c:v>
                </c:pt>
                <c:pt idx="5">
                  <c:v>2016-Q2</c:v>
                </c:pt>
                <c:pt idx="6">
                  <c:v>2016-Q3</c:v>
                </c:pt>
                <c:pt idx="7">
                  <c:v>2016-Q4</c:v>
                </c:pt>
                <c:pt idx="8">
                  <c:v>2017-Q1</c:v>
                </c:pt>
                <c:pt idx="9">
                  <c:v>2017-Q2</c:v>
                </c:pt>
                <c:pt idx="10">
                  <c:v>2017-Q3</c:v>
                </c:pt>
                <c:pt idx="11">
                  <c:v>2017-Q4</c:v>
                </c:pt>
                <c:pt idx="12">
                  <c:v>2018-Q1</c:v>
                </c:pt>
                <c:pt idx="13">
                  <c:v>2018-Q2</c:v>
                </c:pt>
                <c:pt idx="14">
                  <c:v>2018-Q3</c:v>
                </c:pt>
                <c:pt idx="15">
                  <c:v>2018-Q4</c:v>
                </c:pt>
                <c:pt idx="16">
                  <c:v>2019-Q1</c:v>
                </c:pt>
                <c:pt idx="17">
                  <c:v>2019-Q2</c:v>
                </c:pt>
                <c:pt idx="18">
                  <c:v>2019-Q3</c:v>
                </c:pt>
                <c:pt idx="19">
                  <c:v>2019-Q4</c:v>
                </c:pt>
                <c:pt idx="20">
                  <c:v>2020-Q1</c:v>
                </c:pt>
                <c:pt idx="21">
                  <c:v>2020-Q2</c:v>
                </c:pt>
                <c:pt idx="22">
                  <c:v>2020-Q3</c:v>
                </c:pt>
                <c:pt idx="23">
                  <c:v>2020-Q4</c:v>
                </c:pt>
                <c:pt idx="24">
                  <c:v>2021-Q1</c:v>
                </c:pt>
                <c:pt idx="25">
                  <c:v>2021-Q2</c:v>
                </c:pt>
                <c:pt idx="26">
                  <c:v>2021-Q3</c:v>
                </c:pt>
                <c:pt idx="27">
                  <c:v>2021-Q4</c:v>
                </c:pt>
                <c:pt idx="28">
                  <c:v>2022-Q1</c:v>
                </c:pt>
                <c:pt idx="29">
                  <c:v>2022-Q2</c:v>
                </c:pt>
                <c:pt idx="30">
                  <c:v>2022-Q3</c:v>
                </c:pt>
                <c:pt idx="31">
                  <c:v>2022-Q4</c:v>
                </c:pt>
                <c:pt idx="32">
                  <c:v>2023-Q1</c:v>
                </c:pt>
                <c:pt idx="33">
                  <c:v>2023-Q2</c:v>
                </c:pt>
                <c:pt idx="34">
                  <c:v>2023-Q3</c:v>
                </c:pt>
                <c:pt idx="35">
                  <c:v>2023-Q4</c:v>
                </c:pt>
                <c:pt idx="36">
                  <c:v>2024-Q1</c:v>
                </c:pt>
                <c:pt idx="37">
                  <c:v>2024-Q2</c:v>
                </c:pt>
                <c:pt idx="38">
                  <c:v>2024-Q3</c:v>
                </c:pt>
                <c:pt idx="39">
                  <c:v>2024-Q4</c:v>
                </c:pt>
                <c:pt idx="40">
                  <c:v>2025-Q1</c:v>
                </c:pt>
                <c:pt idx="41">
                  <c:v>2025-Q2</c:v>
                </c:pt>
              </c:strCache>
            </c:strRef>
          </c:cat>
          <c:val>
            <c:numRef>
              <c:f>'02 GVA Const 2020 in Const 2016'!$D$2:$D$43</c:f>
              <c:numCache>
                <c:formatCode>0</c:formatCode>
                <c:ptCount val="42"/>
                <c:pt idx="0">
                  <c:v>152367.13305746697</c:v>
                </c:pt>
                <c:pt idx="1">
                  <c:v>161513.25366654154</c:v>
                </c:pt>
                <c:pt idx="2">
                  <c:v>155677.23181009715</c:v>
                </c:pt>
                <c:pt idx="3">
                  <c:v>160606.15269116178</c:v>
                </c:pt>
                <c:pt idx="4">
                  <c:v>155594.5182706881</c:v>
                </c:pt>
                <c:pt idx="5">
                  <c:v>165490.19025626802</c:v>
                </c:pt>
                <c:pt idx="6">
                  <c:v>159100.91283168335</c:v>
                </c:pt>
                <c:pt idx="7">
                  <c:v>164126.37864136056</c:v>
                </c:pt>
                <c:pt idx="8">
                  <c:v>160369.00390541423</c:v>
                </c:pt>
                <c:pt idx="9">
                  <c:v>170204.12921375231</c:v>
                </c:pt>
                <c:pt idx="10">
                  <c:v>163404.21524745025</c:v>
                </c:pt>
                <c:pt idx="11">
                  <c:v>168292.83274275632</c:v>
                </c:pt>
                <c:pt idx="12">
                  <c:v>164111.81446332508</c:v>
                </c:pt>
                <c:pt idx="13">
                  <c:v>174628.34178679492</c:v>
                </c:pt>
                <c:pt idx="14">
                  <c:v>166744.35834219141</c:v>
                </c:pt>
                <c:pt idx="15">
                  <c:v>171442.54233978826</c:v>
                </c:pt>
                <c:pt idx="16">
                  <c:v>168101.30006179912</c:v>
                </c:pt>
                <c:pt idx="17">
                  <c:v>178613.98024390108</c:v>
                </c:pt>
                <c:pt idx="18">
                  <c:v>170906.96530221929</c:v>
                </c:pt>
                <c:pt idx="19">
                  <c:v>175487.6282908883</c:v>
                </c:pt>
                <c:pt idx="20">
                  <c:v>167682.694441534</c:v>
                </c:pt>
                <c:pt idx="21">
                  <c:v>162710.3558221749</c:v>
                </c:pt>
                <c:pt idx="22">
                  <c:v>164442.48542375327</c:v>
                </c:pt>
                <c:pt idx="23">
                  <c:v>170306.81124883259</c:v>
                </c:pt>
                <c:pt idx="24">
                  <c:v>165839.73052911952</c:v>
                </c:pt>
                <c:pt idx="25">
                  <c:v>182515.16478812223</c:v>
                </c:pt>
                <c:pt idx="26">
                  <c:v>177232.49009842222</c:v>
                </c:pt>
                <c:pt idx="27">
                  <c:v>184029.01491637639</c:v>
                </c:pt>
                <c:pt idx="28">
                  <c:v>178781.2392947991</c:v>
                </c:pt>
                <c:pt idx="29">
                  <c:v>193683.78257344489</c:v>
                </c:pt>
                <c:pt idx="30">
                  <c:v>184832.9758636558</c:v>
                </c:pt>
                <c:pt idx="31">
                  <c:v>192620.78077406273</c:v>
                </c:pt>
                <c:pt idx="32">
                  <c:v>181072.21197936163</c:v>
                </c:pt>
                <c:pt idx="33">
                  <c:v>192204.64831610557</c:v>
                </c:pt>
                <c:pt idx="34">
                  <c:v>182115.79487469653</c:v>
                </c:pt>
                <c:pt idx="35">
                  <c:v>190337.31917502801</c:v>
                </c:pt>
                <c:pt idx="36">
                  <c:v>180627.77555276945</c:v>
                </c:pt>
                <c:pt idx="37">
                  <c:v>194186.84210659502</c:v>
                </c:pt>
                <c:pt idx="38">
                  <c:v>185186.18008066725</c:v>
                </c:pt>
                <c:pt idx="39">
                  <c:v>193903.06963141309</c:v>
                </c:pt>
                <c:pt idx="40">
                  <c:v>184694.47877441274</c:v>
                </c:pt>
                <c:pt idx="41">
                  <c:v>197610.33993097322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8A-3649-BF75-9695BB872CFA}"/>
            </c:ext>
          </c:extLst>
        </c:ser>
        <c:ser>
          <c:idx val="1"/>
          <c:order val="1"/>
          <c:tx>
            <c:v>No Trend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'02 GVA Const 2020 in Const 2016'!$A$2:$A$43</c:f>
              <c:strCache>
                <c:ptCount val="42"/>
                <c:pt idx="0">
                  <c:v>2015-Q1</c:v>
                </c:pt>
                <c:pt idx="1">
                  <c:v>2015-Q2</c:v>
                </c:pt>
                <c:pt idx="2">
                  <c:v>2015-Q3</c:v>
                </c:pt>
                <c:pt idx="3">
                  <c:v>2015-Q4</c:v>
                </c:pt>
                <c:pt idx="4">
                  <c:v>2016-Q1</c:v>
                </c:pt>
                <c:pt idx="5">
                  <c:v>2016-Q2</c:v>
                </c:pt>
                <c:pt idx="6">
                  <c:v>2016-Q3</c:v>
                </c:pt>
                <c:pt idx="7">
                  <c:v>2016-Q4</c:v>
                </c:pt>
                <c:pt idx="8">
                  <c:v>2017-Q1</c:v>
                </c:pt>
                <c:pt idx="9">
                  <c:v>2017-Q2</c:v>
                </c:pt>
                <c:pt idx="10">
                  <c:v>2017-Q3</c:v>
                </c:pt>
                <c:pt idx="11">
                  <c:v>2017-Q4</c:v>
                </c:pt>
                <c:pt idx="12">
                  <c:v>2018-Q1</c:v>
                </c:pt>
                <c:pt idx="13">
                  <c:v>2018-Q2</c:v>
                </c:pt>
                <c:pt idx="14">
                  <c:v>2018-Q3</c:v>
                </c:pt>
                <c:pt idx="15">
                  <c:v>2018-Q4</c:v>
                </c:pt>
                <c:pt idx="16">
                  <c:v>2019-Q1</c:v>
                </c:pt>
                <c:pt idx="17">
                  <c:v>2019-Q2</c:v>
                </c:pt>
                <c:pt idx="18">
                  <c:v>2019-Q3</c:v>
                </c:pt>
                <c:pt idx="19">
                  <c:v>2019-Q4</c:v>
                </c:pt>
                <c:pt idx="20">
                  <c:v>2020-Q1</c:v>
                </c:pt>
                <c:pt idx="21">
                  <c:v>2020-Q2</c:v>
                </c:pt>
                <c:pt idx="22">
                  <c:v>2020-Q3</c:v>
                </c:pt>
                <c:pt idx="23">
                  <c:v>2020-Q4</c:v>
                </c:pt>
                <c:pt idx="24">
                  <c:v>2021-Q1</c:v>
                </c:pt>
                <c:pt idx="25">
                  <c:v>2021-Q2</c:v>
                </c:pt>
                <c:pt idx="26">
                  <c:v>2021-Q3</c:v>
                </c:pt>
                <c:pt idx="27">
                  <c:v>2021-Q4</c:v>
                </c:pt>
                <c:pt idx="28">
                  <c:v>2022-Q1</c:v>
                </c:pt>
                <c:pt idx="29">
                  <c:v>2022-Q2</c:v>
                </c:pt>
                <c:pt idx="30">
                  <c:v>2022-Q3</c:v>
                </c:pt>
                <c:pt idx="31">
                  <c:v>2022-Q4</c:v>
                </c:pt>
                <c:pt idx="32">
                  <c:v>2023-Q1</c:v>
                </c:pt>
                <c:pt idx="33">
                  <c:v>2023-Q2</c:v>
                </c:pt>
                <c:pt idx="34">
                  <c:v>2023-Q3</c:v>
                </c:pt>
                <c:pt idx="35">
                  <c:v>2023-Q4</c:v>
                </c:pt>
                <c:pt idx="36">
                  <c:v>2024-Q1</c:v>
                </c:pt>
                <c:pt idx="37">
                  <c:v>2024-Q2</c:v>
                </c:pt>
                <c:pt idx="38">
                  <c:v>2024-Q3</c:v>
                </c:pt>
                <c:pt idx="39">
                  <c:v>2024-Q4</c:v>
                </c:pt>
                <c:pt idx="40">
                  <c:v>2025-Q1</c:v>
                </c:pt>
                <c:pt idx="41">
                  <c:v>2025-Q2</c:v>
                </c:pt>
              </c:strCache>
            </c:strRef>
          </c:cat>
          <c:val>
            <c:numRef>
              <c:f>'02 GVA Const 2020 in Const 2016'!$E$2:$E$43</c:f>
              <c:numCache>
                <c:formatCode>0</c:formatCode>
                <c:ptCount val="42"/>
                <c:pt idx="1">
                  <c:v>9146.1206090745691</c:v>
                </c:pt>
                <c:pt idx="2">
                  <c:v>-5836.0218564443931</c:v>
                </c:pt>
                <c:pt idx="3">
                  <c:v>4928.9208810646378</c:v>
                </c:pt>
                <c:pt idx="4">
                  <c:v>-5011.6344204736815</c:v>
                </c:pt>
                <c:pt idx="5">
                  <c:v>9895.6719855799165</c:v>
                </c:pt>
                <c:pt idx="6">
                  <c:v>-6389.2774245846667</c:v>
                </c:pt>
                <c:pt idx="7">
                  <c:v>5025.4658096772037</c:v>
                </c:pt>
                <c:pt idx="8">
                  <c:v>-3757.3747359463305</c:v>
                </c:pt>
                <c:pt idx="9">
                  <c:v>9835.1253083380871</c:v>
                </c:pt>
                <c:pt idx="10">
                  <c:v>-6799.9139663020615</c:v>
                </c:pt>
                <c:pt idx="11">
                  <c:v>4888.617495306069</c:v>
                </c:pt>
                <c:pt idx="12">
                  <c:v>-4181.0182794312423</c:v>
                </c:pt>
                <c:pt idx="13">
                  <c:v>10516.52732346984</c:v>
                </c:pt>
                <c:pt idx="14">
                  <c:v>-7883.9834446035093</c:v>
                </c:pt>
                <c:pt idx="15">
                  <c:v>4698.1839975968469</c:v>
                </c:pt>
                <c:pt idx="16">
                  <c:v>-3341.2422779891349</c:v>
                </c:pt>
                <c:pt idx="17">
                  <c:v>10512.680182101962</c:v>
                </c:pt>
                <c:pt idx="18">
                  <c:v>-7707.0149416817876</c:v>
                </c:pt>
                <c:pt idx="19">
                  <c:v>4580.6629886690062</c:v>
                </c:pt>
                <c:pt idx="20">
                  <c:v>-7804.9338493543037</c:v>
                </c:pt>
                <c:pt idx="21">
                  <c:v>-4972.3386193590995</c:v>
                </c:pt>
                <c:pt idx="22">
                  <c:v>1732.1296015783737</c:v>
                </c:pt>
                <c:pt idx="23">
                  <c:v>5864.3258250793151</c:v>
                </c:pt>
                <c:pt idx="24">
                  <c:v>-4467.0807197130634</c:v>
                </c:pt>
                <c:pt idx="25">
                  <c:v>16675.434259002708</c:v>
                </c:pt>
                <c:pt idx="26">
                  <c:v>-5282.6746897000121</c:v>
                </c:pt>
                <c:pt idx="27">
                  <c:v>6796.5248179541668</c:v>
                </c:pt>
                <c:pt idx="28">
                  <c:v>-5247.7756215772824</c:v>
                </c:pt>
                <c:pt idx="29">
                  <c:v>14902.543278645782</c:v>
                </c:pt>
                <c:pt idx="30">
                  <c:v>-8850.8067097890889</c:v>
                </c:pt>
                <c:pt idx="31">
                  <c:v>7787.804910406936</c:v>
                </c:pt>
                <c:pt idx="32">
                  <c:v>-11548.568794701103</c:v>
                </c:pt>
                <c:pt idx="33">
                  <c:v>11132.436336743936</c:v>
                </c:pt>
                <c:pt idx="34">
                  <c:v>-10088.853441409039</c:v>
                </c:pt>
                <c:pt idx="35">
                  <c:v>8221.5243003314827</c:v>
                </c:pt>
                <c:pt idx="36">
                  <c:v>-9709.5436222585558</c:v>
                </c:pt>
                <c:pt idx="37">
                  <c:v>13559.066553825571</c:v>
                </c:pt>
                <c:pt idx="38">
                  <c:v>-9000.6620259277697</c:v>
                </c:pt>
                <c:pt idx="39">
                  <c:v>8716.8895507458365</c:v>
                </c:pt>
                <c:pt idx="40">
                  <c:v>-9208.5908570003521</c:v>
                </c:pt>
                <c:pt idx="41">
                  <c:v>12915.861156560481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8A-3649-BF75-9695BB872CFA}"/>
            </c:ext>
          </c:extLst>
        </c:ser>
        <c:ser>
          <c:idx val="2"/>
          <c:order val="2"/>
          <c:tx>
            <c:v>No Trend and No Seasonality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'02 GVA Const 2020 in Const 2016'!$A$2:$A$43</c:f>
              <c:strCache>
                <c:ptCount val="42"/>
                <c:pt idx="0">
                  <c:v>2015-Q1</c:v>
                </c:pt>
                <c:pt idx="1">
                  <c:v>2015-Q2</c:v>
                </c:pt>
                <c:pt idx="2">
                  <c:v>2015-Q3</c:v>
                </c:pt>
                <c:pt idx="3">
                  <c:v>2015-Q4</c:v>
                </c:pt>
                <c:pt idx="4">
                  <c:v>2016-Q1</c:v>
                </c:pt>
                <c:pt idx="5">
                  <c:v>2016-Q2</c:v>
                </c:pt>
                <c:pt idx="6">
                  <c:v>2016-Q3</c:v>
                </c:pt>
                <c:pt idx="7">
                  <c:v>2016-Q4</c:v>
                </c:pt>
                <c:pt idx="8">
                  <c:v>2017-Q1</c:v>
                </c:pt>
                <c:pt idx="9">
                  <c:v>2017-Q2</c:v>
                </c:pt>
                <c:pt idx="10">
                  <c:v>2017-Q3</c:v>
                </c:pt>
                <c:pt idx="11">
                  <c:v>2017-Q4</c:v>
                </c:pt>
                <c:pt idx="12">
                  <c:v>2018-Q1</c:v>
                </c:pt>
                <c:pt idx="13">
                  <c:v>2018-Q2</c:v>
                </c:pt>
                <c:pt idx="14">
                  <c:v>2018-Q3</c:v>
                </c:pt>
                <c:pt idx="15">
                  <c:v>2018-Q4</c:v>
                </c:pt>
                <c:pt idx="16">
                  <c:v>2019-Q1</c:v>
                </c:pt>
                <c:pt idx="17">
                  <c:v>2019-Q2</c:v>
                </c:pt>
                <c:pt idx="18">
                  <c:v>2019-Q3</c:v>
                </c:pt>
                <c:pt idx="19">
                  <c:v>2019-Q4</c:v>
                </c:pt>
                <c:pt idx="20">
                  <c:v>2020-Q1</c:v>
                </c:pt>
                <c:pt idx="21">
                  <c:v>2020-Q2</c:v>
                </c:pt>
                <c:pt idx="22">
                  <c:v>2020-Q3</c:v>
                </c:pt>
                <c:pt idx="23">
                  <c:v>2020-Q4</c:v>
                </c:pt>
                <c:pt idx="24">
                  <c:v>2021-Q1</c:v>
                </c:pt>
                <c:pt idx="25">
                  <c:v>2021-Q2</c:v>
                </c:pt>
                <c:pt idx="26">
                  <c:v>2021-Q3</c:v>
                </c:pt>
                <c:pt idx="27">
                  <c:v>2021-Q4</c:v>
                </c:pt>
                <c:pt idx="28">
                  <c:v>2022-Q1</c:v>
                </c:pt>
                <c:pt idx="29">
                  <c:v>2022-Q2</c:v>
                </c:pt>
                <c:pt idx="30">
                  <c:v>2022-Q3</c:v>
                </c:pt>
                <c:pt idx="31">
                  <c:v>2022-Q4</c:v>
                </c:pt>
                <c:pt idx="32">
                  <c:v>2023-Q1</c:v>
                </c:pt>
                <c:pt idx="33">
                  <c:v>2023-Q2</c:v>
                </c:pt>
                <c:pt idx="34">
                  <c:v>2023-Q3</c:v>
                </c:pt>
                <c:pt idx="35">
                  <c:v>2023-Q4</c:v>
                </c:pt>
                <c:pt idx="36">
                  <c:v>2024-Q1</c:v>
                </c:pt>
                <c:pt idx="37">
                  <c:v>2024-Q2</c:v>
                </c:pt>
                <c:pt idx="38">
                  <c:v>2024-Q3</c:v>
                </c:pt>
                <c:pt idx="39">
                  <c:v>2024-Q4</c:v>
                </c:pt>
                <c:pt idx="40">
                  <c:v>2025-Q1</c:v>
                </c:pt>
                <c:pt idx="41">
                  <c:v>2025-Q2</c:v>
                </c:pt>
              </c:strCache>
            </c:strRef>
          </c:cat>
          <c:val>
            <c:numRef>
              <c:f>'02 GVA Const 2020 in Const 2016'!$F$2:$F$43</c:f>
              <c:numCache>
                <c:formatCode>0.00</c:formatCode>
                <c:ptCount val="42"/>
                <c:pt idx="1">
                  <c:v>-356.62709029989674</c:v>
                </c:pt>
                <c:pt idx="2">
                  <c:v>1646.4045498842406</c:v>
                </c:pt>
                <c:pt idx="3">
                  <c:v>-350.25266017627291</c:v>
                </c:pt>
                <c:pt idx="4">
                  <c:v>2287.8604138130613</c:v>
                </c:pt>
                <c:pt idx="5">
                  <c:v>392.9242862054507</c:v>
                </c:pt>
                <c:pt idx="6">
                  <c:v>1093.1489817439669</c:v>
                </c:pt>
                <c:pt idx="7">
                  <c:v>-253.70773156370706</c:v>
                </c:pt>
                <c:pt idx="8">
                  <c:v>3542.1200983404124</c:v>
                </c:pt>
                <c:pt idx="9">
                  <c:v>332.37760896362124</c:v>
                </c:pt>
                <c:pt idx="10">
                  <c:v>682.51244002657222</c:v>
                </c:pt>
                <c:pt idx="11">
                  <c:v>-390.55604593484168</c:v>
                </c:pt>
                <c:pt idx="12">
                  <c:v>3118.4765548555006</c:v>
                </c:pt>
                <c:pt idx="13">
                  <c:v>1013.7796240953739</c:v>
                </c:pt>
                <c:pt idx="14">
                  <c:v>-401.55703827487559</c:v>
                </c:pt>
                <c:pt idx="15">
                  <c:v>-580.98954364406382</c:v>
                </c:pt>
                <c:pt idx="16">
                  <c:v>3958.252556297608</c:v>
                </c:pt>
                <c:pt idx="17">
                  <c:v>1009.9324827274959</c:v>
                </c:pt>
                <c:pt idx="18">
                  <c:v>-224.58853535315393</c:v>
                </c:pt>
                <c:pt idx="19">
                  <c:v>-698.51055257190455</c:v>
                </c:pt>
                <c:pt idx="20">
                  <c:v>-505.43901506756083</c:v>
                </c:pt>
                <c:pt idx="21">
                  <c:v>-14475.086318733565</c:v>
                </c:pt>
                <c:pt idx="22">
                  <c:v>9214.5560079070074</c:v>
                </c:pt>
                <c:pt idx="23">
                  <c:v>585.1522838384044</c:v>
                </c:pt>
                <c:pt idx="24">
                  <c:v>2832.4141145736794</c:v>
                </c:pt>
                <c:pt idx="25">
                  <c:v>7172.6865596282423</c:v>
                </c:pt>
                <c:pt idx="26">
                  <c:v>2199.7517166286216</c:v>
                </c:pt>
                <c:pt idx="27">
                  <c:v>1517.3512767132561</c:v>
                </c:pt>
                <c:pt idx="28">
                  <c:v>2051.7192127094604</c:v>
                </c:pt>
                <c:pt idx="29">
                  <c:v>5399.7955792713165</c:v>
                </c:pt>
                <c:pt idx="30">
                  <c:v>-1368.3803034604553</c:v>
                </c:pt>
                <c:pt idx="31">
                  <c:v>2508.6313691660253</c:v>
                </c:pt>
                <c:pt idx="32">
                  <c:v>-4249.07396041436</c:v>
                </c:pt>
                <c:pt idx="33">
                  <c:v>1629.6886373694706</c:v>
                </c:pt>
                <c:pt idx="34">
                  <c:v>-2606.4270350804054</c:v>
                </c:pt>
                <c:pt idx="35">
                  <c:v>2942.350759090572</c:v>
                </c:pt>
                <c:pt idx="36">
                  <c:v>-2410.048787971813</c:v>
                </c:pt>
                <c:pt idx="37">
                  <c:v>4056.3188544511049</c:v>
                </c:pt>
                <c:pt idx="38">
                  <c:v>-1518.235619599136</c:v>
                </c:pt>
                <c:pt idx="39">
                  <c:v>3437.7160095049258</c:v>
                </c:pt>
                <c:pt idx="40">
                  <c:v>-1909.0960227136093</c:v>
                </c:pt>
                <c:pt idx="41">
                  <c:v>3413.1134571860148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8A-3649-BF75-9695BB872C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8738992"/>
        <c:axId val="1745676304"/>
      </c:lineChart>
      <c:catAx>
        <c:axId val="1128738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745676304"/>
        <c:crosses val="autoZero"/>
        <c:auto val="1"/>
        <c:lblAlgn val="ctr"/>
        <c:lblOffset val="100"/>
        <c:noMultiLvlLbl val="0"/>
      </c:catAx>
      <c:valAx>
        <c:axId val="174567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128738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800" b="1"/>
              <a:t>Time</a:t>
            </a:r>
            <a:r>
              <a:rPr lang="en-GB" sz="2800" b="1" baseline="0"/>
              <a:t> Series of Gross Value Added in </a:t>
            </a:r>
            <a:r>
              <a:rPr lang="en-GB" sz="2800" b="1" baseline="0">
                <a:solidFill>
                  <a:srgbClr val="0070C0"/>
                </a:solidFill>
              </a:rPr>
              <a:t>Netherlands </a:t>
            </a:r>
            <a:r>
              <a:rPr lang="en-GB" sz="2800" b="1" baseline="0">
                <a:solidFill>
                  <a:schemeClr val="tx1"/>
                </a:solidFill>
              </a:rPr>
              <a:t>in Constant Prices from </a:t>
            </a:r>
            <a:r>
              <a:rPr lang="en-GB" sz="2800" b="1" baseline="0">
                <a:solidFill>
                  <a:srgbClr val="00B050"/>
                </a:solidFill>
              </a:rPr>
              <a:t>2024</a:t>
            </a:r>
            <a:r>
              <a:rPr lang="en-GB" sz="2800" b="1" baseline="0">
                <a:solidFill>
                  <a:schemeClr val="tx1"/>
                </a:solidFill>
              </a:rPr>
              <a:t> </a:t>
            </a:r>
            <a:endParaRPr lang="en-GB" sz="2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Gross Value Added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'02 GVA Const 2020 in Const 2024'!$A$2:$A$43</c:f>
              <c:strCache>
                <c:ptCount val="42"/>
                <c:pt idx="0">
                  <c:v>2015-Q1</c:v>
                </c:pt>
                <c:pt idx="1">
                  <c:v>2015-Q2</c:v>
                </c:pt>
                <c:pt idx="2">
                  <c:v>2015-Q3</c:v>
                </c:pt>
                <c:pt idx="3">
                  <c:v>2015-Q4</c:v>
                </c:pt>
                <c:pt idx="4">
                  <c:v>2016-Q1</c:v>
                </c:pt>
                <c:pt idx="5">
                  <c:v>2016-Q2</c:v>
                </c:pt>
                <c:pt idx="6">
                  <c:v>2016-Q3</c:v>
                </c:pt>
                <c:pt idx="7">
                  <c:v>2016-Q4</c:v>
                </c:pt>
                <c:pt idx="8">
                  <c:v>2017-Q1</c:v>
                </c:pt>
                <c:pt idx="9">
                  <c:v>2017-Q2</c:v>
                </c:pt>
                <c:pt idx="10">
                  <c:v>2017-Q3</c:v>
                </c:pt>
                <c:pt idx="11">
                  <c:v>2017-Q4</c:v>
                </c:pt>
                <c:pt idx="12">
                  <c:v>2018-Q1</c:v>
                </c:pt>
                <c:pt idx="13">
                  <c:v>2018-Q2</c:v>
                </c:pt>
                <c:pt idx="14">
                  <c:v>2018-Q3</c:v>
                </c:pt>
                <c:pt idx="15">
                  <c:v>2018-Q4</c:v>
                </c:pt>
                <c:pt idx="16">
                  <c:v>2019-Q1</c:v>
                </c:pt>
                <c:pt idx="17">
                  <c:v>2019-Q2</c:v>
                </c:pt>
                <c:pt idx="18">
                  <c:v>2019-Q3</c:v>
                </c:pt>
                <c:pt idx="19">
                  <c:v>2019-Q4</c:v>
                </c:pt>
                <c:pt idx="20">
                  <c:v>2020-Q1</c:v>
                </c:pt>
                <c:pt idx="21">
                  <c:v>2020-Q2</c:v>
                </c:pt>
                <c:pt idx="22">
                  <c:v>2020-Q3</c:v>
                </c:pt>
                <c:pt idx="23">
                  <c:v>2020-Q4</c:v>
                </c:pt>
                <c:pt idx="24">
                  <c:v>2021-Q1</c:v>
                </c:pt>
                <c:pt idx="25">
                  <c:v>2021-Q2</c:v>
                </c:pt>
                <c:pt idx="26">
                  <c:v>2021-Q3</c:v>
                </c:pt>
                <c:pt idx="27">
                  <c:v>2021-Q4</c:v>
                </c:pt>
                <c:pt idx="28">
                  <c:v>2022-Q1</c:v>
                </c:pt>
                <c:pt idx="29">
                  <c:v>2022-Q2</c:v>
                </c:pt>
                <c:pt idx="30">
                  <c:v>2022-Q3</c:v>
                </c:pt>
                <c:pt idx="31">
                  <c:v>2022-Q4</c:v>
                </c:pt>
                <c:pt idx="32">
                  <c:v>2023-Q1</c:v>
                </c:pt>
                <c:pt idx="33">
                  <c:v>2023-Q2</c:v>
                </c:pt>
                <c:pt idx="34">
                  <c:v>2023-Q3</c:v>
                </c:pt>
                <c:pt idx="35">
                  <c:v>2023-Q4</c:v>
                </c:pt>
                <c:pt idx="36">
                  <c:v>2024-Q1</c:v>
                </c:pt>
                <c:pt idx="37">
                  <c:v>2024-Q2</c:v>
                </c:pt>
                <c:pt idx="38">
                  <c:v>2024-Q3</c:v>
                </c:pt>
                <c:pt idx="39">
                  <c:v>2024-Q4</c:v>
                </c:pt>
                <c:pt idx="40">
                  <c:v>2025-Q1</c:v>
                </c:pt>
                <c:pt idx="41">
                  <c:v>2025-Q2</c:v>
                </c:pt>
              </c:strCache>
            </c:strRef>
          </c:cat>
          <c:val>
            <c:numRef>
              <c:f>'02 GVA Const 2020 in Const 2024'!$D$2:$D$43</c:f>
              <c:numCache>
                <c:formatCode>0</c:formatCode>
                <c:ptCount val="42"/>
                <c:pt idx="0">
                  <c:v>203587.31108216554</c:v>
                </c:pt>
                <c:pt idx="1">
                  <c:v>215808.01816164039</c:v>
                </c:pt>
                <c:pt idx="2">
                  <c:v>208010.14224622143</c:v>
                </c:pt>
                <c:pt idx="3">
                  <c:v>214595.98348754883</c:v>
                </c:pt>
                <c:pt idx="4">
                  <c:v>207899.62348314916</c:v>
                </c:pt>
                <c:pt idx="5">
                  <c:v>221121.85330705406</c:v>
                </c:pt>
                <c:pt idx="6">
                  <c:v>212584.73782468442</c:v>
                </c:pt>
                <c:pt idx="7">
                  <c:v>219299.57881825787</c:v>
                </c:pt>
                <c:pt idx="8">
                  <c:v>214279.11407714561</c:v>
                </c:pt>
                <c:pt idx="9">
                  <c:v>227420.44367691904</c:v>
                </c:pt>
                <c:pt idx="10">
                  <c:v>218334.65088020501</c:v>
                </c:pt>
                <c:pt idx="11">
                  <c:v>224866.64023254925</c:v>
                </c:pt>
                <c:pt idx="12">
                  <c:v>219280.11870382988</c:v>
                </c:pt>
                <c:pt idx="13">
                  <c:v>233331.91239938911</c:v>
                </c:pt>
                <c:pt idx="14">
                  <c:v>222797.62617968474</c:v>
                </c:pt>
                <c:pt idx="15">
                  <c:v>229075.16535658354</c:v>
                </c:pt>
                <c:pt idx="16">
                  <c:v>224610.72136922245</c:v>
                </c:pt>
                <c:pt idx="17">
                  <c:v>238657.37465719692</c:v>
                </c:pt>
                <c:pt idx="18">
                  <c:v>228359.54718639137</c:v>
                </c:pt>
                <c:pt idx="19">
                  <c:v>234480.05915064149</c:v>
                </c:pt>
                <c:pt idx="20">
                  <c:v>224051.39606773821</c:v>
                </c:pt>
                <c:pt idx="21">
                  <c:v>217407.54165509713</c:v>
                </c:pt>
                <c:pt idx="22">
                  <c:v>219721.94897480539</c:v>
                </c:pt>
                <c:pt idx="23">
                  <c:v>227557.6436031693</c:v>
                </c:pt>
                <c:pt idx="24">
                  <c:v>221588.89605332626</c:v>
                </c:pt>
                <c:pt idx="25">
                  <c:v>243869.99272945363</c:v>
                </c:pt>
                <c:pt idx="26">
                  <c:v>236811.4787716422</c:v>
                </c:pt>
                <c:pt idx="27">
                  <c:v>245892.74311405534</c:v>
                </c:pt>
                <c:pt idx="28">
                  <c:v>238880.85999647703</c:v>
                </c:pt>
                <c:pt idx="29">
                  <c:v>258793.08551062905</c:v>
                </c:pt>
                <c:pt idx="30">
                  <c:v>246966.96590861265</c:v>
                </c:pt>
                <c:pt idx="31">
                  <c:v>257372.74193869813</c:v>
                </c:pt>
                <c:pt idx="32">
                  <c:v>241941.97271319959</c:v>
                </c:pt>
                <c:pt idx="33">
                  <c:v>256816.721184947</c:v>
                </c:pt>
                <c:pt idx="34">
                  <c:v>243336.36946589322</c:v>
                </c:pt>
                <c:pt idx="35">
                  <c:v>254321.66525583158</c:v>
                </c:pt>
                <c:pt idx="36">
                  <c:v>241348.13324650342</c:v>
                </c:pt>
                <c:pt idx="37">
                  <c:v>259465.25499766442</c:v>
                </c:pt>
                <c:pt idx="38">
                  <c:v>247438.90428115605</c:v>
                </c:pt>
                <c:pt idx="39">
                  <c:v>259086.08874296019</c:v>
                </c:pt>
                <c:pt idx="40">
                  <c:v>246781.91123556145</c:v>
                </c:pt>
                <c:pt idx="41">
                  <c:v>264039.60579481383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1A-6E4F-B58E-2C3BC31A0A24}"/>
            </c:ext>
          </c:extLst>
        </c:ser>
        <c:ser>
          <c:idx val="1"/>
          <c:order val="1"/>
          <c:tx>
            <c:v>No Trend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'02 GVA Const 2020 in Const 2024'!$A$2:$A$43</c:f>
              <c:strCache>
                <c:ptCount val="42"/>
                <c:pt idx="0">
                  <c:v>2015-Q1</c:v>
                </c:pt>
                <c:pt idx="1">
                  <c:v>2015-Q2</c:v>
                </c:pt>
                <c:pt idx="2">
                  <c:v>2015-Q3</c:v>
                </c:pt>
                <c:pt idx="3">
                  <c:v>2015-Q4</c:v>
                </c:pt>
                <c:pt idx="4">
                  <c:v>2016-Q1</c:v>
                </c:pt>
                <c:pt idx="5">
                  <c:v>2016-Q2</c:v>
                </c:pt>
                <c:pt idx="6">
                  <c:v>2016-Q3</c:v>
                </c:pt>
                <c:pt idx="7">
                  <c:v>2016-Q4</c:v>
                </c:pt>
                <c:pt idx="8">
                  <c:v>2017-Q1</c:v>
                </c:pt>
                <c:pt idx="9">
                  <c:v>2017-Q2</c:v>
                </c:pt>
                <c:pt idx="10">
                  <c:v>2017-Q3</c:v>
                </c:pt>
                <c:pt idx="11">
                  <c:v>2017-Q4</c:v>
                </c:pt>
                <c:pt idx="12">
                  <c:v>2018-Q1</c:v>
                </c:pt>
                <c:pt idx="13">
                  <c:v>2018-Q2</c:v>
                </c:pt>
                <c:pt idx="14">
                  <c:v>2018-Q3</c:v>
                </c:pt>
                <c:pt idx="15">
                  <c:v>2018-Q4</c:v>
                </c:pt>
                <c:pt idx="16">
                  <c:v>2019-Q1</c:v>
                </c:pt>
                <c:pt idx="17">
                  <c:v>2019-Q2</c:v>
                </c:pt>
                <c:pt idx="18">
                  <c:v>2019-Q3</c:v>
                </c:pt>
                <c:pt idx="19">
                  <c:v>2019-Q4</c:v>
                </c:pt>
                <c:pt idx="20">
                  <c:v>2020-Q1</c:v>
                </c:pt>
                <c:pt idx="21">
                  <c:v>2020-Q2</c:v>
                </c:pt>
                <c:pt idx="22">
                  <c:v>2020-Q3</c:v>
                </c:pt>
                <c:pt idx="23">
                  <c:v>2020-Q4</c:v>
                </c:pt>
                <c:pt idx="24">
                  <c:v>2021-Q1</c:v>
                </c:pt>
                <c:pt idx="25">
                  <c:v>2021-Q2</c:v>
                </c:pt>
                <c:pt idx="26">
                  <c:v>2021-Q3</c:v>
                </c:pt>
                <c:pt idx="27">
                  <c:v>2021-Q4</c:v>
                </c:pt>
                <c:pt idx="28">
                  <c:v>2022-Q1</c:v>
                </c:pt>
                <c:pt idx="29">
                  <c:v>2022-Q2</c:v>
                </c:pt>
                <c:pt idx="30">
                  <c:v>2022-Q3</c:v>
                </c:pt>
                <c:pt idx="31">
                  <c:v>2022-Q4</c:v>
                </c:pt>
                <c:pt idx="32">
                  <c:v>2023-Q1</c:v>
                </c:pt>
                <c:pt idx="33">
                  <c:v>2023-Q2</c:v>
                </c:pt>
                <c:pt idx="34">
                  <c:v>2023-Q3</c:v>
                </c:pt>
                <c:pt idx="35">
                  <c:v>2023-Q4</c:v>
                </c:pt>
                <c:pt idx="36">
                  <c:v>2024-Q1</c:v>
                </c:pt>
                <c:pt idx="37">
                  <c:v>2024-Q2</c:v>
                </c:pt>
                <c:pt idx="38">
                  <c:v>2024-Q3</c:v>
                </c:pt>
                <c:pt idx="39">
                  <c:v>2024-Q4</c:v>
                </c:pt>
                <c:pt idx="40">
                  <c:v>2025-Q1</c:v>
                </c:pt>
                <c:pt idx="41">
                  <c:v>2025-Q2</c:v>
                </c:pt>
              </c:strCache>
            </c:strRef>
          </c:cat>
          <c:val>
            <c:numRef>
              <c:f>'02 GVA Const 2020 in Const 2024'!$E$2:$E$43</c:f>
              <c:numCache>
                <c:formatCode>0</c:formatCode>
                <c:ptCount val="42"/>
                <c:pt idx="1">
                  <c:v>12220.707079474843</c:v>
                </c:pt>
                <c:pt idx="2">
                  <c:v>-7797.8759154189611</c:v>
                </c:pt>
                <c:pt idx="3">
                  <c:v>6585.8412413274054</c:v>
                </c:pt>
                <c:pt idx="4">
                  <c:v>-6696.3600043996703</c:v>
                </c:pt>
                <c:pt idx="5">
                  <c:v>13222.229823904898</c:v>
                </c:pt>
                <c:pt idx="6">
                  <c:v>-8537.1154823696415</c:v>
                </c:pt>
                <c:pt idx="7">
                  <c:v>6714.8409935734526</c:v>
                </c:pt>
                <c:pt idx="8">
                  <c:v>-5020.4647411122569</c:v>
                </c:pt>
                <c:pt idx="9">
                  <c:v>13141.329599773424</c:v>
                </c:pt>
                <c:pt idx="10">
                  <c:v>-9085.7927967140276</c:v>
                </c:pt>
                <c:pt idx="11">
                  <c:v>6531.9893523442443</c:v>
                </c:pt>
                <c:pt idx="12">
                  <c:v>-5586.5215287193714</c:v>
                </c:pt>
                <c:pt idx="13">
                  <c:v>14051.79369555923</c:v>
                </c:pt>
                <c:pt idx="14">
                  <c:v>-10534.286219704372</c:v>
                </c:pt>
                <c:pt idx="15">
                  <c:v>6277.5391768988047</c:v>
                </c:pt>
                <c:pt idx="16">
                  <c:v>-4464.4439873610972</c:v>
                </c:pt>
                <c:pt idx="17">
                  <c:v>14046.653287974477</c:v>
                </c:pt>
                <c:pt idx="18">
                  <c:v>-10297.827470805554</c:v>
                </c:pt>
                <c:pt idx="19">
                  <c:v>6120.5119642501231</c:v>
                </c:pt>
                <c:pt idx="20">
                  <c:v>-10428.66308290328</c:v>
                </c:pt>
                <c:pt idx="21">
                  <c:v>-6643.8544126410852</c:v>
                </c:pt>
                <c:pt idx="22">
                  <c:v>2314.4073197082616</c:v>
                </c:pt>
                <c:pt idx="23">
                  <c:v>7835.6946283639118</c:v>
                </c:pt>
                <c:pt idx="24">
                  <c:v>-5968.7475498430431</c:v>
                </c:pt>
                <c:pt idx="25">
                  <c:v>22281.096676127374</c:v>
                </c:pt>
                <c:pt idx="26">
                  <c:v>-7058.5139578114322</c:v>
                </c:pt>
                <c:pt idx="27">
                  <c:v>9081.2643424131384</c:v>
                </c:pt>
                <c:pt idx="28">
                  <c:v>-7011.8831175783125</c:v>
                </c:pt>
                <c:pt idx="29">
                  <c:v>19912.225514152029</c:v>
                </c:pt>
                <c:pt idx="30">
                  <c:v>-11826.119602016406</c:v>
                </c:pt>
                <c:pt idx="31">
                  <c:v>10405.776030085486</c:v>
                </c:pt>
                <c:pt idx="32">
                  <c:v>-15430.769225498545</c:v>
                </c:pt>
                <c:pt idx="33">
                  <c:v>14874.748471747414</c:v>
                </c:pt>
                <c:pt idx="34">
                  <c:v>-13480.351719053782</c:v>
                </c:pt>
                <c:pt idx="35">
                  <c:v>10985.295789938362</c:v>
                </c:pt>
                <c:pt idx="36">
                  <c:v>-12973.532009328163</c:v>
                </c:pt>
                <c:pt idx="37">
                  <c:v>18117.121751161001</c:v>
                </c:pt>
                <c:pt idx="38">
                  <c:v>-12026.350716508372</c:v>
                </c:pt>
                <c:pt idx="39">
                  <c:v>11647.184461804136</c:v>
                </c:pt>
                <c:pt idx="40">
                  <c:v>-12304.177507398737</c:v>
                </c:pt>
                <c:pt idx="41">
                  <c:v>17257.694559252384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1A-6E4F-B58E-2C3BC31A0A24}"/>
            </c:ext>
          </c:extLst>
        </c:ser>
        <c:ser>
          <c:idx val="2"/>
          <c:order val="2"/>
          <c:tx>
            <c:v>No Trend and No Seasonality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'02 GVA Const 2020 in Const 2024'!$A$2:$A$43</c:f>
              <c:strCache>
                <c:ptCount val="42"/>
                <c:pt idx="0">
                  <c:v>2015-Q1</c:v>
                </c:pt>
                <c:pt idx="1">
                  <c:v>2015-Q2</c:v>
                </c:pt>
                <c:pt idx="2">
                  <c:v>2015-Q3</c:v>
                </c:pt>
                <c:pt idx="3">
                  <c:v>2015-Q4</c:v>
                </c:pt>
                <c:pt idx="4">
                  <c:v>2016-Q1</c:v>
                </c:pt>
                <c:pt idx="5">
                  <c:v>2016-Q2</c:v>
                </c:pt>
                <c:pt idx="6">
                  <c:v>2016-Q3</c:v>
                </c:pt>
                <c:pt idx="7">
                  <c:v>2016-Q4</c:v>
                </c:pt>
                <c:pt idx="8">
                  <c:v>2017-Q1</c:v>
                </c:pt>
                <c:pt idx="9">
                  <c:v>2017-Q2</c:v>
                </c:pt>
                <c:pt idx="10">
                  <c:v>2017-Q3</c:v>
                </c:pt>
                <c:pt idx="11">
                  <c:v>2017-Q4</c:v>
                </c:pt>
                <c:pt idx="12">
                  <c:v>2018-Q1</c:v>
                </c:pt>
                <c:pt idx="13">
                  <c:v>2018-Q2</c:v>
                </c:pt>
                <c:pt idx="14">
                  <c:v>2018-Q3</c:v>
                </c:pt>
                <c:pt idx="15">
                  <c:v>2018-Q4</c:v>
                </c:pt>
                <c:pt idx="16">
                  <c:v>2019-Q1</c:v>
                </c:pt>
                <c:pt idx="17">
                  <c:v>2019-Q2</c:v>
                </c:pt>
                <c:pt idx="18">
                  <c:v>2019-Q3</c:v>
                </c:pt>
                <c:pt idx="19">
                  <c:v>2019-Q4</c:v>
                </c:pt>
                <c:pt idx="20">
                  <c:v>2020-Q1</c:v>
                </c:pt>
                <c:pt idx="21">
                  <c:v>2020-Q2</c:v>
                </c:pt>
                <c:pt idx="22">
                  <c:v>2020-Q3</c:v>
                </c:pt>
                <c:pt idx="23">
                  <c:v>2020-Q4</c:v>
                </c:pt>
                <c:pt idx="24">
                  <c:v>2021-Q1</c:v>
                </c:pt>
                <c:pt idx="25">
                  <c:v>2021-Q2</c:v>
                </c:pt>
                <c:pt idx="26">
                  <c:v>2021-Q3</c:v>
                </c:pt>
                <c:pt idx="27">
                  <c:v>2021-Q4</c:v>
                </c:pt>
                <c:pt idx="28">
                  <c:v>2022-Q1</c:v>
                </c:pt>
                <c:pt idx="29">
                  <c:v>2022-Q2</c:v>
                </c:pt>
                <c:pt idx="30">
                  <c:v>2022-Q3</c:v>
                </c:pt>
                <c:pt idx="31">
                  <c:v>2022-Q4</c:v>
                </c:pt>
                <c:pt idx="32">
                  <c:v>2023-Q1</c:v>
                </c:pt>
                <c:pt idx="33">
                  <c:v>2023-Q2</c:v>
                </c:pt>
                <c:pt idx="34">
                  <c:v>2023-Q3</c:v>
                </c:pt>
                <c:pt idx="35">
                  <c:v>2023-Q4</c:v>
                </c:pt>
                <c:pt idx="36">
                  <c:v>2024-Q1</c:v>
                </c:pt>
                <c:pt idx="37">
                  <c:v>2024-Q2</c:v>
                </c:pt>
                <c:pt idx="38">
                  <c:v>2024-Q3</c:v>
                </c:pt>
                <c:pt idx="39">
                  <c:v>2024-Q4</c:v>
                </c:pt>
                <c:pt idx="40">
                  <c:v>2025-Q1</c:v>
                </c:pt>
                <c:pt idx="41">
                  <c:v>2025-Q2</c:v>
                </c:pt>
              </c:strCache>
            </c:strRef>
          </c:cat>
          <c:val>
            <c:numRef>
              <c:f>'02 GVA Const 2020 in Const 2024'!$F$2:$F$43</c:f>
              <c:numCache>
                <c:formatCode>0.00</c:formatCode>
                <c:ptCount val="42"/>
                <c:pt idx="1">
                  <c:v>-476.51188885878037</c:v>
                </c:pt>
                <c:pt idx="2">
                  <c:v>2199.8646856337527</c:v>
                </c:pt>
                <c:pt idx="3">
                  <c:v>-467.99461178921592</c:v>
                </c:pt>
                <c:pt idx="4">
                  <c:v>3056.9542159978628</c:v>
                </c:pt>
                <c:pt idx="5">
                  <c:v>525.01085557127408</c:v>
                </c:pt>
                <c:pt idx="6">
                  <c:v>1460.6251186830723</c:v>
                </c:pt>
                <c:pt idx="7">
                  <c:v>-338.99485954316879</c:v>
                </c:pt>
                <c:pt idx="8">
                  <c:v>4732.8494792852762</c:v>
                </c:pt>
                <c:pt idx="9">
                  <c:v>444.11063143980027</c:v>
                </c:pt>
                <c:pt idx="10">
                  <c:v>911.94780433868618</c:v>
                </c:pt>
                <c:pt idx="11">
                  <c:v>-521.84650077237711</c:v>
                </c:pt>
                <c:pt idx="12">
                  <c:v>4166.7926916781616</c:v>
                </c:pt>
                <c:pt idx="13">
                  <c:v>1354.5747272256067</c:v>
                </c:pt>
                <c:pt idx="14">
                  <c:v>-536.54561865165851</c:v>
                </c:pt>
                <c:pt idx="15">
                  <c:v>-776.29667621781664</c:v>
                </c:pt>
                <c:pt idx="16">
                  <c:v>5288.8702330364358</c:v>
                </c:pt>
                <c:pt idx="17">
                  <c:v>1349.4343196408536</c:v>
                </c:pt>
                <c:pt idx="18">
                  <c:v>-300.08686975284036</c:v>
                </c:pt>
                <c:pt idx="19">
                  <c:v>-933.32388886649824</c:v>
                </c:pt>
                <c:pt idx="20">
                  <c:v>-675.34886250574709</c:v>
                </c:pt>
                <c:pt idx="21">
                  <c:v>-19341.073380974711</c:v>
                </c:pt>
                <c:pt idx="22">
                  <c:v>12312.147920760975</c:v>
                </c:pt>
                <c:pt idx="23">
                  <c:v>781.8587752472904</c:v>
                </c:pt>
                <c:pt idx="24">
                  <c:v>3784.56667055449</c:v>
                </c:pt>
                <c:pt idx="25">
                  <c:v>9583.8777077937502</c:v>
                </c:pt>
                <c:pt idx="26">
                  <c:v>2939.2266432412816</c:v>
                </c:pt>
                <c:pt idx="27">
                  <c:v>2027.428489296517</c:v>
                </c:pt>
                <c:pt idx="28">
                  <c:v>2741.4311028192205</c:v>
                </c:pt>
                <c:pt idx="29">
                  <c:v>7215.0065458184054</c:v>
                </c:pt>
                <c:pt idx="30">
                  <c:v>-1828.3790009636923</c:v>
                </c:pt>
                <c:pt idx="31">
                  <c:v>3351.9401769688648</c:v>
                </c:pt>
                <c:pt idx="32">
                  <c:v>-5677.4550051010119</c:v>
                </c:pt>
                <c:pt idx="33">
                  <c:v>2177.5295034137907</c:v>
                </c:pt>
                <c:pt idx="34">
                  <c:v>-3482.6111180010685</c:v>
                </c:pt>
                <c:pt idx="35">
                  <c:v>3931.4599368217405</c:v>
                </c:pt>
                <c:pt idx="36">
                  <c:v>-3220.2177889306295</c:v>
                </c:pt>
                <c:pt idx="37">
                  <c:v>5419.9027828273775</c:v>
                </c:pt>
                <c:pt idx="38">
                  <c:v>-2028.6101154556582</c:v>
                </c:pt>
                <c:pt idx="39">
                  <c:v>4593.3486086875146</c:v>
                </c:pt>
                <c:pt idx="40">
                  <c:v>-2550.8632870012043</c:v>
                </c:pt>
                <c:pt idx="41">
                  <c:v>4560.4755909187606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1A-6E4F-B58E-2C3BC31A0A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8738992"/>
        <c:axId val="1745676304"/>
      </c:lineChart>
      <c:catAx>
        <c:axId val="1128738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745676304"/>
        <c:crosses val="autoZero"/>
        <c:auto val="1"/>
        <c:lblAlgn val="ctr"/>
        <c:lblOffset val="100"/>
        <c:noMultiLvlLbl val="0"/>
      </c:catAx>
      <c:valAx>
        <c:axId val="174567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128738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rgbClr val="FFC000"/>
                </a:solidFill>
              </a:rPr>
              <a:t>Linear</a:t>
            </a:r>
            <a:r>
              <a:rPr lang="en-GB" b="1" baseline="0">
                <a:solidFill>
                  <a:srgbClr val="FFC000"/>
                </a:solidFill>
              </a:rPr>
              <a:t> Trend </a:t>
            </a:r>
            <a:r>
              <a:rPr lang="en-GB" b="1" baseline="0"/>
              <a:t>of </a:t>
            </a:r>
            <a:r>
              <a:rPr lang="en-GB" b="1" baseline="0">
                <a:solidFill>
                  <a:srgbClr val="0070C0"/>
                </a:solidFill>
              </a:rPr>
              <a:t>Netherlands</a:t>
            </a:r>
            <a:r>
              <a:rPr lang="en-GB" b="1" baseline="0"/>
              <a:t> GVA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GVA</c:v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'03 Linear Trend'!$C$2:$C$43</c:f>
              <c:numCache>
                <c:formatCode>General</c:formatCod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numCache>
            </c:numRef>
          </c:cat>
          <c:val>
            <c:numRef>
              <c:f>'03 Linear Trend'!$A$2:$A$43</c:f>
              <c:numCache>
                <c:formatCode>General</c:formatCode>
                <c:ptCount val="42"/>
                <c:pt idx="0">
                  <c:v>150816</c:v>
                </c:pt>
                <c:pt idx="1">
                  <c:v>159663</c:v>
                </c:pt>
                <c:pt idx="2">
                  <c:v>155573</c:v>
                </c:pt>
                <c:pt idx="3">
                  <c:v>161574</c:v>
                </c:pt>
                <c:pt idx="4">
                  <c:v>154922</c:v>
                </c:pt>
                <c:pt idx="5">
                  <c:v>164049</c:v>
                </c:pt>
                <c:pt idx="6">
                  <c:v>159126</c:v>
                </c:pt>
                <c:pt idx="7">
                  <c:v>166215</c:v>
                </c:pt>
                <c:pt idx="8">
                  <c:v>161419</c:v>
                </c:pt>
                <c:pt idx="9">
                  <c:v>171164</c:v>
                </c:pt>
                <c:pt idx="10">
                  <c:v>166103</c:v>
                </c:pt>
                <c:pt idx="11">
                  <c:v>173248</c:v>
                </c:pt>
                <c:pt idx="12">
                  <c:v>170056</c:v>
                </c:pt>
                <c:pt idx="13">
                  <c:v>179008</c:v>
                </c:pt>
                <c:pt idx="14">
                  <c:v>173652</c:v>
                </c:pt>
                <c:pt idx="15">
                  <c:v>180841</c:v>
                </c:pt>
                <c:pt idx="16">
                  <c:v>178780</c:v>
                </c:pt>
                <c:pt idx="17">
                  <c:v>188735</c:v>
                </c:pt>
                <c:pt idx="18">
                  <c:v>182497</c:v>
                </c:pt>
                <c:pt idx="19">
                  <c:v>189496</c:v>
                </c:pt>
                <c:pt idx="20">
                  <c:v>182537</c:v>
                </c:pt>
                <c:pt idx="21">
                  <c:v>175396</c:v>
                </c:pt>
                <c:pt idx="22">
                  <c:v>179815</c:v>
                </c:pt>
                <c:pt idx="23">
                  <c:v>188401</c:v>
                </c:pt>
                <c:pt idx="24">
                  <c:v>183940</c:v>
                </c:pt>
                <c:pt idx="25">
                  <c:v>201433</c:v>
                </c:pt>
                <c:pt idx="26">
                  <c:v>198942</c:v>
                </c:pt>
                <c:pt idx="27">
                  <c:v>207415</c:v>
                </c:pt>
                <c:pt idx="28">
                  <c:v>209214</c:v>
                </c:pt>
                <c:pt idx="29">
                  <c:v>224204</c:v>
                </c:pt>
                <c:pt idx="30">
                  <c:v>221953</c:v>
                </c:pt>
                <c:pt idx="31">
                  <c:v>232803</c:v>
                </c:pt>
                <c:pt idx="32">
                  <c:v>228660</c:v>
                </c:pt>
                <c:pt idx="33">
                  <c:v>239816</c:v>
                </c:pt>
                <c:pt idx="34">
                  <c:v>233082</c:v>
                </c:pt>
                <c:pt idx="35">
                  <c:v>243243</c:v>
                </c:pt>
                <c:pt idx="36">
                  <c:v>241862</c:v>
                </c:pt>
                <c:pt idx="37">
                  <c:v>255757</c:v>
                </c:pt>
                <c:pt idx="38">
                  <c:v>248625</c:v>
                </c:pt>
                <c:pt idx="39">
                  <c:v>261094</c:v>
                </c:pt>
                <c:pt idx="40">
                  <c:v>254235</c:v>
                </c:pt>
                <c:pt idx="41">
                  <c:v>269320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C2-6740-B7F3-87FD574224A5}"/>
            </c:ext>
          </c:extLst>
        </c:ser>
        <c:ser>
          <c:idx val="1"/>
          <c:order val="1"/>
          <c:tx>
            <c:v>Linear Model</c:v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'03 Linear Trend'!$C$2:$C$43</c:f>
              <c:numCache>
                <c:formatCode>General</c:formatCod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numCache>
            </c:numRef>
          </c:cat>
          <c:val>
            <c:numRef>
              <c:f>'03 Linear Trend'!$J$2:$J$43</c:f>
              <c:numCache>
                <c:formatCode>0.00</c:formatCode>
                <c:ptCount val="42"/>
                <c:pt idx="0">
                  <c:v>141613.78405315607</c:v>
                </c:pt>
                <c:pt idx="1">
                  <c:v>144309.37646868156</c:v>
                </c:pt>
                <c:pt idx="2">
                  <c:v>147004.96888420702</c:v>
                </c:pt>
                <c:pt idx="3">
                  <c:v>149700.56129973251</c:v>
                </c:pt>
                <c:pt idx="4">
                  <c:v>152396.153715258</c:v>
                </c:pt>
                <c:pt idx="5">
                  <c:v>155091.74613078346</c:v>
                </c:pt>
                <c:pt idx="6">
                  <c:v>157787.33854630895</c:v>
                </c:pt>
                <c:pt idx="7">
                  <c:v>160482.93096183444</c:v>
                </c:pt>
                <c:pt idx="8">
                  <c:v>163178.52337735993</c:v>
                </c:pt>
                <c:pt idx="9">
                  <c:v>165874.11579288542</c:v>
                </c:pt>
                <c:pt idx="10">
                  <c:v>168569.70820841088</c:v>
                </c:pt>
                <c:pt idx="11">
                  <c:v>171265.30062393637</c:v>
                </c:pt>
                <c:pt idx="12">
                  <c:v>173960.89303946187</c:v>
                </c:pt>
                <c:pt idx="13">
                  <c:v>176656.48545498733</c:v>
                </c:pt>
                <c:pt idx="14">
                  <c:v>179352.07787051282</c:v>
                </c:pt>
                <c:pt idx="15">
                  <c:v>182047.67028603831</c:v>
                </c:pt>
                <c:pt idx="16">
                  <c:v>184743.2627015638</c:v>
                </c:pt>
                <c:pt idx="17">
                  <c:v>187438.85511708929</c:v>
                </c:pt>
                <c:pt idx="18">
                  <c:v>190134.44753261475</c:v>
                </c:pt>
                <c:pt idx="19">
                  <c:v>192830.03994814024</c:v>
                </c:pt>
                <c:pt idx="20">
                  <c:v>195525.63236366573</c:v>
                </c:pt>
                <c:pt idx="21">
                  <c:v>198221.22477919119</c:v>
                </c:pt>
                <c:pt idx="22">
                  <c:v>200916.81719471668</c:v>
                </c:pt>
                <c:pt idx="23">
                  <c:v>203612.40961024218</c:v>
                </c:pt>
                <c:pt idx="24">
                  <c:v>206308.00202576767</c:v>
                </c:pt>
                <c:pt idx="25">
                  <c:v>209003.59444129316</c:v>
                </c:pt>
                <c:pt idx="26">
                  <c:v>211699.18685681862</c:v>
                </c:pt>
                <c:pt idx="27">
                  <c:v>214394.77927234411</c:v>
                </c:pt>
                <c:pt idx="28">
                  <c:v>217090.3716878696</c:v>
                </c:pt>
                <c:pt idx="29">
                  <c:v>219785.96410339506</c:v>
                </c:pt>
                <c:pt idx="30">
                  <c:v>222481.55651892055</c:v>
                </c:pt>
                <c:pt idx="31">
                  <c:v>225177.14893444604</c:v>
                </c:pt>
                <c:pt idx="32">
                  <c:v>227872.74134997153</c:v>
                </c:pt>
                <c:pt idx="33">
                  <c:v>230568.33376549702</c:v>
                </c:pt>
                <c:pt idx="34">
                  <c:v>233263.92618102249</c:v>
                </c:pt>
                <c:pt idx="35">
                  <c:v>235959.51859654798</c:v>
                </c:pt>
                <c:pt idx="36">
                  <c:v>238655.11101207347</c:v>
                </c:pt>
                <c:pt idx="37">
                  <c:v>241350.70342759893</c:v>
                </c:pt>
                <c:pt idx="38">
                  <c:v>244046.29584312442</c:v>
                </c:pt>
                <c:pt idx="39">
                  <c:v>246741.88825864991</c:v>
                </c:pt>
                <c:pt idx="40">
                  <c:v>249437.4806741754</c:v>
                </c:pt>
                <c:pt idx="41">
                  <c:v>252133.07308970089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C2-6740-B7F3-87FD57422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4128416"/>
        <c:axId val="1639512336"/>
      </c:lineChart>
      <c:catAx>
        <c:axId val="10641284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39512336"/>
        <c:crosses val="autoZero"/>
        <c:auto val="1"/>
        <c:lblAlgn val="ctr"/>
        <c:lblOffset val="100"/>
        <c:noMultiLvlLbl val="0"/>
      </c:catAx>
      <c:valAx>
        <c:axId val="1639512336"/>
        <c:scaling>
          <c:orientation val="minMax"/>
          <c:max val="275000"/>
          <c:min val="13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064128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rgbClr val="FFC000"/>
                </a:solidFill>
              </a:rPr>
              <a:t>Power</a:t>
            </a:r>
            <a:r>
              <a:rPr lang="en-GB" b="1" baseline="0">
                <a:solidFill>
                  <a:srgbClr val="FFC000"/>
                </a:solidFill>
              </a:rPr>
              <a:t> Trend </a:t>
            </a:r>
            <a:r>
              <a:rPr lang="en-GB" b="1" baseline="0"/>
              <a:t>of </a:t>
            </a:r>
            <a:r>
              <a:rPr lang="en-GB" b="1" baseline="0">
                <a:solidFill>
                  <a:srgbClr val="0070C0"/>
                </a:solidFill>
              </a:rPr>
              <a:t>Netherlands</a:t>
            </a:r>
            <a:r>
              <a:rPr lang="en-GB" b="1" baseline="0"/>
              <a:t> GVA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GVA</c:v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'03 Power Trend'!$C$2:$C$43</c:f>
              <c:numCache>
                <c:formatCode>General</c:formatCod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numCache>
            </c:numRef>
          </c:cat>
          <c:val>
            <c:numRef>
              <c:f>'03 Power Trend'!$A$2:$A$43</c:f>
              <c:numCache>
                <c:formatCode>General</c:formatCode>
                <c:ptCount val="42"/>
                <c:pt idx="0">
                  <c:v>150816</c:v>
                </c:pt>
                <c:pt idx="1">
                  <c:v>159663</c:v>
                </c:pt>
                <c:pt idx="2">
                  <c:v>155573</c:v>
                </c:pt>
                <c:pt idx="3">
                  <c:v>161574</c:v>
                </c:pt>
                <c:pt idx="4">
                  <c:v>154922</c:v>
                </c:pt>
                <c:pt idx="5">
                  <c:v>164049</c:v>
                </c:pt>
                <c:pt idx="6">
                  <c:v>159126</c:v>
                </c:pt>
                <c:pt idx="7">
                  <c:v>166215</c:v>
                </c:pt>
                <c:pt idx="8">
                  <c:v>161419</c:v>
                </c:pt>
                <c:pt idx="9">
                  <c:v>171164</c:v>
                </c:pt>
                <c:pt idx="10">
                  <c:v>166103</c:v>
                </c:pt>
                <c:pt idx="11">
                  <c:v>173248</c:v>
                </c:pt>
                <c:pt idx="12">
                  <c:v>170056</c:v>
                </c:pt>
                <c:pt idx="13">
                  <c:v>179008</c:v>
                </c:pt>
                <c:pt idx="14">
                  <c:v>173652</c:v>
                </c:pt>
                <c:pt idx="15">
                  <c:v>180841</c:v>
                </c:pt>
                <c:pt idx="16">
                  <c:v>178780</c:v>
                </c:pt>
                <c:pt idx="17">
                  <c:v>188735</c:v>
                </c:pt>
                <c:pt idx="18">
                  <c:v>182497</c:v>
                </c:pt>
                <c:pt idx="19">
                  <c:v>189496</c:v>
                </c:pt>
                <c:pt idx="20">
                  <c:v>182537</c:v>
                </c:pt>
                <c:pt idx="21">
                  <c:v>175396</c:v>
                </c:pt>
                <c:pt idx="22">
                  <c:v>179815</c:v>
                </c:pt>
                <c:pt idx="23">
                  <c:v>188401</c:v>
                </c:pt>
                <c:pt idx="24">
                  <c:v>183940</c:v>
                </c:pt>
                <c:pt idx="25">
                  <c:v>201433</c:v>
                </c:pt>
                <c:pt idx="26">
                  <c:v>198942</c:v>
                </c:pt>
                <c:pt idx="27">
                  <c:v>207415</c:v>
                </c:pt>
                <c:pt idx="28">
                  <c:v>209214</c:v>
                </c:pt>
                <c:pt idx="29">
                  <c:v>224204</c:v>
                </c:pt>
                <c:pt idx="30">
                  <c:v>221953</c:v>
                </c:pt>
                <c:pt idx="31">
                  <c:v>232803</c:v>
                </c:pt>
                <c:pt idx="32">
                  <c:v>228660</c:v>
                </c:pt>
                <c:pt idx="33">
                  <c:v>239816</c:v>
                </c:pt>
                <c:pt idx="34">
                  <c:v>233082</c:v>
                </c:pt>
                <c:pt idx="35">
                  <c:v>243243</c:v>
                </c:pt>
                <c:pt idx="36">
                  <c:v>241862</c:v>
                </c:pt>
                <c:pt idx="37">
                  <c:v>255757</c:v>
                </c:pt>
                <c:pt idx="38">
                  <c:v>248625</c:v>
                </c:pt>
                <c:pt idx="39">
                  <c:v>261094</c:v>
                </c:pt>
                <c:pt idx="40">
                  <c:v>254235</c:v>
                </c:pt>
                <c:pt idx="41">
                  <c:v>269320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8D-8447-83AC-785ADE5FAA82}"/>
            </c:ext>
          </c:extLst>
        </c:ser>
        <c:ser>
          <c:idx val="1"/>
          <c:order val="1"/>
          <c:tx>
            <c:v>Power Model</c:v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'03 Power Trend'!$C$2:$C$43</c:f>
              <c:numCache>
                <c:formatCode>General</c:formatCod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numCache>
            </c:numRef>
          </c:cat>
          <c:val>
            <c:numRef>
              <c:f>'03 Power Trend'!$J$2:$J$43</c:f>
              <c:numCache>
                <c:formatCode>0.00</c:formatCode>
                <c:ptCount val="42"/>
                <c:pt idx="0">
                  <c:v>123283.41958627796</c:v>
                </c:pt>
                <c:pt idx="1">
                  <c:v>137914.27241632305</c:v>
                </c:pt>
                <c:pt idx="2">
                  <c:v>147265.00021294839</c:v>
                </c:pt>
                <c:pt idx="3">
                  <c:v>154281.46461181401</c:v>
                </c:pt>
                <c:pt idx="4">
                  <c:v>159953.26629354409</c:v>
                </c:pt>
                <c:pt idx="5">
                  <c:v>164741.90466906084</c:v>
                </c:pt>
                <c:pt idx="6">
                  <c:v>168902.31552385434</c:v>
                </c:pt>
                <c:pt idx="7">
                  <c:v>172591.05896533164</c:v>
                </c:pt>
                <c:pt idx="8">
                  <c:v>175911.57319044345</c:v>
                </c:pt>
                <c:pt idx="9">
                  <c:v>178935.97059132735</c:v>
                </c:pt>
                <c:pt idx="10">
                  <c:v>181716.6405539308</c:v>
                </c:pt>
                <c:pt idx="11">
                  <c:v>184292.9081230778</c:v>
                </c:pt>
                <c:pt idx="12">
                  <c:v>186695.08642222994</c:v>
                </c:pt>
                <c:pt idx="13">
                  <c:v>188947.06224953977</c:v>
                </c:pt>
                <c:pt idx="14">
                  <c:v>191068.01120401762</c:v>
                </c:pt>
                <c:pt idx="15">
                  <c:v>193073.5730939749</c:v>
                </c:pt>
                <c:pt idx="16">
                  <c:v>194976.68012350338</c:v>
                </c:pt>
                <c:pt idx="17">
                  <c:v>196788.15454329835</c:v>
                </c:pt>
                <c:pt idx="18">
                  <c:v>198517.1490098447</c:v>
                </c:pt>
                <c:pt idx="19">
                  <c:v>200171.47704068266</c:v>
                </c:pt>
                <c:pt idx="20">
                  <c:v>201757.86504835411</c:v>
                </c:pt>
                <c:pt idx="21">
                  <c:v>203282.14736447259</c:v>
                </c:pt>
                <c:pt idx="22">
                  <c:v>204749.41912270564</c:v>
                </c:pt>
                <c:pt idx="23">
                  <c:v>206164.15752075342</c:v>
                </c:pt>
                <c:pt idx="24">
                  <c:v>207530.3190310043</c:v>
                </c:pt>
                <c:pt idx="25">
                  <c:v>208851.41809037115</c:v>
                </c:pt>
                <c:pt idx="26">
                  <c:v>210130.59136651459</c:v>
                </c:pt>
                <c:pt idx="27">
                  <c:v>211370.65067464605</c:v>
                </c:pt>
                <c:pt idx="28">
                  <c:v>212574.12687859274</c:v>
                </c:pt>
                <c:pt idx="29">
                  <c:v>213743.30656682191</c:v>
                </c:pt>
                <c:pt idx="30">
                  <c:v>214880.26289119865</c:v>
                </c:pt>
                <c:pt idx="31">
                  <c:v>215986.88165394706</c:v>
                </c:pt>
                <c:pt idx="32">
                  <c:v>217064.88349913887</c:v>
                </c:pt>
                <c:pt idx="33">
                  <c:v>218115.84288968018</c:v>
                </c:pt>
                <c:pt idx="34">
                  <c:v>219141.2044153774</c:v>
                </c:pt>
                <c:pt idx="35">
                  <c:v>220142.29687226107</c:v>
                </c:pt>
                <c:pt idx="36">
                  <c:v>221120.34547064229</c:v>
                </c:pt>
                <c:pt idx="37">
                  <c:v>222076.4824640122</c:v>
                </c:pt>
                <c:pt idx="38">
                  <c:v>223011.75643887059</c:v>
                </c:pt>
                <c:pt idx="39">
                  <c:v>223927.14046390061</c:v>
                </c:pt>
                <c:pt idx="40">
                  <c:v>224823.5392633192</c:v>
                </c:pt>
                <c:pt idx="41">
                  <c:v>225701.79555200736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8D-8447-83AC-785ADE5FA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4128416"/>
        <c:axId val="1639512336"/>
      </c:lineChart>
      <c:catAx>
        <c:axId val="10641284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39512336"/>
        <c:crosses val="autoZero"/>
        <c:auto val="1"/>
        <c:lblAlgn val="ctr"/>
        <c:lblOffset val="100"/>
        <c:noMultiLvlLbl val="0"/>
      </c:catAx>
      <c:valAx>
        <c:axId val="1639512336"/>
        <c:scaling>
          <c:orientation val="minMax"/>
          <c:max val="275000"/>
          <c:min val="1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064128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rgbClr val="FFC000"/>
                </a:solidFill>
              </a:rPr>
              <a:t>Exponential</a:t>
            </a:r>
            <a:r>
              <a:rPr lang="en-GB" b="1" baseline="0">
                <a:solidFill>
                  <a:srgbClr val="FFC000"/>
                </a:solidFill>
              </a:rPr>
              <a:t> Trend </a:t>
            </a:r>
            <a:r>
              <a:rPr lang="en-GB" b="1" baseline="0"/>
              <a:t>of </a:t>
            </a:r>
            <a:r>
              <a:rPr lang="en-GB" b="1" baseline="0">
                <a:solidFill>
                  <a:srgbClr val="0070C0"/>
                </a:solidFill>
              </a:rPr>
              <a:t>Netherlands</a:t>
            </a:r>
            <a:r>
              <a:rPr lang="en-GB" b="1" baseline="0"/>
              <a:t> GVA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GVA</c:v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'03 Exponential Trend'!$C$2:$C$43</c:f>
              <c:numCache>
                <c:formatCode>General</c:formatCod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numCache>
            </c:numRef>
          </c:cat>
          <c:val>
            <c:numRef>
              <c:f>'03 Exponential Trend'!$A$2:$A$43</c:f>
              <c:numCache>
                <c:formatCode>General</c:formatCode>
                <c:ptCount val="42"/>
                <c:pt idx="0">
                  <c:v>150816</c:v>
                </c:pt>
                <c:pt idx="1">
                  <c:v>159663</c:v>
                </c:pt>
                <c:pt idx="2">
                  <c:v>155573</c:v>
                </c:pt>
                <c:pt idx="3">
                  <c:v>161574</c:v>
                </c:pt>
                <c:pt idx="4">
                  <c:v>154922</c:v>
                </c:pt>
                <c:pt idx="5">
                  <c:v>164049</c:v>
                </c:pt>
                <c:pt idx="6">
                  <c:v>159126</c:v>
                </c:pt>
                <c:pt idx="7">
                  <c:v>166215</c:v>
                </c:pt>
                <c:pt idx="8">
                  <c:v>161419</c:v>
                </c:pt>
                <c:pt idx="9">
                  <c:v>171164</c:v>
                </c:pt>
                <c:pt idx="10">
                  <c:v>166103</c:v>
                </c:pt>
                <c:pt idx="11">
                  <c:v>173248</c:v>
                </c:pt>
                <c:pt idx="12">
                  <c:v>170056</c:v>
                </c:pt>
                <c:pt idx="13">
                  <c:v>179008</c:v>
                </c:pt>
                <c:pt idx="14">
                  <c:v>173652</c:v>
                </c:pt>
                <c:pt idx="15">
                  <c:v>180841</c:v>
                </c:pt>
                <c:pt idx="16">
                  <c:v>178780</c:v>
                </c:pt>
                <c:pt idx="17">
                  <c:v>188735</c:v>
                </c:pt>
                <c:pt idx="18">
                  <c:v>182497</c:v>
                </c:pt>
                <c:pt idx="19">
                  <c:v>189496</c:v>
                </c:pt>
                <c:pt idx="20">
                  <c:v>182537</c:v>
                </c:pt>
                <c:pt idx="21">
                  <c:v>175396</c:v>
                </c:pt>
                <c:pt idx="22">
                  <c:v>179815</c:v>
                </c:pt>
                <c:pt idx="23">
                  <c:v>188401</c:v>
                </c:pt>
                <c:pt idx="24">
                  <c:v>183940</c:v>
                </c:pt>
                <c:pt idx="25">
                  <c:v>201433</c:v>
                </c:pt>
                <c:pt idx="26">
                  <c:v>198942</c:v>
                </c:pt>
                <c:pt idx="27">
                  <c:v>207415</c:v>
                </c:pt>
                <c:pt idx="28">
                  <c:v>209214</c:v>
                </c:pt>
                <c:pt idx="29">
                  <c:v>224204</c:v>
                </c:pt>
                <c:pt idx="30">
                  <c:v>221953</c:v>
                </c:pt>
                <c:pt idx="31">
                  <c:v>232803</c:v>
                </c:pt>
                <c:pt idx="32">
                  <c:v>228660</c:v>
                </c:pt>
                <c:pt idx="33">
                  <c:v>239816</c:v>
                </c:pt>
                <c:pt idx="34">
                  <c:v>233082</c:v>
                </c:pt>
                <c:pt idx="35">
                  <c:v>243243</c:v>
                </c:pt>
                <c:pt idx="36">
                  <c:v>241862</c:v>
                </c:pt>
                <c:pt idx="37">
                  <c:v>255757</c:v>
                </c:pt>
                <c:pt idx="38">
                  <c:v>248625</c:v>
                </c:pt>
                <c:pt idx="39">
                  <c:v>261094</c:v>
                </c:pt>
                <c:pt idx="40">
                  <c:v>254235</c:v>
                </c:pt>
                <c:pt idx="41">
                  <c:v>269320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AE-FA4B-974C-16285187AEB3}"/>
            </c:ext>
          </c:extLst>
        </c:ser>
        <c:ser>
          <c:idx val="1"/>
          <c:order val="1"/>
          <c:tx>
            <c:v>Exponential Model</c:v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'03 Exponential Trend'!$C$2:$C$43</c:f>
              <c:numCache>
                <c:formatCode>General</c:formatCod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numCache>
            </c:numRef>
          </c:cat>
          <c:val>
            <c:numRef>
              <c:f>'03 Exponential Trend'!$J$2:$J$43</c:f>
              <c:numCache>
                <c:formatCode>0.00</c:formatCode>
                <c:ptCount val="42"/>
                <c:pt idx="0">
                  <c:v>147347.0178152452</c:v>
                </c:pt>
                <c:pt idx="1">
                  <c:v>149339.69450248897</c:v>
                </c:pt>
                <c:pt idx="2">
                  <c:v>151359.31954904669</c:v>
                </c:pt>
                <c:pt idx="3">
                  <c:v>153406.25739641217</c:v>
                </c:pt>
                <c:pt idx="4">
                  <c:v>155480.87741467712</c:v>
                </c:pt>
                <c:pt idx="5">
                  <c:v>157583.55396918298</c:v>
                </c:pt>
                <c:pt idx="6">
                  <c:v>159714.66648807455</c:v>
                </c:pt>
                <c:pt idx="7">
                  <c:v>161874.59953076942</c:v>
                </c:pt>
                <c:pt idx="8">
                  <c:v>164063.74285735062</c:v>
                </c:pt>
                <c:pt idx="9">
                  <c:v>166282.49149889912</c:v>
                </c:pt>
                <c:pt idx="10">
                  <c:v>168531.24582877758</c:v>
                </c:pt>
                <c:pt idx="11">
                  <c:v>170810.41163487648</c:v>
                </c:pt>
                <c:pt idx="12">
                  <c:v>173120.40019284043</c:v>
                </c:pt>
                <c:pt idx="13">
                  <c:v>175461.62834028204</c:v>
                </c:pt>
                <c:pt idx="14">
                  <c:v>177834.51855199921</c:v>
                </c:pt>
                <c:pt idx="15">
                  <c:v>180239.49901621274</c:v>
                </c:pt>
                <c:pt idx="16">
                  <c:v>182677.00371183164</c:v>
                </c:pt>
                <c:pt idx="17">
                  <c:v>185147.47248676495</c:v>
                </c:pt>
                <c:pt idx="18">
                  <c:v>187651.35113729278</c:v>
                </c:pt>
                <c:pt idx="19">
                  <c:v>190189.09148850865</c:v>
                </c:pt>
                <c:pt idx="20">
                  <c:v>192761.15147585381</c:v>
                </c:pt>
                <c:pt idx="21">
                  <c:v>195367.99522775027</c:v>
                </c:pt>
                <c:pt idx="22">
                  <c:v>198010.09314935209</c:v>
                </c:pt>
                <c:pt idx="23">
                  <c:v>200687.92200743203</c:v>
                </c:pt>
                <c:pt idx="24">
                  <c:v>203401.96501641261</c:v>
                </c:pt>
                <c:pt idx="25">
                  <c:v>206152.71192556276</c:v>
                </c:pt>
                <c:pt idx="26">
                  <c:v>208940.6591073733</c:v>
                </c:pt>
                <c:pt idx="27">
                  <c:v>211766.30964712609</c:v>
                </c:pt>
                <c:pt idx="28">
                  <c:v>214630.17343367779</c:v>
                </c:pt>
                <c:pt idx="29">
                  <c:v>217532.76725146853</c:v>
                </c:pt>
                <c:pt idx="30">
                  <c:v>220474.61487377432</c:v>
                </c:pt>
                <c:pt idx="31">
                  <c:v>223456.24715722431</c:v>
                </c:pt>
                <c:pt idx="32">
                  <c:v>226478.20213759251</c:v>
                </c:pt>
                <c:pt idx="33">
                  <c:v>229541.02512688661</c:v>
                </c:pt>
                <c:pt idx="34">
                  <c:v>232645.26881175008</c:v>
                </c:pt>
                <c:pt idx="35">
                  <c:v>235791.49335319287</c:v>
                </c:pt>
                <c:pt idx="36">
                  <c:v>238980.26648767493</c:v>
                </c:pt>
                <c:pt idx="37">
                  <c:v>242212.16362955305</c:v>
                </c:pt>
                <c:pt idx="38">
                  <c:v>245487.76797491324</c:v>
                </c:pt>
                <c:pt idx="39">
                  <c:v>248807.67060681095</c:v>
                </c:pt>
                <c:pt idx="40">
                  <c:v>252172.47060193052</c:v>
                </c:pt>
                <c:pt idx="41">
                  <c:v>255582.77513868877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AE-FA4B-974C-16285187A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4128416"/>
        <c:axId val="1639512336"/>
      </c:lineChart>
      <c:catAx>
        <c:axId val="10641284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39512336"/>
        <c:crosses val="autoZero"/>
        <c:auto val="1"/>
        <c:lblAlgn val="ctr"/>
        <c:lblOffset val="100"/>
        <c:noMultiLvlLbl val="0"/>
      </c:catAx>
      <c:valAx>
        <c:axId val="1639512336"/>
        <c:scaling>
          <c:orientation val="minMax"/>
          <c:max val="275000"/>
          <c:min val="14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064128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rgbClr val="FFC000"/>
                </a:solidFill>
              </a:rPr>
              <a:t>Quadratic</a:t>
            </a:r>
            <a:r>
              <a:rPr lang="en-GB" b="1" baseline="0">
                <a:solidFill>
                  <a:srgbClr val="FFC000"/>
                </a:solidFill>
              </a:rPr>
              <a:t> Trend </a:t>
            </a:r>
            <a:r>
              <a:rPr lang="en-GB" b="1" baseline="0"/>
              <a:t>of </a:t>
            </a:r>
            <a:r>
              <a:rPr lang="en-GB" b="1" baseline="0">
                <a:solidFill>
                  <a:srgbClr val="0070C0"/>
                </a:solidFill>
              </a:rPr>
              <a:t>Netherlands</a:t>
            </a:r>
            <a:r>
              <a:rPr lang="en-GB" b="1" baseline="0"/>
              <a:t> GVA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GVA</c:v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'04 Quadratic Trend'!$C$2:$C$43</c:f>
              <c:numCache>
                <c:formatCode>General</c:formatCod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numCache>
            </c:numRef>
          </c:cat>
          <c:val>
            <c:numRef>
              <c:f>'04 Quadratic Trend'!$A$2:$A$43</c:f>
              <c:numCache>
                <c:formatCode>General</c:formatCode>
                <c:ptCount val="42"/>
                <c:pt idx="0">
                  <c:v>150816</c:v>
                </c:pt>
                <c:pt idx="1">
                  <c:v>159663</c:v>
                </c:pt>
                <c:pt idx="2">
                  <c:v>155573</c:v>
                </c:pt>
                <c:pt idx="3">
                  <c:v>161574</c:v>
                </c:pt>
                <c:pt idx="4">
                  <c:v>154922</c:v>
                </c:pt>
                <c:pt idx="5">
                  <c:v>164049</c:v>
                </c:pt>
                <c:pt idx="6">
                  <c:v>159126</c:v>
                </c:pt>
                <c:pt idx="7">
                  <c:v>166215</c:v>
                </c:pt>
                <c:pt idx="8">
                  <c:v>161419</c:v>
                </c:pt>
                <c:pt idx="9">
                  <c:v>171164</c:v>
                </c:pt>
                <c:pt idx="10">
                  <c:v>166103</c:v>
                </c:pt>
                <c:pt idx="11">
                  <c:v>173248</c:v>
                </c:pt>
                <c:pt idx="12">
                  <c:v>170056</c:v>
                </c:pt>
                <c:pt idx="13">
                  <c:v>179008</c:v>
                </c:pt>
                <c:pt idx="14">
                  <c:v>173652</c:v>
                </c:pt>
                <c:pt idx="15">
                  <c:v>180841</c:v>
                </c:pt>
                <c:pt idx="16">
                  <c:v>178780</c:v>
                </c:pt>
                <c:pt idx="17">
                  <c:v>188735</c:v>
                </c:pt>
                <c:pt idx="18">
                  <c:v>182497</c:v>
                </c:pt>
                <c:pt idx="19">
                  <c:v>189496</c:v>
                </c:pt>
                <c:pt idx="20">
                  <c:v>182537</c:v>
                </c:pt>
                <c:pt idx="21">
                  <c:v>175396</c:v>
                </c:pt>
                <c:pt idx="22">
                  <c:v>179815</c:v>
                </c:pt>
                <c:pt idx="23">
                  <c:v>188401</c:v>
                </c:pt>
                <c:pt idx="24">
                  <c:v>183940</c:v>
                </c:pt>
                <c:pt idx="25">
                  <c:v>201433</c:v>
                </c:pt>
                <c:pt idx="26">
                  <c:v>198942</c:v>
                </c:pt>
                <c:pt idx="27">
                  <c:v>207415</c:v>
                </c:pt>
                <c:pt idx="28">
                  <c:v>209214</c:v>
                </c:pt>
                <c:pt idx="29">
                  <c:v>224204</c:v>
                </c:pt>
                <c:pt idx="30">
                  <c:v>221953</c:v>
                </c:pt>
                <c:pt idx="31">
                  <c:v>232803</c:v>
                </c:pt>
                <c:pt idx="32">
                  <c:v>228660</c:v>
                </c:pt>
                <c:pt idx="33">
                  <c:v>239816</c:v>
                </c:pt>
                <c:pt idx="34">
                  <c:v>233082</c:v>
                </c:pt>
                <c:pt idx="35">
                  <c:v>243243</c:v>
                </c:pt>
                <c:pt idx="36">
                  <c:v>241862</c:v>
                </c:pt>
                <c:pt idx="37">
                  <c:v>255757</c:v>
                </c:pt>
                <c:pt idx="38">
                  <c:v>248625</c:v>
                </c:pt>
                <c:pt idx="39">
                  <c:v>261094</c:v>
                </c:pt>
                <c:pt idx="40">
                  <c:v>254235</c:v>
                </c:pt>
                <c:pt idx="41">
                  <c:v>269320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08-8B44-B5C2-19E83BB0453C}"/>
            </c:ext>
          </c:extLst>
        </c:ser>
        <c:ser>
          <c:idx val="1"/>
          <c:order val="1"/>
          <c:tx>
            <c:v>Quadratic Model</c:v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'04 Quadratic Trend'!$C$2:$C$43</c:f>
              <c:numCache>
                <c:formatCode>General</c:formatCod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numCache>
            </c:numRef>
          </c:cat>
          <c:val>
            <c:numRef>
              <c:f>'04 Quadratic Trend'!$K$2:$K$43</c:f>
              <c:numCache>
                <c:formatCode>0.00</c:formatCode>
                <c:ptCount val="42"/>
                <c:pt idx="0">
                  <c:v>157572.51226694367</c:v>
                </c:pt>
                <c:pt idx="1">
                  <c:v>157749.42363223748</c:v>
                </c:pt>
                <c:pt idx="2">
                  <c:v>158044.27590772716</c:v>
                </c:pt>
                <c:pt idx="3">
                  <c:v>158457.06909341272</c:v>
                </c:pt>
                <c:pt idx="4">
                  <c:v>158987.80318929412</c:v>
                </c:pt>
                <c:pt idx="5">
                  <c:v>159636.47819537143</c:v>
                </c:pt>
                <c:pt idx="6">
                  <c:v>160403.09411164458</c:v>
                </c:pt>
                <c:pt idx="7">
                  <c:v>161287.65093811363</c:v>
                </c:pt>
                <c:pt idx="8">
                  <c:v>162290.14867477852</c:v>
                </c:pt>
                <c:pt idx="9">
                  <c:v>163410.58732163932</c:v>
                </c:pt>
                <c:pt idx="10">
                  <c:v>164648.96687869597</c:v>
                </c:pt>
                <c:pt idx="11">
                  <c:v>166005.28734594851</c:v>
                </c:pt>
                <c:pt idx="12">
                  <c:v>167479.5487233969</c:v>
                </c:pt>
                <c:pt idx="13">
                  <c:v>169071.75101104117</c:v>
                </c:pt>
                <c:pt idx="14">
                  <c:v>170781.89420888131</c:v>
                </c:pt>
                <c:pt idx="15">
                  <c:v>172609.97831691732</c:v>
                </c:pt>
                <c:pt idx="16">
                  <c:v>174556.0033351492</c:v>
                </c:pt>
                <c:pt idx="17">
                  <c:v>176619.96926357696</c:v>
                </c:pt>
                <c:pt idx="18">
                  <c:v>178801.87610220059</c:v>
                </c:pt>
                <c:pt idx="19">
                  <c:v>181101.7238510201</c:v>
                </c:pt>
                <c:pt idx="20">
                  <c:v>183519.51251003545</c:v>
                </c:pt>
                <c:pt idx="21">
                  <c:v>186055.2420792467</c:v>
                </c:pt>
                <c:pt idx="22">
                  <c:v>188708.9125586538</c:v>
                </c:pt>
                <c:pt idx="23">
                  <c:v>191480.5239482568</c:v>
                </c:pt>
                <c:pt idx="24">
                  <c:v>194370.07624805567</c:v>
                </c:pt>
                <c:pt idx="25">
                  <c:v>197377.56945805039</c:v>
                </c:pt>
                <c:pt idx="26">
                  <c:v>200503.00357824098</c:v>
                </c:pt>
                <c:pt idx="27">
                  <c:v>203746.37860862748</c:v>
                </c:pt>
                <c:pt idx="28">
                  <c:v>207107.69454920982</c:v>
                </c:pt>
                <c:pt idx="29">
                  <c:v>210586.95139998803</c:v>
                </c:pt>
                <c:pt idx="30">
                  <c:v>214184.14916096212</c:v>
                </c:pt>
                <c:pt idx="31">
                  <c:v>217899.28783213207</c:v>
                </c:pt>
                <c:pt idx="32">
                  <c:v>221732.36741349791</c:v>
                </c:pt>
                <c:pt idx="33">
                  <c:v>225683.38790505962</c:v>
                </c:pt>
                <c:pt idx="34">
                  <c:v>229752.34930681717</c:v>
                </c:pt>
                <c:pt idx="35">
                  <c:v>233939.25161877065</c:v>
                </c:pt>
                <c:pt idx="36">
                  <c:v>238244.09484091995</c:v>
                </c:pt>
                <c:pt idx="37">
                  <c:v>242666.87897326515</c:v>
                </c:pt>
                <c:pt idx="38">
                  <c:v>247207.60401580622</c:v>
                </c:pt>
                <c:pt idx="39">
                  <c:v>251866.26996854314</c:v>
                </c:pt>
                <c:pt idx="40">
                  <c:v>256642.87683147594</c:v>
                </c:pt>
                <c:pt idx="41">
                  <c:v>261537.42460460463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08-8B44-B5C2-19E83BB04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4128416"/>
        <c:axId val="1639512336"/>
      </c:lineChart>
      <c:catAx>
        <c:axId val="10641284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39512336"/>
        <c:crosses val="autoZero"/>
        <c:auto val="1"/>
        <c:lblAlgn val="ctr"/>
        <c:lblOffset val="100"/>
        <c:noMultiLvlLbl val="0"/>
      </c:catAx>
      <c:valAx>
        <c:axId val="1639512336"/>
        <c:scaling>
          <c:orientation val="minMax"/>
          <c:max val="275000"/>
          <c:min val="14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064128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rgbClr val="FFC000"/>
                </a:solidFill>
              </a:rPr>
              <a:t>Logistic Trend </a:t>
            </a:r>
            <a:r>
              <a:rPr lang="en-GB" b="1"/>
              <a:t>of</a:t>
            </a:r>
            <a:r>
              <a:rPr lang="en-GB" b="1" baseline="0"/>
              <a:t> </a:t>
            </a:r>
            <a:r>
              <a:rPr lang="en-GB" b="1" baseline="0">
                <a:solidFill>
                  <a:srgbClr val="0070C0"/>
                </a:solidFill>
              </a:rPr>
              <a:t>Netherlands</a:t>
            </a:r>
            <a:r>
              <a:rPr lang="en-GB" b="1" baseline="0"/>
              <a:t> GVA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GVA</c:v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'04 Logistic Trend'!$C$2:$C$43</c:f>
              <c:numCache>
                <c:formatCode>General</c:formatCod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numCache>
            </c:numRef>
          </c:cat>
          <c:val>
            <c:numRef>
              <c:f>'04 Logistic Trend'!$A$2:$A$43</c:f>
              <c:numCache>
                <c:formatCode>General</c:formatCode>
                <c:ptCount val="42"/>
                <c:pt idx="0">
                  <c:v>150816</c:v>
                </c:pt>
                <c:pt idx="1">
                  <c:v>159663</c:v>
                </c:pt>
                <c:pt idx="2">
                  <c:v>155573</c:v>
                </c:pt>
                <c:pt idx="3">
                  <c:v>161574</c:v>
                </c:pt>
                <c:pt idx="4">
                  <c:v>154922</c:v>
                </c:pt>
                <c:pt idx="5">
                  <c:v>164049</c:v>
                </c:pt>
                <c:pt idx="6">
                  <c:v>159126</c:v>
                </c:pt>
                <c:pt idx="7">
                  <c:v>166215</c:v>
                </c:pt>
                <c:pt idx="8">
                  <c:v>161419</c:v>
                </c:pt>
                <c:pt idx="9">
                  <c:v>171164</c:v>
                </c:pt>
                <c:pt idx="10">
                  <c:v>166103</c:v>
                </c:pt>
                <c:pt idx="11">
                  <c:v>173248</c:v>
                </c:pt>
                <c:pt idx="12">
                  <c:v>170056</c:v>
                </c:pt>
                <c:pt idx="13">
                  <c:v>179008</c:v>
                </c:pt>
                <c:pt idx="14">
                  <c:v>173652</c:v>
                </c:pt>
                <c:pt idx="15">
                  <c:v>180841</c:v>
                </c:pt>
                <c:pt idx="16">
                  <c:v>178780</c:v>
                </c:pt>
                <c:pt idx="17">
                  <c:v>188735</c:v>
                </c:pt>
                <c:pt idx="18">
                  <c:v>182497</c:v>
                </c:pt>
                <c:pt idx="19">
                  <c:v>189496</c:v>
                </c:pt>
                <c:pt idx="20">
                  <c:v>182537</c:v>
                </c:pt>
                <c:pt idx="21">
                  <c:v>175396</c:v>
                </c:pt>
                <c:pt idx="22">
                  <c:v>179815</c:v>
                </c:pt>
                <c:pt idx="23">
                  <c:v>188401</c:v>
                </c:pt>
                <c:pt idx="24">
                  <c:v>183940</c:v>
                </c:pt>
                <c:pt idx="25">
                  <c:v>201433</c:v>
                </c:pt>
                <c:pt idx="26">
                  <c:v>198942</c:v>
                </c:pt>
                <c:pt idx="27">
                  <c:v>207415</c:v>
                </c:pt>
                <c:pt idx="28">
                  <c:v>209214</c:v>
                </c:pt>
                <c:pt idx="29">
                  <c:v>224204</c:v>
                </c:pt>
                <c:pt idx="30">
                  <c:v>221953</c:v>
                </c:pt>
                <c:pt idx="31">
                  <c:v>232803</c:v>
                </c:pt>
                <c:pt idx="32">
                  <c:v>228660</c:v>
                </c:pt>
                <c:pt idx="33">
                  <c:v>239816</c:v>
                </c:pt>
                <c:pt idx="34">
                  <c:v>233082</c:v>
                </c:pt>
                <c:pt idx="35">
                  <c:v>243243</c:v>
                </c:pt>
                <c:pt idx="36">
                  <c:v>241862</c:v>
                </c:pt>
                <c:pt idx="37">
                  <c:v>255757</c:v>
                </c:pt>
                <c:pt idx="38">
                  <c:v>248625</c:v>
                </c:pt>
                <c:pt idx="39">
                  <c:v>261094</c:v>
                </c:pt>
                <c:pt idx="40">
                  <c:v>254235</c:v>
                </c:pt>
                <c:pt idx="41">
                  <c:v>269320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C6-8049-8C9A-EA47FDED9210}"/>
            </c:ext>
          </c:extLst>
        </c:ser>
        <c:ser>
          <c:idx val="1"/>
          <c:order val="1"/>
          <c:tx>
            <c:v>Logistic Model</c:v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'04 Logistic Trend'!$C$2:$C$43</c:f>
              <c:numCache>
                <c:formatCode>General</c:formatCod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numCache>
            </c:numRef>
          </c:cat>
          <c:val>
            <c:numRef>
              <c:f>'04 Logistic Trend'!$G$2:$G$43</c:f>
              <c:numCache>
                <c:formatCode>General</c:formatCode>
                <c:ptCount val="42"/>
                <c:pt idx="0">
                  <c:v>170242.9562692625</c:v>
                </c:pt>
                <c:pt idx="1">
                  <c:v>174311.8401549228</c:v>
                </c:pt>
                <c:pt idx="2">
                  <c:v>178302.96056283545</c:v>
                </c:pt>
                <c:pt idx="3">
                  <c:v>182210.20674089607</c:v>
                </c:pt>
                <c:pt idx="4">
                  <c:v>186028.07415616905</c:v>
                </c:pt>
                <c:pt idx="5">
                  <c:v>189751.68174520897</c:v>
                </c:pt>
                <c:pt idx="6">
                  <c:v>193376.78076892253</c:v>
                </c:pt>
                <c:pt idx="7">
                  <c:v>196899.75567265012</c:v>
                </c:pt>
                <c:pt idx="8">
                  <c:v>200317.61749622138</c:v>
                </c:pt>
                <c:pt idx="9">
                  <c:v>203627.99049493615</c:v>
                </c:pt>
                <c:pt idx="10">
                  <c:v>206829.09271958427</c:v>
                </c:pt>
                <c:pt idx="11">
                  <c:v>209919.71136190384</c:v>
                </c:pt>
                <c:pt idx="12">
                  <c:v>212899.17370260382</c:v>
                </c:pt>
                <c:pt idx="13">
                  <c:v>215767.31450450409</c:v>
                </c:pt>
                <c:pt idx="14">
                  <c:v>218524.44067641901</c:v>
                </c:pt>
                <c:pt idx="15">
                  <c:v>221171.29399754983</c:v>
                </c:pt>
                <c:pt idx="16">
                  <c:v>223709.01264099989</c:v>
                </c:pt>
                <c:pt idx="17">
                  <c:v>226139.09217226517</c:v>
                </c:pt>
                <c:pt idx="18">
                  <c:v>228463.34662772706</c:v>
                </c:pt>
                <c:pt idx="19">
                  <c:v>230683.87020256181</c:v>
                </c:pt>
                <c:pt idx="20">
                  <c:v>232803</c:v>
                </c:pt>
                <c:pt idx="21">
                  <c:v>234823.28021702197</c:v>
                </c:pt>
                <c:pt idx="22">
                  <c:v>236747.42806740856</c:v>
                </c:pt>
                <c:pt idx="23">
                  <c:v>238578.30167320042</c:v>
                </c:pt>
                <c:pt idx="24">
                  <c:v>240318.87009122278</c:v>
                </c:pt>
                <c:pt idx="25">
                  <c:v>241972.18558321311</c:v>
                </c:pt>
                <c:pt idx="26">
                  <c:v>243541.35818668711</c:v>
                </c:pt>
                <c:pt idx="27">
                  <c:v>245029.53259915416</c:v>
                </c:pt>
                <c:pt idx="28">
                  <c:v>246439.86735057316</c:v>
                </c:pt>
                <c:pt idx="29">
                  <c:v>247775.51620773852</c:v>
                </c:pt>
                <c:pt idx="30">
                  <c:v>249039.61172921862</c:v>
                </c:pt>
                <c:pt idx="31">
                  <c:v>250235.25087000392</c:v>
                </c:pt>
                <c:pt idx="32">
                  <c:v>251365.48252062281</c:v>
                </c:pt>
                <c:pt idx="33">
                  <c:v>252433.29685553469</c:v>
                </c:pt>
                <c:pt idx="34">
                  <c:v>253441.61635953127</c:v>
                </c:pt>
                <c:pt idx="35">
                  <c:v>254393.28839808679</c:v>
                </c:pt>
                <c:pt idx="36">
                  <c:v>255291.07919754382</c:v>
                </c:pt>
                <c:pt idx="37">
                  <c:v>256137.66910320439</c:v>
                </c:pt>
                <c:pt idx="38">
                  <c:v>256935.64898735058</c:v>
                </c:pt>
                <c:pt idx="39">
                  <c:v>257687.5176845371</c:v>
                </c:pt>
                <c:pt idx="40">
                  <c:v>258395.68033782439</c:v>
                </c:pt>
                <c:pt idx="41">
                  <c:v>259062.44754664085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C6-8049-8C9A-EA47FDED9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6969280"/>
        <c:axId val="1077340960"/>
      </c:lineChart>
      <c:catAx>
        <c:axId val="10769692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77340960"/>
        <c:crosses val="autoZero"/>
        <c:auto val="1"/>
        <c:lblAlgn val="ctr"/>
        <c:lblOffset val="100"/>
        <c:noMultiLvlLbl val="0"/>
      </c:catAx>
      <c:valAx>
        <c:axId val="1077340960"/>
        <c:scaling>
          <c:orientation val="minMax"/>
          <c:max val="275000"/>
          <c:min val="15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07696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 standalone="yes"?>
<xdr:wsDr xmlns:xdr="http://schemas.openxmlformats.org/drawingml/2006/spreadsheetDrawing" xmlns:a="http://schemas.openxmlformats.org/drawingml/2006/main"><xdr:oneCellAnchor><xdr:from><xdr:col>4</xdr:col><xdr:colOff>0</xdr:colOff><xdr:row>0</xdr:row><xdr:rowOff>0</xdr:rowOff></xdr:from><xdr:ext cx="1181100" cy="203200"/><mc:AlternateContent xmlns:mc="http://schemas.openxmlformats.org/markup-compatibility/2006"><mc:Choice xmlns:a14="http://schemas.microsoft.com/office/drawing/2010/main" Requires="a14"><xdr:sp macro="" textlink=""><xdr:nvSpPr><xdr:cNvPr id="2" name="TextBox 1"><a:extLst><a:ext uri="{FF2B5EF4-FFF2-40B4-BE49-F238E27FC236}"><a16:creationId xmlns:a16="http://schemas.microsoft.com/office/drawing/2014/main" id="{618E3931-B441-FE02-804F-5EC479E3BD42}"/></a:ext></a:extLst></xdr:cNvPr><xdr:cNvSpPr txBox="1"/></xdr:nvSpPr><xdr:spPr><a:xfrm><a:off x="2108200" y="0"/><a:ext cx="1181100" cy="203200"/></a:xfrm><a:prstGeom prst="rect"><a:avLst/></a:prstGeom><a:noFill/></xdr:spPr><xdr:style><a:lnRef idx="0"><a:scrgbClr r="0" g="0" b="0"/></a:lnRef><a:fillRef idx="0"><a:scrgbClr r="0" g="0" b="0"/></a:fillRef><a:effectRef idx="0"><a:scrgbClr r="0" g="0" b="0"/></a:effectRef><a:fontRef idx="minor"><a:schemeClr val="tx1"/></a:fontRef></xdr:style><xdr:txBody><a:bodyPr vertOverflow="clip" horzOverflow="clip" wrap="square" lIns="0" tIns="0" rIns="0" bIns="0" rtlCol="0" anchor="ctr"><a:noAutofit/></a:bodyPr><a:lstStyle/><a:p><a:pPr algn="ctr"/><a14:m><m:oMathPara xmlns:m="http://schemas.openxmlformats.org/officeDocument/2006/math"><m:oMathParaPr><m:jc m:val="centerGroup"/></m:oMathParaPr><m:oMath xmlns:m="http://schemas.openxmlformats.org/officeDocument/2006/math"><m:sSub><m:sSubPr><m:ctrlPr><a:rPr lang="pl-PL" sz="1100" b="0" i="1"><a:latin typeface="Cambria Math" panose="02040503050406030204" pitchFamily="18" charset="0"/></a:rPr></m:ctrlPr></m:sSubPr><m:e><m:r><m:rPr><m:nor/></m:rPr><a:rPr lang="pl-PL" sz="1100" b="0" i="0"><a:latin typeface="Cambria Math" panose="02040503050406030204" pitchFamily="18" charset="0"/></a:rPr><m:t>gva</m:t></m:r></m:e><m:sub><m:r><a:rPr lang="pl-PL" sz="1100" b="0" i="1"><a:latin typeface="Cambria Math" panose="02040503050406030204" pitchFamily="18" charset="0"/></a:rPr><m:t>𝑡</m:t></m:r></m:sub></m:sSub><m:r><a:rPr lang="pl-PL" sz="1100" b="0" i="1"><a:latin typeface="Cambria Math" panose="02040503050406030204" pitchFamily="18" charset="0"/></a:rPr><m:t>−</m:t></m:r><m:sSub><m:sSubPr><m:ctrlPr><a:rPr lang="pl-PL" sz="1100" b="0" i="1"><a:latin typeface="Cambria Math" panose="02040503050406030204" pitchFamily="18" charset="0"/></a:rPr></m:ctrlPr></m:sSubPr><m:e><m:r><m:rPr><m:nor/></m:rPr><a:rPr lang="pl-PL" sz="1100" b="0" i="0"><a:latin typeface="Cambria Math" panose="02040503050406030204" pitchFamily="18" charset="0"/></a:rPr><m:t>gva</m:t></m:r></m:e><m:sub><m:r><a:rPr lang="pl-PL" sz="1100" b="0" i="1"><a:latin typeface="Cambria Math" panose="02040503050406030204" pitchFamily="18" charset="0"/></a:rPr><m:t>𝑡</m:t></m:r><m:r><a:rPr lang="pl-PL" sz="1100" b="0" i="1"><a:latin typeface="Cambria Math" panose="02040503050406030204" pitchFamily="18" charset="0"/></a:rPr><m:t>−1</m:t></m:r></m:sub></m:sSub></m:oMath></m:oMathPara></a14:m><a:endParaRPr lang="en-GB" sz="1100"/></a:p></xdr:txBody></xdr:sp></mc:Choice><mc:Fallback><xdr:sp macro="" textlink=""><xdr:nvSpPr><xdr:cNvPr id="2" name="TextBox 1"><a:extLst><a:ext uri="{FF2B5EF4-FFF2-40B4-BE49-F238E27FC236}"><a16:creationId xmlns:a16="http://schemas.microsoft.com/office/drawing/2014/main" id="{618E3931-B441-FE02-804F-5EC479E3BD42}"/></a:ext></a:extLst></xdr:cNvPr><xdr:cNvSpPr txBox="1"/></xdr:nvSpPr><xdr:spPr><a:xfrm><a:off x="2108200" y="0"/><a:ext cx="1181100" cy="203200"/></a:xfrm><a:prstGeom prst="rect"><a:avLst/></a:prstGeom><a:noFill/></xdr:spPr><xdr:style><a:lnRef idx="0"><a:scrgbClr r="0" g="0" b="0"/></a:lnRef><a:fillRef idx="0"><a:scrgbClr r="0" g="0" b="0"/></a:fillRef><a:effectRef idx="0"><a:scrgbClr r="0" g="0" b="0"/></a:effectRef><a:fontRef idx="minor"><a:schemeClr val="tx1"/></a:fontRef></xdr:style><xdr:txBody><a:bodyPr vertOverflow="clip" horzOverflow="clip" wrap="square" lIns="0" tIns="0" rIns="0" bIns="0" rtlCol="0" anchor="ctr"><a:noAutofit/></a:bodyPr><a:lstStyle/><a:p><a:pPr algn="ctr"/><a:r><a:rPr lang="pl-PL" sz="1100" b="0" i="0"><a:latin typeface="Cambria Math" panose="02040503050406030204" pitchFamily="18" charset="0"/></a:rPr><a:t>〖"gva" 〗_𝑡−〖"gva" 〗_(𝑡−1)</a:t></a:r><a:endParaRPr lang="en-GB" sz="1100"/></a:p></xdr:txBody></xdr:sp></mc:Fallback></mc:AlternateContent><xdr:clientData/></xdr:oneCellAnchor><xdr:oneCellAnchor><xdr:from><xdr:col>5</xdr:col><xdr:colOff>0</xdr:colOff><xdr:row>0</xdr:row><xdr:rowOff>0</xdr:rowOff></xdr:from><xdr:ext cx="2781300" cy="203200"/><mc:AlternateContent xmlns:mc="http://schemas.openxmlformats.org/markup-compatibility/2006"><mc:Choice xmlns:a14="http://schemas.microsoft.com/office/drawing/2010/main" Requires="a14"><xdr:sp macro="" textlink=""><xdr:nvSpPr><xdr:cNvPr id="4" name="TextBox 3"><a:extLst><a:ext uri="{FF2B5EF4-FFF2-40B4-BE49-F238E27FC236}"><a16:creationId xmlns:a16="http://schemas.microsoft.com/office/drawing/2014/main" id="{637A9577-DAB6-91C5-BFEA-A589DEFCCCED}"/></a:ext></a:extLst></xdr:cNvPr><xdr:cNvSpPr txBox="1"/></xdr:nvSpPr><xdr:spPr><a:xfrm><a:off x="3289300" y="0"/><a:ext cx="2781300" cy="203200"/></a:xfrm><a:prstGeom prst="rect"><a:avLst/></a:prstGeom><a:noFill/></xdr:spPr><xdr:style><a:lnRef idx="0"><a:scrgbClr r="0" g="0" b="0"/></a:lnRef><a:fillRef idx="0"><a:scrgbClr r="0" g="0" b="0"/></a:fillRef><a:effectRef idx="0"><a:scrgbClr r="0" g="0" b="0"/></a:effectRef><a:fontRef idx="minor"><a:schemeClr val="tx1"/></a:fontRef></xdr:style><xdr:txBody><a:bodyPr vertOverflow="clip" horzOverflow="clip" wrap="square" lIns="0" tIns="0" rIns="0" bIns="0" rtlCol="0" anchor="ctr"><a:noAutofit/></a:bodyPr><a:lstStyle/><a:p><a:pPr algn="ctr"/><a14:m><m:oMathPara xmlns:m="http://schemas.openxmlformats.org/officeDocument/2006/math"><m:oMathParaPr><m:jc m:val="centerGroup"/></m:oMathParaPr><m:oMath xmlns:m="http://schemas.openxmlformats.org/officeDocument/2006/math"><m:d><m:dPr><m:ctrlPr><a:rPr lang="pl-PL" sz="1100" b="0" i="1"><a:latin typeface="Cambria Math" panose="02040503050406030204" pitchFamily="18" charset="0"/></a:rPr></m:ctrlPr></m:dPr><m:e><m:sSub><m:sSubPr><m:ctrlPr><a:rPr lang="pl-PL" sz="1100" b="0" i="1"><a:latin typeface="Cambria Math" panose="02040503050406030204" pitchFamily="18" charset="0"/></a:rPr></m:ctrlPr></m:sSubPr><m:e><m:r><m:rPr><m:nor/></m:rPr><a:rPr lang="pl-PL" sz="1100" b="0" i="0"><a:latin typeface="Cambria Math" panose="02040503050406030204" pitchFamily="18" charset="0"/></a:rPr><m:t>gva</m:t></m:r></m:e><m:sub><m:r><a:rPr lang="pl-PL" sz="1100" b="0" i="1"><a:latin typeface="Cambria Math" panose="02040503050406030204" pitchFamily="18" charset="0"/></a:rPr><m:t>𝑡</m:t></m:r></m:sub></m:sSub><m:r><a:rPr lang="pl-PL" sz="1100" b="0" i="1"><a:latin typeface="Cambria Math" panose="02040503050406030204" pitchFamily="18" charset="0"/></a:rPr><m:t>−</m:t></m:r><m:sSub><m:sSubPr><m:ctrlPr><a:rPr lang="pl-PL" sz="1100" b="0" i="1"><a:latin typeface="Cambria Math" panose="02040503050406030204" pitchFamily="18" charset="0"/></a:rPr></m:ctrlPr></m:sSubPr><m:e><m:r><m:rPr><m:nor/></m:rPr><a:rPr lang="pl-PL" sz="1100" b="0" i="0"><a:latin typeface="Cambria Math" panose="02040503050406030204" pitchFamily="18" charset="0"/></a:rPr><m:t>gva</m:t></m:r></m:e><m:sub><m:r><a:rPr lang="pl-PL" sz="1100" b="0" i="1"><a:latin typeface="Cambria Math" panose="02040503050406030204" pitchFamily="18" charset="0"/></a:rPr><m:t>𝑡</m:t></m:r><m:r><a:rPr lang="pl-PL" sz="1100" b="0" i="1"><a:latin typeface="Cambria Math" panose="02040503050406030204" pitchFamily="18" charset="0"/></a:rPr><m:t>−1</m:t></m:r></m:sub></m:sSub></m:e></m:d><m:r><a:rPr lang="pl-PL" sz="1100" b="0" i="1"><a:latin typeface="Cambria Math" panose="02040503050406030204" pitchFamily="18" charset="0"/></a:rPr><m:t>−</m:t></m:r><m:r><m:rPr><m:nor/></m:rPr><a:rPr lang="pl-PL" sz="1100" b="0" i="0"><a:latin typeface="Cambria Math" panose="02040503050406030204" pitchFamily="18" charset="0"/></a:rPr><m:t>indicatorsCleaned</m:t></m:r><m:d><m:dPr><m:ctrlPr><a:rPr lang="pl-PL" sz="1100" b="0" i="1"><a:latin typeface="Cambria Math" panose="02040503050406030204" pitchFamily="18" charset="0"/></a:rPr></m:ctrlPr></m:dPr><m:e><m:r><a:rPr lang="pl-PL" sz="1100" b="0" i="1"><a:latin typeface="Cambria Math" panose="02040503050406030204" pitchFamily="18" charset="0"/></a:rPr><m:t>𝑞</m:t></m:r></m:e></m:d><m:r><a:rPr lang="pl-PL" sz="1100" b="0" i="1"><a:latin typeface="Cambria Math" panose="02040503050406030204" pitchFamily="18" charset="0"/></a:rPr><m:t><m:oMathPara xmlns:m="http://schemas.openxmlformats.org/officeDocument/2006/math"><m:oMathParaPr><m:jc m:val="centerGroup"/></m:oMathParaPr><m:oMath xmlns:m="http://schemas.openxmlformats.org/officeDocument/2006/math"><m:d><m:dPr><m:ctrlPr><a:rPr lang="pl-PL" sz="1100" b="0" i="1"><a:latin typeface="Cambria Math" panose="02040503050406030204" pitchFamily="18" charset="0"/></a:rPr></m:ctrlPr></m:dPr><m:e><m:sSub><m:sSubPr><m:ctrlPr><a:rPr lang="pl-PL" sz="1100" b="0" i="1"><a:latin typeface="Cambria Math" panose="02040503050406030204" pitchFamily="18" charset="0"/></a:rPr></m:ctrlPr></m:sSubPr><m:e><m:r><m:rPr><m:nor/></m:rPr><a:rPr lang="pl-PL" sz="1100" b="0" i="0"><a:latin typeface="Cambria Math" panose="02040503050406030204" pitchFamily="18" charset="0"/></a:rPr><m:t>gva</m:t></m:r></m:e><m:sub><m:r><a:rPr lang="pl-PL" sz="1100" b="0" i="1"><a:latin typeface="Cambria Math" panose="02040503050406030204" pitchFamily="18" charset="0"/></a:rPr><m:t>𝑡</m:t></m:r></m:sub></m:sSub><m:r><a:rPr lang="pl-PL" sz="1100" b="0" i="1"><a:latin typeface="Cambria Math" panose="02040503050406030204" pitchFamily="18" charset="0"/></a:rPr><m:t>−</m:t></m:r><m:sSub><m:sSubPr><m:ctrlPr><a:rPr lang="pl-PL" sz="1100" b="0" i="1"><a:latin typeface="Cambria Math" panose="02040503050406030204" pitchFamily="18" charset="0"/></a:rPr></m:ctrlPr></m:sSubPr><m:e><m:r><m:rPr><m:nor/></m:rPr><a:rPr lang="pl-PL" sz="1100" b="0" i="0"><a:latin typeface="Cambria Math" panose="02040503050406030204" pitchFamily="18" charset="0"/></a:rPr><m:t>gva</m:t></m:r></m:e><m:sub><m:r><a:rPr lang="pl-PL" sz="1100" b="0" i="1"><a:latin typeface="Cambria Math" panose="02040503050406030204" pitchFamily="18" charset="0"/></a:rPr><m:t>𝑡</m:t></m:r><m:r><a:rPr lang="pl-PL" sz="1100" b="0" i="1"><a:latin typeface="Cambria Math" panose="02040503050406030204" pitchFamily="18" charset="0"/></a:rPr><m:t>−1</m:t></m:r></m:sub></m:sSub></m:e></m:d><m:r><a:rPr lang="pl-PL" sz="1100" b="0" i="1"><a:latin typeface="Cambria Math" panose="02040503050406030204" pitchFamily="18" charset="0"/></a:rPr><m:t>−</m:t></m:r><m:r><m:rPr><m:nor/></m:rPr><a:rPr lang="pl-PL" sz="1100" b="0" i="0"><a:latin typeface="Cambria Math" panose="02040503050406030204" pitchFamily="18" charset="0"/></a:rPr><m:t>indicatorsCleaned</m:t></m:r><m:d><m:dPr><m:ctrlPr><a:rPr lang="pl-PL" sz="1100" b="0" i="1"><a:latin typeface="Cambria Math" panose="02040503050406030204" pitchFamily="18" charset="0"/></a:rPr></m:ctrlPr></m:dPr><m:e><m:r><a:rPr lang="pl-PL" sz="1100" b="0" i="1"><a:latin typeface="Cambria Math" panose="02040503050406030204" pitchFamily="18" charset="0"/></a:rPr><m:t>𝑞</m:t></m:r></m:e></m:d><m:r><a:rPr lang="pl-PL" sz="1100" b="0" i="1"><a:latin typeface="Cambria Math" panose="02040503050406030204" pitchFamily="18" charset="0"/></a:rPr><m:t></a14:m><a:endParaRPr lang="en-GB" sz="1100"/></a:p></xdr:txBody></xdr:sp></mc:Choice><mc:Fallback><xdr:sp macro="" textlink=""><xdr:nvSpPr><xdr:cNvPr id="4" name="TextBox 3"><a:extLst><a:ext uri="{FF2B5EF4-FFF2-40B4-BE49-F238E27FC236}"><a16:creationId xmlns:a16="http://schemas.microsoft.com/office/drawing/2014/main" id="{637A9577-DAB6-91C5-BFEA-A589DEFCCCED}"/></a:ext></a:extLst></xdr:cNvPr><xdr:cNvSpPr txBox="1"/></xdr:nvSpPr><xdr:spPr><a:xfrm><a:off x="3289300" y="0"/><a:ext cx="2781300" cy="203200"/></a:xfrm><a:prstGeom prst="rect"><a:avLst/></a:prstGeom><a:noFill/></xdr:spPr><xdr:style><a:lnRef idx="0"><a:scrgbClr r="0" g="0" b="0"/></a:lnRef><a:fillRef idx="0"><a:scrgbClr r="0" g="0" b="0"/></a:fillRef><a:effectRef idx="0"><a:scrgbClr r="0" g="0" b="0"/></a:effectRef><a:fontRef idx="minor"><a:schemeClr val="tx1"/></a:fontRef></xdr:style><xdr:txBody><a:bodyPr vertOverflow="clip" horzOverflow="clip" wrap="square" lIns="0" tIns="0" rIns="0" bIns="0" rtlCol="0" anchor="ctr"><a:noAutofit/></a:bodyPr><a:lstStyle/><a:p><a:pPr algn="ctr"/><a:r><a:rPr lang="pl-PL" sz="1100" b="0" i="0"><a:latin typeface="Cambria Math" panose="02040503050406030204" pitchFamily="18" charset="0"/></a:rPr><a:t>(〖"gva" 〗_𝑡−〖"gva" 〗_(𝑡−1) )−"indicatorsCleaned" (𝑞) </a:t></a:r><a:endParaRPr lang="en-GB" sz="1100"/></a:p></xdr:txBody></xdr:sp></mc:Fallback></mc:AlternateContent><xdr:clientData/></xdr:oneCellAnchor><xdr:twoCellAnchor><xdr:from><xdr:col>6</xdr:col><xdr:colOff>939799</xdr:colOff><xdr:row>9</xdr:row><xdr:rowOff>0</xdr:rowOff></xdr:from><xdr:to><xdr:col>21</xdr:col><xdr:colOff>491066</xdr:colOff><xdr:row>43</xdr:row><xdr:rowOff>0</xdr:rowOff></xdr:to><xdr:graphicFrame macro=""><xdr:nvGraphicFramePr><xdr:cNvPr id="5" name="Chart 4"><a:extLst><a:ext uri="{FF2B5EF4-FFF2-40B4-BE49-F238E27FC236}"><a16:creationId xmlns:a16="http://schemas.microsoft.com/office/drawing/2014/main" id="{413AC4FB-7DD3-E28D-307B-7220964FB1C4}"/></a:ext></a:extLst></xdr:cNvPr><xdr:cNvGraphicFramePr/></xdr:nvGraphicFramePr><xdr:xfrm><a:off x="0" y="0"/><a:ext cx="0" cy="0"/></xdr:xfrm><a:graphic><a:graphicData uri="http://schemas.openxmlformats.org/drawingml/2006/chart"><c:chart xmlns:c="http://schemas.openxmlformats.org/drawingml/2006/chart" xmlns:r="http://schemas.openxmlformats.org/officeDocument/2006/relationships" r:id="rId1"/></a:graphicData></a:graphic></xdr:graphicFrame><xdr:clientData/></xdr:twoCellAnchor>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4940300" cy="6096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B27CBD5-D83E-113B-286D-F26443259186}"/>
                </a:ext>
              </a:extLst>
            </xdr:cNvPr>
            <xdr:cNvSpPr txBox="1"/>
          </xdr:nvSpPr>
          <xdr:spPr>
            <a:xfrm>
              <a:off x="8597900" y="406400"/>
              <a:ext cx="4940300" cy="609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nor/>
                          </m:rPr>
                          <a:rPr lang="en-GB" sz="1100" i="0">
                            <a:latin typeface="Cambria Math" panose="02040503050406030204" pitchFamily="18" charset="0"/>
                          </a:rPr>
                          <m:t>gva</m:t>
                        </m:r>
                      </m:e>
                      <m:sub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2016</m:t>
                        </m:r>
                      </m:sub>
                    </m:sSub>
                    <m:r>
                      <a:rPr lang="en-GB" sz="1100" i="1">
                        <a:latin typeface="Cambria Math" panose="02040503050406030204" pitchFamily="18" charset="0"/>
                      </a:rPr>
                      <m:t>−</m:t>
                    </m:r>
                    <m:nary>
                      <m:naryPr>
                        <m:chr m:val="∑"/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𝑞</m:t>
                        </m:r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=2016−</m:t>
                        </m:r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𝑄</m:t>
                        </m:r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2016−</m:t>
                        </m:r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𝑄</m:t>
                        </m:r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4</m:t>
                        </m:r>
                      </m:sup>
                      <m:e>
                        <m:sSub>
                          <m:sSubPr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nor/>
                              </m:rPr>
                              <a:rPr lang="en-GB" sz="1100" i="0">
                                <a:latin typeface="Cambria Math" panose="02040503050406030204" pitchFamily="18" charset="0"/>
                              </a:rPr>
                              <m:t>gvaConst</m:t>
                            </m:r>
                            <m:r>
                              <m:rPr>
                                <m:nor/>
                              </m:rPr>
                              <a:rPr lang="en-GB" sz="1100" i="0">
                                <a:latin typeface="Cambria Math" panose="02040503050406030204" pitchFamily="18" charset="0"/>
                              </a:rPr>
                              <m:t>2020</m:t>
                            </m:r>
                            <m:r>
                              <m:rPr>
                                <m:nor/>
                              </m:rPr>
                              <a:rPr lang="en-GB" sz="1100" i="0">
                                <a:latin typeface="Cambria Math" panose="02040503050406030204" pitchFamily="18" charset="0"/>
                              </a:rPr>
                              <m:t>InCont</m:t>
                            </m:r>
                            <m:r>
                              <m:rPr>
                                <m:nor/>
                              </m:rPr>
                              <a:rPr lang="en-GB" sz="1100" i="0">
                                <a:latin typeface="Cambria Math" panose="02040503050406030204" pitchFamily="18" charset="0"/>
                              </a:rPr>
                              <m:t>2016</m:t>
                            </m:r>
                          </m:e>
                          <m:sub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𝑞</m:t>
                            </m:r>
                          </m:sub>
                        </m:sSub>
                      </m:e>
                    </m:nary>
                    <m:r>
                      <a:rPr lang="en-GB" sz="1100" i="1">
                        <a:latin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B27CBD5-D83E-113B-286D-F26443259186}"/>
                </a:ext>
              </a:extLst>
            </xdr:cNvPr>
            <xdr:cNvSpPr txBox="1"/>
          </xdr:nvSpPr>
          <xdr:spPr>
            <a:xfrm>
              <a:off x="8597900" y="406400"/>
              <a:ext cx="4940300" cy="609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/>
              <a:r>
                <a:rPr lang="en-GB" sz="1100" i="0">
                  <a:latin typeface="Cambria Math" panose="02040503050406030204" pitchFamily="18" charset="0"/>
                </a:rPr>
                <a:t>〖"gva" 〗_2016−∑24_(𝑞=2016−𝑄1)^(2016−𝑄4)▒〖"gvaConst2020InCont2016" 〗_𝑞 }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9</xdr:col>
      <xdr:colOff>0</xdr:colOff>
      <xdr:row>7</xdr:row>
      <xdr:rowOff>0</xdr:rowOff>
    </xdr:from>
    <xdr:ext cx="4940300" cy="6096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BFB0932-8757-C14C-8CCE-FA57515C5D42}"/>
                </a:ext>
              </a:extLst>
            </xdr:cNvPr>
            <xdr:cNvSpPr txBox="1"/>
          </xdr:nvSpPr>
          <xdr:spPr>
            <a:xfrm>
              <a:off x="8597900" y="1422400"/>
              <a:ext cx="4940300" cy="609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nor/>
                          </m:rPr>
                          <a:rPr lang="en-GB" sz="1100" i="0">
                            <a:latin typeface="Cambria Math" panose="02040503050406030204" pitchFamily="18" charset="0"/>
                          </a:rPr>
                          <m:t>gva</m:t>
                        </m:r>
                      </m:e>
                      <m:sub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20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24</m:t>
                        </m:r>
                      </m:sub>
                    </m:sSub>
                    <m:r>
                      <a:rPr lang="en-GB" sz="1100" i="1">
                        <a:latin typeface="Cambria Math" panose="02040503050406030204" pitchFamily="18" charset="0"/>
                      </a:rPr>
                      <m:t>−</m:t>
                    </m:r>
                    <m:nary>
                      <m:naryPr>
                        <m:chr m:val="∑"/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𝑞</m:t>
                        </m:r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=2024−</m:t>
                        </m:r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𝑄</m:t>
                        </m:r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20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24</m:t>
                        </m:r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𝑄</m:t>
                        </m:r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4</m:t>
                        </m:r>
                      </m:sup>
                      <m:e>
                        <m:sSub>
                          <m:sSubPr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nor/>
                              </m:rPr>
                              <a:rPr lang="en-GB" sz="1100" i="0">
                                <a:latin typeface="Cambria Math" panose="02040503050406030204" pitchFamily="18" charset="0"/>
                              </a:rPr>
                              <m:t>gvaConst</m:t>
                            </m:r>
                            <m:r>
                              <m:rPr>
                                <m:nor/>
                              </m:rPr>
                              <a:rPr lang="en-GB" sz="1100" i="0">
                                <a:latin typeface="Cambria Math" panose="02040503050406030204" pitchFamily="18" charset="0"/>
                              </a:rPr>
                              <m:t>2020</m:t>
                            </m:r>
                            <m:r>
                              <m:rPr>
                                <m:nor/>
                              </m:rPr>
                              <a:rPr lang="en-GB" sz="1100" i="0">
                                <a:latin typeface="Cambria Math" panose="02040503050406030204" pitchFamily="18" charset="0"/>
                              </a:rPr>
                              <m:t>InCont</m:t>
                            </m:r>
                            <m:r>
                              <m:rPr>
                                <m:nor/>
                              </m:rPr>
                              <a:rPr lang="en-GB" sz="1100" i="0">
                                <a:latin typeface="Cambria Math" panose="02040503050406030204" pitchFamily="18" charset="0"/>
                              </a:rPr>
                              <m:t>20</m:t>
                            </m:r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24</m:t>
                            </m:r>
                          </m:e>
                          <m:sub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𝑞</m:t>
                            </m:r>
                          </m:sub>
                        </m:sSub>
                      </m:e>
                    </m:nary>
                    <m:r>
                      <a:rPr lang="en-GB" sz="1100" i="1">
                        <a:latin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BFB0932-8757-C14C-8CCE-FA57515C5D42}"/>
                </a:ext>
              </a:extLst>
            </xdr:cNvPr>
            <xdr:cNvSpPr txBox="1"/>
          </xdr:nvSpPr>
          <xdr:spPr>
            <a:xfrm>
              <a:off x="8597900" y="1422400"/>
              <a:ext cx="4940300" cy="609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/>
              <a:r>
                <a:rPr lang="en-GB" sz="1100" i="0">
                  <a:latin typeface="Cambria Math" panose="02040503050406030204" pitchFamily="18" charset="0"/>
                </a:rPr>
                <a:t>〖"gva" 〗_20</a:t>
              </a:r>
              <a:r>
                <a:rPr lang="pl-PL" sz="1100" b="0" i="0">
                  <a:latin typeface="Cambria Math" panose="02040503050406030204" pitchFamily="18" charset="0"/>
                </a:rPr>
                <a:t>24</a:t>
              </a:r>
              <a:r>
                <a:rPr lang="en-GB" sz="1100" i="0">
                  <a:latin typeface="Cambria Math" panose="02040503050406030204" pitchFamily="18" charset="0"/>
                </a:rPr>
                <a:t>−∑24_(𝑞=20</a:t>
              </a:r>
              <a:r>
                <a:rPr lang="pl-PL" sz="1100" b="0" i="0">
                  <a:latin typeface="Cambria Math" panose="02040503050406030204" pitchFamily="18" charset="0"/>
                </a:rPr>
                <a:t>24</a:t>
              </a:r>
              <a:r>
                <a:rPr lang="en-GB" sz="1100" i="0">
                  <a:latin typeface="Cambria Math" panose="02040503050406030204" pitchFamily="18" charset="0"/>
                </a:rPr>
                <a:t>−𝑄1)^(20</a:t>
              </a:r>
              <a:r>
                <a:rPr lang="pl-PL" sz="1100" b="0" i="0">
                  <a:latin typeface="Cambria Math" panose="02040503050406030204" pitchFamily="18" charset="0"/>
                </a:rPr>
                <a:t>24</a:t>
              </a:r>
              <a:r>
                <a:rPr lang="en-GB" sz="1100" i="0">
                  <a:latin typeface="Cambria Math" panose="02040503050406030204" pitchFamily="18" charset="0"/>
                </a:rPr>
                <a:t>−𝑄4)▒〖"gvaConst2020InCont20</a:t>
              </a:r>
              <a:r>
                <a:rPr lang="pl-PL" sz="1100" b="0" i="0">
                  <a:latin typeface="Cambria Math" panose="02040503050406030204" pitchFamily="18" charset="0"/>
                </a:rPr>
                <a:t>" 24</a:t>
              </a:r>
              <a:r>
                <a:rPr lang="en-GB" sz="1100" b="0" i="0">
                  <a:latin typeface="Cambria Math" panose="02040503050406030204" pitchFamily="18" charset="0"/>
                </a:rPr>
                <a:t>〗_</a:t>
              </a:r>
              <a:r>
                <a:rPr lang="en-GB" sz="1100" i="0">
                  <a:latin typeface="Cambria Math" panose="02040503050406030204" pitchFamily="18" charset="0"/>
                </a:rPr>
                <a:t>𝑞 }</a:t>
              </a:r>
              <a:endParaRPr lang="en-GB" sz="1100"/>
            </a:p>
          </xdr:txBody>
        </xdr:sp>
      </mc:Fallback>
    </mc:AlternateContent>
    <xdr:clientData/>
  </xdr:oneCellAnchor>
</xdr:wsDr>
</file>

<file path=xl/drawings/drawing3.xml><?xml version="1.0" encoding="UTF-8" standalone="yes"?>
<xdr:wsDr xmlns:xdr="http://schemas.openxmlformats.org/drawingml/2006/spreadsheetDrawing" xmlns:a="http://schemas.openxmlformats.org/drawingml/2006/main"><xdr:oneCellAnchor><xdr:from><xdr:col>4</xdr:col><xdr:colOff>0</xdr:colOff><xdr:row>0</xdr:row><xdr:rowOff>0</xdr:rowOff></xdr:from><xdr:ext cx="1181100" cy="203200"/><mc:AlternateContent xmlns:mc="http://schemas.openxmlformats.org/markup-compatibility/2006"><mc:Choice xmlns:a14="http://schemas.microsoft.com/office/drawing/2010/main" Requires="a14"><xdr:sp macro="" textlink=""><xdr:nvSpPr><xdr:cNvPr id="2" name="TextBox 1"><a:extLst><a:ext uri="{FF2B5EF4-FFF2-40B4-BE49-F238E27FC236}"><a16:creationId xmlns:a16="http://schemas.microsoft.com/office/drawing/2014/main" id="{DAB6DDE0-FA7B-5746-AAE4-0952B94470D0}"/></a:ext></a:extLst></xdr:cNvPr><xdr:cNvSpPr txBox="1"/></xdr:nvSpPr><xdr:spPr><a:xfrm><a:off x="2108200" y="0"/><a:ext cx="1181100" cy="203200"/></a:xfrm><a:prstGeom prst="rect"><a:avLst/></a:prstGeom><a:noFill/></xdr:spPr><xdr:style><a:lnRef idx="0"><a:scrgbClr r="0" g="0" b="0"/></a:lnRef><a:fillRef idx="0"><a:scrgbClr r="0" g="0" b="0"/></a:fillRef><a:effectRef idx="0"><a:scrgbClr r="0" g="0" b="0"/></a:effectRef><a:fontRef idx="minor"><a:schemeClr val="tx1"/></a:fontRef></xdr:style><xdr:txBody><a:bodyPr vertOverflow="clip" horzOverflow="clip" wrap="square" lIns="0" tIns="0" rIns="0" bIns="0" rtlCol="0" anchor="ctr"><a:noAutofit/></a:bodyPr><a:lstStyle/><a:p><a:pPr algn="ctr"/><a14:m><m:oMathPara xmlns:m="http://schemas.openxmlformats.org/officeDocument/2006/math"><m:oMathParaPr><m:jc m:val="centerGroup"/></m:oMathParaPr><m:oMath xmlns:m="http://schemas.openxmlformats.org/officeDocument/2006/math"><m:sSub><m:sSubPr><m:ctrlPr><a:rPr lang="pl-PL" sz="1100" b="0" i="1"><a:latin typeface="Cambria Math" panose="02040503050406030204" pitchFamily="18" charset="0"/></a:rPr></m:ctrlPr></m:sSubPr><m:e><m:r><m:rPr><m:nor/></m:rPr><a:rPr lang="pl-PL" sz="1100" b="0" i="0"><a:latin typeface="Cambria Math" panose="02040503050406030204" pitchFamily="18" charset="0"/></a:rPr><m:t>gva</m:t></m:r></m:e><m:sub><m:r><a:rPr lang="pl-PL" sz="1100" b="0" i="1"><a:latin typeface="Cambria Math" panose="02040503050406030204" pitchFamily="18" charset="0"/></a:rPr><m:t>𝑡</m:t></m:r></m:sub></m:sSub><m:r><a:rPr lang="pl-PL" sz="1100" b="0" i="1"><a:latin typeface="Cambria Math" panose="02040503050406030204" pitchFamily="18" charset="0"/></a:rPr><m:t>−</m:t></m:r><m:sSub><m:sSubPr><m:ctrlPr><a:rPr lang="pl-PL" sz="1100" b="0" i="1"><a:latin typeface="Cambria Math" panose="02040503050406030204" pitchFamily="18" charset="0"/></a:rPr></m:ctrlPr></m:sSubPr><m:e><m:r><m:rPr><m:nor/></m:rPr><a:rPr lang="pl-PL" sz="1100" b="0" i="0"><a:latin typeface="Cambria Math" panose="02040503050406030204" pitchFamily="18" charset="0"/></a:rPr><m:t>gva</m:t></m:r></m:e><m:sub><m:r><a:rPr lang="pl-PL" sz="1100" b="0" i="1"><a:latin typeface="Cambria Math" panose="02040503050406030204" pitchFamily="18" charset="0"/></a:rPr><m:t>𝑡</m:t></m:r><m:r><a:rPr lang="pl-PL" sz="1100" b="0" i="1"><a:latin typeface="Cambria Math" panose="02040503050406030204" pitchFamily="18" charset="0"/></a:rPr><m:t>−1</m:t></m:r></m:sub></m:sSub></m:oMath></m:oMathPara></a14:m><a:endParaRPr lang="en-GB" sz="1100"/></a:p></xdr:txBody></xdr:sp></mc:Choice><mc:Fallback><xdr:sp macro="" textlink=""><xdr:nvSpPr><xdr:cNvPr id="2" name="TextBox 1"><a:extLst><a:ext uri="{FF2B5EF4-FFF2-40B4-BE49-F238E27FC236}"><a16:creationId xmlns:a16="http://schemas.microsoft.com/office/drawing/2014/main" id="{DAB6DDE0-FA7B-5746-AAE4-0952B94470D0}"/></a:ext></a:extLst></xdr:cNvPr><xdr:cNvSpPr txBox="1"/></xdr:nvSpPr><xdr:spPr><a:xfrm><a:off x="2108200" y="0"/><a:ext cx="1181100" cy="203200"/></a:xfrm><a:prstGeom prst="rect"><a:avLst/></a:prstGeom><a:noFill/></xdr:spPr><xdr:style><a:lnRef idx="0"><a:scrgbClr r="0" g="0" b="0"/></a:lnRef><a:fillRef idx="0"><a:scrgbClr r="0" g="0" b="0"/></a:fillRef><a:effectRef idx="0"><a:scrgbClr r="0" g="0" b="0"/></a:effectRef><a:fontRef idx="minor"><a:schemeClr val="tx1"/></a:fontRef></xdr:style><xdr:txBody><a:bodyPr vertOverflow="clip" horzOverflow="clip" wrap="square" lIns="0" tIns="0" rIns="0" bIns="0" rtlCol="0" anchor="ctr"><a:noAutofit/></a:bodyPr><a:lstStyle/><a:p><a:pPr algn="ctr"/><a:r><a:rPr lang="pl-PL" sz="1100" b="0" i="0"><a:latin typeface="Cambria Math" panose="02040503050406030204" pitchFamily="18" charset="0"/></a:rPr><a:t>〖"gva" 〗_𝑡−〖"gva" 〗_(𝑡−1)</a:t></a:r><a:endParaRPr lang="en-GB" sz="1100"/></a:p></xdr:txBody></xdr:sp></mc:Fallback></mc:AlternateContent><xdr:clientData/></xdr:oneCellAnchor><xdr:oneCellAnchor><xdr:from><xdr:col>5</xdr:col><xdr:colOff>0</xdr:colOff><xdr:row>0</xdr:row><xdr:rowOff>0</xdr:rowOff></xdr:from><xdr:ext cx="2781300" cy="203200"/><mc:AlternateContent xmlns:mc="http://schemas.openxmlformats.org/markup-compatibility/2006"><mc:Choice xmlns:a14="http://schemas.microsoft.com/office/drawing/2010/main" Requires="a14"><xdr:sp macro="" textlink=""><xdr:nvSpPr><xdr:cNvPr id="3" name="TextBox 2"><a:extLst><a:ext uri="{FF2B5EF4-FFF2-40B4-BE49-F238E27FC236}"><a16:creationId xmlns:a16="http://schemas.microsoft.com/office/drawing/2014/main" id="{098F8777-AEB6-BB47-9397-B0D426B2F8E3}"/></a:ext></a:extLst></xdr:cNvPr><xdr:cNvSpPr txBox="1"/></xdr:nvSpPr><xdr:spPr><a:xfrm><a:off x="3289300" y="0"/><a:ext cx="2781300" cy="203200"/></a:xfrm><a:prstGeom prst="rect"><a:avLst/></a:prstGeom><a:noFill/></xdr:spPr><xdr:style><a:lnRef idx="0"><a:scrgbClr r="0" g="0" b="0"/></a:lnRef><a:fillRef idx="0"><a:scrgbClr r="0" g="0" b="0"/></a:fillRef><a:effectRef idx="0"><a:scrgbClr r="0" g="0" b="0"/></a:effectRef><a:fontRef idx="minor"><a:schemeClr val="tx1"/></a:fontRef></xdr:style><xdr:txBody><a:bodyPr vertOverflow="clip" horzOverflow="clip" wrap="square" lIns="0" tIns="0" rIns="0" bIns="0" rtlCol="0" anchor="ctr"><a:noAutofit/></a:bodyPr><a:lstStyle/><a:p><a:pPr algn="ctr"/><a14:m><m:oMathPara xmlns:m="http://schemas.openxmlformats.org/officeDocument/2006/math"><m:oMathParaPr><m:jc m:val="centerGroup"/></m:oMathParaPr><m:oMath xmlns:m="http://schemas.openxmlformats.org/officeDocument/2006/math"><m:d><m:dPr><m:ctrlPr><a:rPr lang="pl-PL" sz="1100" b="0" i="1"><a:latin typeface="Cambria Math" panose="02040503050406030204" pitchFamily="18" charset="0"/></a:rPr></m:ctrlPr></m:dPr><m:e><m:sSub><m:sSubPr><m:ctrlPr><a:rPr lang="pl-PL" sz="1100" b="0" i="1"><a:latin typeface="Cambria Math" panose="02040503050406030204" pitchFamily="18" charset="0"/></a:rPr></m:ctrlPr></m:sSubPr><m:e><m:r><m:rPr><m:nor/></m:rPr><a:rPr lang="pl-PL" sz="1100" b="0" i="0"><a:latin typeface="Cambria Math" panose="02040503050406030204" pitchFamily="18" charset="0"/></a:rPr><m:t>gva</m:t></m:r></m:e><m:sub><m:r><a:rPr lang="pl-PL" sz="1100" b="0" i="1"><a:latin typeface="Cambria Math" panose="02040503050406030204" pitchFamily="18" charset="0"/></a:rPr><m:t>𝑡</m:t></m:r></m:sub></m:sSub><m:r><a:rPr lang="pl-PL" sz="1100" b="0" i="1"><a:latin typeface="Cambria Math" panose="02040503050406030204" pitchFamily="18" charset="0"/></a:rPr><m:t>−</m:t></m:r><m:sSub><m:sSubPr><m:ctrlPr><a:rPr lang="pl-PL" sz="1100" b="0" i="1"><a:latin typeface="Cambria Math" panose="02040503050406030204" pitchFamily="18" charset="0"/></a:rPr></m:ctrlPr></m:sSubPr><m:e><m:r><m:rPr><m:nor/></m:rPr><a:rPr lang="pl-PL" sz="1100" b="0" i="0"><a:latin typeface="Cambria Math" panose="02040503050406030204" pitchFamily="18" charset="0"/></a:rPr><m:t>gva</m:t></m:r></m:e><m:sub><m:r><a:rPr lang="pl-PL" sz="1100" b="0" i="1"><a:latin typeface="Cambria Math" panose="02040503050406030204" pitchFamily="18" charset="0"/></a:rPr><m:t>𝑡</m:t></m:r><m:r><a:rPr lang="pl-PL" sz="1100" b="0" i="1"><a:latin typeface="Cambria Math" panose="02040503050406030204" pitchFamily="18" charset="0"/></a:rPr><m:t>−1</m:t></m:r></m:sub></m:sSub></m:e></m:d><m:r><a:rPr lang="pl-PL" sz="1100" b="0" i="1"><a:latin typeface="Cambria Math" panose="02040503050406030204" pitchFamily="18" charset="0"/></a:rPr><m:t>−</m:t></m:r><m:r><m:rPr><m:nor/></m:rPr><a:rPr lang="pl-PL" sz="1100" b="0" i="0"><a:latin typeface="Cambria Math" panose="02040503050406030204" pitchFamily="18" charset="0"/></a:rPr><m:t>indicatorsCleaned</m:t></m:r><m:d><m:dPr><m:ctrlPr><a:rPr lang="pl-PL" sz="1100" b="0" i="1"><a:latin typeface="Cambria Math" panose="02040503050406030204" pitchFamily="18" charset="0"/></a:rPr></m:ctrlPr></m:dPr><m:e><m:r><a:rPr lang="pl-PL" sz="1100" b="0" i="1"><a:latin typeface="Cambria Math" panose="02040503050406030204" pitchFamily="18" charset="0"/></a:rPr><m:t>𝑞</m:t></m:r></m:e></m:d><m:r><a:rPr lang="pl-PL" sz="1100" b="0" i="1"><a:latin typeface="Cambria Math" panose="02040503050406030204" pitchFamily="18" charset="0"/></a:rPr><m:t><m:oMathPara xmlns:m="http://schemas.openxmlformats.org/officeDocument/2006/math"><m:oMathParaPr><m:jc m:val="centerGroup"/></m:oMathParaPr><m:oMath xmlns:m="http://schemas.openxmlformats.org/officeDocument/2006/math"><m:d><m:dPr><m:ctrlPr><a:rPr lang="pl-PL" sz="1100" b="0" i="1"><a:latin typeface="Cambria Math" panose="02040503050406030204" pitchFamily="18" charset="0"/></a:rPr></m:ctrlPr></m:dPr><m:e><m:sSub><m:sSubPr><m:ctrlPr><a:rPr lang="pl-PL" sz="1100" b="0" i="1"><a:latin typeface="Cambria Math" panose="02040503050406030204" pitchFamily="18" charset="0"/></a:rPr></m:ctrlPr></m:sSubPr><m:e><m:r><m:rPr><m:nor/></m:rPr><a:rPr lang="pl-PL" sz="1100" b="0" i="0"><a:latin typeface="Cambria Math" panose="02040503050406030204" pitchFamily="18" charset="0"/></a:rPr><m:t>gva</m:t></m:r></m:e><m:sub><m:r><a:rPr lang="pl-PL" sz="1100" b="0" i="1"><a:latin typeface="Cambria Math" panose="02040503050406030204" pitchFamily="18" charset="0"/></a:rPr><m:t>𝑡</m:t></m:r></m:sub></m:sSub><m:r><a:rPr lang="pl-PL" sz="1100" b="0" i="1"><a:latin typeface="Cambria Math" panose="02040503050406030204" pitchFamily="18" charset="0"/></a:rPr><m:t>−</m:t></m:r><m:sSub><m:sSubPr><m:ctrlPr><a:rPr lang="pl-PL" sz="1100" b="0" i="1"><a:latin typeface="Cambria Math" panose="02040503050406030204" pitchFamily="18" charset="0"/></a:rPr></m:ctrlPr></m:sSubPr><m:e><m:r><m:rPr><m:nor/></m:rPr><a:rPr lang="pl-PL" sz="1100" b="0" i="0"><a:latin typeface="Cambria Math" panose="02040503050406030204" pitchFamily="18" charset="0"/></a:rPr><m:t>gva</m:t></m:r></m:e><m:sub><m:r><a:rPr lang="pl-PL" sz="1100" b="0" i="1"><a:latin typeface="Cambria Math" panose="02040503050406030204" pitchFamily="18" charset="0"/></a:rPr><m:t>𝑡</m:t></m:r><m:r><a:rPr lang="pl-PL" sz="1100" b="0" i="1"><a:latin typeface="Cambria Math" panose="02040503050406030204" pitchFamily="18" charset="0"/></a:rPr><m:t>−1</m:t></m:r></m:sub></m:sSub></m:e></m:d><m:r><a:rPr lang="pl-PL" sz="1100" b="0" i="1"><a:latin typeface="Cambria Math" panose="02040503050406030204" pitchFamily="18" charset="0"/></a:rPr><m:t>−</m:t></m:r><m:r><m:rPr><m:nor/></m:rPr><a:rPr lang="pl-PL" sz="1100" b="0" i="0"><a:latin typeface="Cambria Math" panose="02040503050406030204" pitchFamily="18" charset="0"/></a:rPr><m:t>indicatorsCleaned</m:t></m:r><m:d><m:dPr><m:ctrlPr><a:rPr lang="pl-PL" sz="1100" b="0" i="1"><a:latin typeface="Cambria Math" panose="02040503050406030204" pitchFamily="18" charset="0"/></a:rPr></m:ctrlPr></m:dPr><m:e><m:r><a:rPr lang="pl-PL" sz="1100" b="0" i="1"><a:latin typeface="Cambria Math" panose="02040503050406030204" pitchFamily="18" charset="0"/></a:rPr><m:t>𝑞</m:t></m:r></m:e></m:d><m:r><a:rPr lang="pl-PL" sz="1100" b="0" i="1"><a:latin typeface="Cambria Math" panose="02040503050406030204" pitchFamily="18" charset="0"/></a:rPr><m:t></a14:m><a:endParaRPr lang="en-GB" sz="1100"/></a:p></xdr:txBody></xdr:sp></mc:Choice><mc:Fallback><xdr:sp macro="" textlink=""><xdr:nvSpPr><xdr:cNvPr id="3" name="TextBox 2"><a:extLst><a:ext uri="{FF2B5EF4-FFF2-40B4-BE49-F238E27FC236}"><a16:creationId xmlns:a16="http://schemas.microsoft.com/office/drawing/2014/main" id="{098F8777-AEB6-BB47-9397-B0D426B2F8E3}"/></a:ext></a:extLst></xdr:cNvPr><xdr:cNvSpPr txBox="1"/></xdr:nvSpPr><xdr:spPr><a:xfrm><a:off x="3289300" y="0"/><a:ext cx="2781300" cy="203200"/></a:xfrm><a:prstGeom prst="rect"><a:avLst/></a:prstGeom><a:noFill/></xdr:spPr><xdr:style><a:lnRef idx="0"><a:scrgbClr r="0" g="0" b="0"/></a:lnRef><a:fillRef idx="0"><a:scrgbClr r="0" g="0" b="0"/></a:fillRef><a:effectRef idx="0"><a:scrgbClr r="0" g="0" b="0"/></a:effectRef><a:fontRef idx="minor"><a:schemeClr val="tx1"/></a:fontRef></xdr:style><xdr:txBody><a:bodyPr vertOverflow="clip" horzOverflow="clip" wrap="square" lIns="0" tIns="0" rIns="0" bIns="0" rtlCol="0" anchor="ctr"><a:noAutofit/></a:bodyPr><a:lstStyle/><a:p><a:pPr algn="ctr"/><a:r><a:rPr lang="pl-PL" sz="1100" b="0" i="0"><a:latin typeface="Cambria Math" panose="02040503050406030204" pitchFamily="18" charset="0"/></a:rPr><a:t>(〖"gva" 〗_𝑡−〖"gva" 〗_(𝑡−1) )−"indicatorsCleaned" (𝑞) </a:t></a:r><a:endParaRPr lang="en-GB" sz="1100"/></a:p></xdr:txBody></xdr:sp></mc:Fallback></mc:AlternateContent><xdr:clientData/></xdr:oneCellAnchor><xdr:twoCellAnchor><xdr:from><xdr:col>6</xdr:col><xdr:colOff>939799</xdr:colOff><xdr:row>9</xdr:row><xdr:rowOff>0</xdr:rowOff></xdr:from><xdr:to><xdr:col>21</xdr:col><xdr:colOff>491066</xdr:colOff><xdr:row>43</xdr:row><xdr:rowOff>0</xdr:rowOff></xdr:to><xdr:graphicFrame macro=""><xdr:nvGraphicFramePr><xdr:cNvPr id="4" name="Chart 3"><a:extLst><a:ext uri="{FF2B5EF4-FFF2-40B4-BE49-F238E27FC236}"><a16:creationId xmlns:a16="http://schemas.microsoft.com/office/drawing/2014/main" id="{071C8CC4-2624-A34A-8705-612922889D6E}"/></a:ext></a:extLst></xdr:cNvPr><xdr:cNvGraphicFramePr><a:graphicFrameLocks/></xdr:cNvGraphicFramePr></xdr:nvGraphicFramePr><xdr:xfrm><a:off x="0" y="0"/><a:ext cx="0" cy="0"/></xdr:xfrm><a:graphic><a:graphicData uri="http://schemas.openxmlformats.org/drawingml/2006/chart"><c:chart xmlns:c="http://schemas.openxmlformats.org/drawingml/2006/chart" xmlns:r="http://schemas.openxmlformats.org/officeDocument/2006/relationships" r:id="rId1"/></a:graphicData></a:graphic></xdr:graphicFrame><xdr:clientData/></xdr:twoCellAnchor></xdr:wsDr>
</file>

<file path=xl/drawings/drawing4.xml><?xml version="1.0" encoding="UTF-8" standalone="yes"?>
<xdr:wsDr xmlns:xdr="http://schemas.openxmlformats.org/drawingml/2006/spreadsheetDrawing" xmlns:a="http://schemas.openxmlformats.org/drawingml/2006/main"><xdr:oneCellAnchor><xdr:from><xdr:col>4</xdr:col><xdr:colOff>0</xdr:colOff><xdr:row>0</xdr:row><xdr:rowOff>0</xdr:rowOff></xdr:from><xdr:ext cx="1181100" cy="203200"/><mc:AlternateContent xmlns:mc="http://schemas.openxmlformats.org/markup-compatibility/2006"><mc:Choice xmlns:a14="http://schemas.microsoft.com/office/drawing/2010/main" Requires="a14"><xdr:sp macro="" textlink=""><xdr:nvSpPr><xdr:cNvPr id="2" name="TextBox 1"><a:extLst><a:ext uri="{FF2B5EF4-FFF2-40B4-BE49-F238E27FC236}"><a16:creationId xmlns:a16="http://schemas.microsoft.com/office/drawing/2014/main" id="{7197EFD4-0FBB-244F-A50F-725012F3A4CE}"/></a:ext></a:extLst></xdr:cNvPr><xdr:cNvSpPr txBox="1"/></xdr:nvSpPr><xdr:spPr><a:xfrm><a:off x="2108200" y="0"/><a:ext cx="1181100" cy="203200"/></a:xfrm><a:prstGeom prst="rect"><a:avLst/></a:prstGeom><a:noFill/></xdr:spPr><xdr:style><a:lnRef idx="0"><a:scrgbClr r="0" g="0" b="0"/></a:lnRef><a:fillRef idx="0"><a:scrgbClr r="0" g="0" b="0"/></a:fillRef><a:effectRef idx="0"><a:scrgbClr r="0" g="0" b="0"/></a:effectRef><a:fontRef idx="minor"><a:schemeClr val="tx1"/></a:fontRef></xdr:style><xdr:txBody><a:bodyPr vertOverflow="clip" horzOverflow="clip" wrap="square" lIns="0" tIns="0" rIns="0" bIns="0" rtlCol="0" anchor="ctr"><a:noAutofit/></a:bodyPr><a:lstStyle/><a:p><a:pPr algn="ctr"/><a14:m><m:oMathPara xmlns:m="http://schemas.openxmlformats.org/officeDocument/2006/math"><m:oMathParaPr><m:jc m:val="centerGroup"/></m:oMathParaPr><m:oMath xmlns:m="http://schemas.openxmlformats.org/officeDocument/2006/math"><m:sSub><m:sSubPr><m:ctrlPr><a:rPr lang="pl-PL" sz="1100" b="0" i="1"><a:latin typeface="Cambria Math" panose="02040503050406030204" pitchFamily="18" charset="0"/></a:rPr></m:ctrlPr></m:sSubPr><m:e><m:r><m:rPr><m:nor/></m:rPr><a:rPr lang="pl-PL" sz="1100" b="0" i="0"><a:latin typeface="Cambria Math" panose="02040503050406030204" pitchFamily="18" charset="0"/></a:rPr><m:t>gva</m:t></m:r></m:e><m:sub><m:r><a:rPr lang="pl-PL" sz="1100" b="0" i="1"><a:latin typeface="Cambria Math" panose="02040503050406030204" pitchFamily="18" charset="0"/></a:rPr><m:t>𝑡</m:t></m:r></m:sub></m:sSub><m:r><a:rPr lang="pl-PL" sz="1100" b="0" i="1"><a:latin typeface="Cambria Math" panose="02040503050406030204" pitchFamily="18" charset="0"/></a:rPr><m:t>−</m:t></m:r><m:sSub><m:sSubPr><m:ctrlPr><a:rPr lang="pl-PL" sz="1100" b="0" i="1"><a:latin typeface="Cambria Math" panose="02040503050406030204" pitchFamily="18" charset="0"/></a:rPr></m:ctrlPr></m:sSubPr><m:e><m:r><m:rPr><m:nor/></m:rPr><a:rPr lang="pl-PL" sz="1100" b="0" i="0"><a:latin typeface="Cambria Math" panose="02040503050406030204" pitchFamily="18" charset="0"/></a:rPr><m:t>gva</m:t></m:r></m:e><m:sub><m:r><a:rPr lang="pl-PL" sz="1100" b="0" i="1"><a:latin typeface="Cambria Math" panose="02040503050406030204" pitchFamily="18" charset="0"/></a:rPr><m:t>𝑡</m:t></m:r><m:r><a:rPr lang="pl-PL" sz="1100" b="0" i="1"><a:latin typeface="Cambria Math" panose="02040503050406030204" pitchFamily="18" charset="0"/></a:rPr><m:t>−1</m:t></m:r></m:sub></m:sSub></m:oMath></m:oMathPara></a14:m><a:endParaRPr lang="en-GB" sz="1100"/></a:p></xdr:txBody></xdr:sp></mc:Choice><mc:Fallback><xdr:sp macro="" textlink=""><xdr:nvSpPr><xdr:cNvPr id="2" name="TextBox 1"><a:extLst><a:ext uri="{FF2B5EF4-FFF2-40B4-BE49-F238E27FC236}"><a16:creationId xmlns:a16="http://schemas.microsoft.com/office/drawing/2014/main" id="{7197EFD4-0FBB-244F-A50F-725012F3A4CE}"/></a:ext></a:extLst></xdr:cNvPr><xdr:cNvSpPr txBox="1"/></xdr:nvSpPr><xdr:spPr><a:xfrm><a:off x="2108200" y="0"/><a:ext cx="1181100" cy="203200"/></a:xfrm><a:prstGeom prst="rect"><a:avLst/></a:prstGeom><a:noFill/></xdr:spPr><xdr:style><a:lnRef idx="0"><a:scrgbClr r="0" g="0" b="0"/></a:lnRef><a:fillRef idx="0"><a:scrgbClr r="0" g="0" b="0"/></a:fillRef><a:effectRef idx="0"><a:scrgbClr r="0" g="0" b="0"/></a:effectRef><a:fontRef idx="minor"><a:schemeClr val="tx1"/></a:fontRef></xdr:style><xdr:txBody><a:bodyPr vertOverflow="clip" horzOverflow="clip" wrap="square" lIns="0" tIns="0" rIns="0" bIns="0" rtlCol="0" anchor="ctr"><a:noAutofit/></a:bodyPr><a:lstStyle/><a:p><a:pPr algn="ctr"/><a:r><a:rPr lang="pl-PL" sz="1100" b="0" i="0"><a:latin typeface="Cambria Math" panose="02040503050406030204" pitchFamily="18" charset="0"/></a:rPr><a:t>〖"gva" 〗_𝑡−〖"gva" 〗_(𝑡−1)</a:t></a:r><a:endParaRPr lang="en-GB" sz="1100"/></a:p></xdr:txBody></xdr:sp></mc:Fallback></mc:AlternateContent><xdr:clientData/></xdr:oneCellAnchor><xdr:oneCellAnchor><xdr:from><xdr:col>5</xdr:col><xdr:colOff>0</xdr:colOff><xdr:row>0</xdr:row><xdr:rowOff>0</xdr:rowOff></xdr:from><xdr:ext cx="2781300" cy="203200"/><mc:AlternateContent xmlns:mc="http://schemas.openxmlformats.org/markup-compatibility/2006"><mc:Choice xmlns:a14="http://schemas.microsoft.com/office/drawing/2010/main" Requires="a14"><xdr:sp macro="" textlink=""><xdr:nvSpPr><xdr:cNvPr id="3" name="TextBox 2"><a:extLst><a:ext uri="{FF2B5EF4-FFF2-40B4-BE49-F238E27FC236}"><a16:creationId xmlns:a16="http://schemas.microsoft.com/office/drawing/2014/main" id="{2E5476BE-74FB-6B47-B257-76DA2CA18F44}"/></a:ext></a:extLst></xdr:cNvPr><xdr:cNvSpPr txBox="1"/></xdr:nvSpPr><xdr:spPr><a:xfrm><a:off x="3289300" y="0"/><a:ext cx="2781300" cy="203200"/></a:xfrm><a:prstGeom prst="rect"><a:avLst/></a:prstGeom><a:noFill/></xdr:spPr><xdr:style><a:lnRef idx="0"><a:scrgbClr r="0" g="0" b="0"/></a:lnRef><a:fillRef idx="0"><a:scrgbClr r="0" g="0" b="0"/></a:fillRef><a:effectRef idx="0"><a:scrgbClr r="0" g="0" b="0"/></a:effectRef><a:fontRef idx="minor"><a:schemeClr val="tx1"/></a:fontRef></xdr:style><xdr:txBody><a:bodyPr vertOverflow="clip" horzOverflow="clip" wrap="square" lIns="0" tIns="0" rIns="0" bIns="0" rtlCol="0" anchor="ctr"><a:noAutofit/></a:bodyPr><a:lstStyle/><a:p><a:pPr algn="ctr"/><a14:m><m:oMathPara xmlns:m="http://schemas.openxmlformats.org/officeDocument/2006/math"><m:oMathParaPr><m:jc m:val="centerGroup"/></m:oMathParaPr><m:oMath xmlns:m="http://schemas.openxmlformats.org/officeDocument/2006/math"><m:d><m:dPr><m:ctrlPr><a:rPr lang="pl-PL" sz="1100" b="0" i="1"><a:latin typeface="Cambria Math" panose="02040503050406030204" pitchFamily="18" charset="0"/></a:rPr></m:ctrlPr></m:dPr><m:e><m:sSub><m:sSubPr><m:ctrlPr><a:rPr lang="pl-PL" sz="1100" b="0" i="1"><a:latin typeface="Cambria Math" panose="02040503050406030204" pitchFamily="18" charset="0"/></a:rPr></m:ctrlPr></m:sSubPr><m:e><m:r><m:rPr><m:nor/></m:rPr><a:rPr lang="pl-PL" sz="1100" b="0" i="0"><a:latin typeface="Cambria Math" panose="02040503050406030204" pitchFamily="18" charset="0"/></a:rPr><m:t>gva</m:t></m:r></m:e><m:sub><m:r><a:rPr lang="pl-PL" sz="1100" b="0" i="1"><a:latin typeface="Cambria Math" panose="02040503050406030204" pitchFamily="18" charset="0"/></a:rPr><m:t>𝑡</m:t></m:r></m:sub></m:sSub><m:r><a:rPr lang="pl-PL" sz="1100" b="0" i="1"><a:latin typeface="Cambria Math" panose="02040503050406030204" pitchFamily="18" charset="0"/></a:rPr><m:t>−</m:t></m:r><m:sSub><m:sSubPr><m:ctrlPr><a:rPr lang="pl-PL" sz="1100" b="0" i="1"><a:latin typeface="Cambria Math" panose="02040503050406030204" pitchFamily="18" charset="0"/></a:rPr></m:ctrlPr></m:sSubPr><m:e><m:r><m:rPr><m:nor/></m:rPr><a:rPr lang="pl-PL" sz="1100" b="0" i="0"><a:latin typeface="Cambria Math" panose="02040503050406030204" pitchFamily="18" charset="0"/></a:rPr><m:t>gva</m:t></m:r></m:e><m:sub><m:r><a:rPr lang="pl-PL" sz="1100" b="0" i="1"><a:latin typeface="Cambria Math" panose="02040503050406030204" pitchFamily="18" charset="0"/></a:rPr><m:t>𝑡</m:t></m:r><m:r><a:rPr lang="pl-PL" sz="1100" b="0" i="1"><a:latin typeface="Cambria Math" panose="02040503050406030204" pitchFamily="18" charset="0"/></a:rPr><m:t>−1</m:t></m:r></m:sub></m:sSub></m:e></m:d><m:r><a:rPr lang="pl-PL" sz="1100" b="0" i="1"><a:latin typeface="Cambria Math" panose="02040503050406030204" pitchFamily="18" charset="0"/></a:rPr><m:t>−</m:t></m:r><m:r><m:rPr><m:nor/></m:rPr><a:rPr lang="pl-PL" sz="1100" b="0" i="0"><a:latin typeface="Cambria Math" panose="02040503050406030204" pitchFamily="18" charset="0"/></a:rPr><m:t>indicatorsCleaned</m:t></m:r><m:d><m:dPr><m:ctrlPr><a:rPr lang="pl-PL" sz="1100" b="0" i="1"><a:latin typeface="Cambria Math" panose="02040503050406030204" pitchFamily="18" charset="0"/></a:rPr></m:ctrlPr></m:dPr><m:e><m:r><a:rPr lang="pl-PL" sz="1100" b="0" i="1"><a:latin typeface="Cambria Math" panose="02040503050406030204" pitchFamily="18" charset="0"/></a:rPr><m:t>𝑞</m:t></m:r></m:e></m:d><m:r><a:rPr lang="pl-PL" sz="1100" b="0" i="1"><a:latin typeface="Cambria Math" panose="02040503050406030204" pitchFamily="18" charset="0"/></a:rPr><m:t><m:oMathPara xmlns:m="http://schemas.openxmlformats.org/officeDocument/2006/math"><m:oMathParaPr><m:jc m:val="centerGroup"/></m:oMathParaPr><m:oMath xmlns:m="http://schemas.openxmlformats.org/officeDocument/2006/math"><m:d><m:dPr><m:ctrlPr><a:rPr lang="pl-PL" sz="1100" b="0" i="1"><a:latin typeface="Cambria Math" panose="02040503050406030204" pitchFamily="18" charset="0"/></a:rPr></m:ctrlPr></m:dPr><m:e><m:sSub><m:sSubPr><m:ctrlPr><a:rPr lang="pl-PL" sz="1100" b="0" i="1"><a:latin typeface="Cambria Math" panose="02040503050406030204" pitchFamily="18" charset="0"/></a:rPr></m:ctrlPr></m:sSubPr><m:e><m:r><m:rPr><m:nor/></m:rPr><a:rPr lang="pl-PL" sz="1100" b="0" i="0"><a:latin typeface="Cambria Math" panose="02040503050406030204" pitchFamily="18" charset="0"/></a:rPr><m:t>gva</m:t></m:r></m:e><m:sub><m:r><a:rPr lang="pl-PL" sz="1100" b="0" i="1"><a:latin typeface="Cambria Math" panose="02040503050406030204" pitchFamily="18" charset="0"/></a:rPr><m:t>𝑡</m:t></m:r></m:sub></m:sSub><m:r><a:rPr lang="pl-PL" sz="1100" b="0" i="1"><a:latin typeface="Cambria Math" panose="02040503050406030204" pitchFamily="18" charset="0"/></a:rPr><m:t>−</m:t></m:r><m:sSub><m:sSubPr><m:ctrlPr><a:rPr lang="pl-PL" sz="1100" b="0" i="1"><a:latin typeface="Cambria Math" panose="02040503050406030204" pitchFamily="18" charset="0"/></a:rPr></m:ctrlPr></m:sSubPr><m:e><m:r><m:rPr><m:nor/></m:rPr><a:rPr lang="pl-PL" sz="1100" b="0" i="0"><a:latin typeface="Cambria Math" panose="02040503050406030204" pitchFamily="18" charset="0"/></a:rPr><m:t>gva</m:t></m:r></m:e><m:sub><m:r><a:rPr lang="pl-PL" sz="1100" b="0" i="1"><a:latin typeface="Cambria Math" panose="02040503050406030204" pitchFamily="18" charset="0"/></a:rPr><m:t>𝑡</m:t></m:r><m:r><a:rPr lang="pl-PL" sz="1100" b="0" i="1"><a:latin typeface="Cambria Math" panose="02040503050406030204" pitchFamily="18" charset="0"/></a:rPr><m:t>−1</m:t></m:r></m:sub></m:sSub></m:e></m:d><m:r><a:rPr lang="pl-PL" sz="1100" b="0" i="1"><a:latin typeface="Cambria Math" panose="02040503050406030204" pitchFamily="18" charset="0"/></a:rPr><m:t>−</m:t></m:r><m:r><m:rPr><m:nor/></m:rPr><a:rPr lang="pl-PL" sz="1100" b="0" i="0"><a:latin typeface="Cambria Math" panose="02040503050406030204" pitchFamily="18" charset="0"/></a:rPr><m:t>indicatorsCleaned</m:t></m:r><m:d><m:dPr><m:ctrlPr><a:rPr lang="pl-PL" sz="1100" b="0" i="1"><a:latin typeface="Cambria Math" panose="02040503050406030204" pitchFamily="18" charset="0"/></a:rPr></m:ctrlPr></m:dPr><m:e><m:r><a:rPr lang="pl-PL" sz="1100" b="0" i="1"><a:latin typeface="Cambria Math" panose="02040503050406030204" pitchFamily="18" charset="0"/></a:rPr><m:t>𝑞</m:t></m:r></m:e></m:d><m:r><a:rPr lang="pl-PL" sz="1100" b="0" i="1"><a:latin typeface="Cambria Math" panose="02040503050406030204" pitchFamily="18" charset="0"/></a:rPr><m:t></a14:m><a:endParaRPr lang="en-GB" sz="1100"/></a:p></xdr:txBody></xdr:sp></mc:Choice><mc:Fallback><xdr:sp macro="" textlink=""><xdr:nvSpPr><xdr:cNvPr id="3" name="TextBox 2"><a:extLst><a:ext uri="{FF2B5EF4-FFF2-40B4-BE49-F238E27FC236}"><a16:creationId xmlns:a16="http://schemas.microsoft.com/office/drawing/2014/main" id="{2E5476BE-74FB-6B47-B257-76DA2CA18F44}"/></a:ext></a:extLst></xdr:cNvPr><xdr:cNvSpPr txBox="1"/></xdr:nvSpPr><xdr:spPr><a:xfrm><a:off x="3289300" y="0"/><a:ext cx="2781300" cy="203200"/></a:xfrm><a:prstGeom prst="rect"><a:avLst/></a:prstGeom><a:noFill/></xdr:spPr><xdr:style><a:lnRef idx="0"><a:scrgbClr r="0" g="0" b="0"/></a:lnRef><a:fillRef idx="0"><a:scrgbClr r="0" g="0" b="0"/></a:fillRef><a:effectRef idx="0"><a:scrgbClr r="0" g="0" b="0"/></a:effectRef><a:fontRef idx="minor"><a:schemeClr val="tx1"/></a:fontRef></xdr:style><xdr:txBody><a:bodyPr vertOverflow="clip" horzOverflow="clip" wrap="square" lIns="0" tIns="0" rIns="0" bIns="0" rtlCol="0" anchor="ctr"><a:noAutofit/></a:bodyPr><a:lstStyle/><a:p><a:pPr algn="ctr"/><a:r><a:rPr lang="pl-PL" sz="1100" b="0" i="0"><a:latin typeface="Cambria Math" panose="02040503050406030204" pitchFamily="18" charset="0"/></a:rPr><a:t>(〖"gva" 〗_𝑡−〖"gva" 〗_(𝑡−1) )−"indicatorsCleaned" (𝑞) </a:t></a:r><a:endParaRPr lang="en-GB" sz="1100"/></a:p></xdr:txBody></xdr:sp></mc:Fallback></mc:AlternateContent><xdr:clientData/></xdr:oneCellAnchor><xdr:twoCellAnchor><xdr:from><xdr:col>6</xdr:col><xdr:colOff>939799</xdr:colOff><xdr:row>9</xdr:row><xdr:rowOff>0</xdr:rowOff></xdr:from><xdr:to><xdr:col>21</xdr:col><xdr:colOff>491066</xdr:colOff><xdr:row>43</xdr:row><xdr:rowOff>0</xdr:rowOff></xdr:to><xdr:graphicFrame macro=""><xdr:nvGraphicFramePr><xdr:cNvPr id="4" name="Chart 3"><a:extLst><a:ext uri="{FF2B5EF4-FFF2-40B4-BE49-F238E27FC236}"><a16:creationId xmlns:a16="http://schemas.microsoft.com/office/drawing/2014/main" id="{B13B94C2-1395-BB4D-9734-CE5EF6F991D0}"/></a:ext></a:extLst></xdr:cNvPr><xdr:cNvGraphicFramePr><a:graphicFrameLocks/></xdr:cNvGraphicFramePr></xdr:nvGraphicFramePr><xdr:xfrm><a:off x="0" y="0"/><a:ext cx="0" cy="0"/></xdr:xfrm><a:graphic><a:graphicData uri="http://schemas.openxmlformats.org/drawingml/2006/chart"><c:chart xmlns:c="http://schemas.openxmlformats.org/drawingml/2006/chart" xmlns:r="http://schemas.openxmlformats.org/officeDocument/2006/relationships" r:id="rId1"/></a:graphicData></a:graphic></xdr:graphicFrame><xdr:clientData/></xdr:twoCellAnchor>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</xdr:colOff>
      <xdr:row>29</xdr:row>
      <xdr:rowOff>19050</xdr:rowOff>
    </xdr:from>
    <xdr:to>
      <xdr:col>20</xdr:col>
      <xdr:colOff>1</xdr:colOff>
      <xdr:row>43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6006B3-4447-17D7-F401-367093B67E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11</xdr:col>
      <xdr:colOff>869950</xdr:colOff>
      <xdr:row>16</xdr:row>
      <xdr:rowOff>133350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A5A5B4C-AE45-7DA0-3021-C3CB1D98E097}"/>
            </a:ext>
          </a:extLst>
        </xdr:cNvPr>
        <xdr:cNvSpPr txBox="1"/>
      </xdr:nvSpPr>
      <xdr:spPr>
        <a:xfrm>
          <a:off x="9950450" y="3384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11</xdr:col>
      <xdr:colOff>869950</xdr:colOff>
      <xdr:row>15</xdr:row>
      <xdr:rowOff>133350</xdr:rowOff>
    </xdr:from>
    <xdr:ext cx="1035050" cy="22288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09D56F3-983F-96CA-5679-09AFA5CBB5B9}"/>
            </a:ext>
          </a:extLst>
        </xdr:cNvPr>
        <xdr:cNvSpPr txBox="1"/>
      </xdr:nvSpPr>
      <xdr:spPr>
        <a:xfrm>
          <a:off x="9950450" y="3384550"/>
          <a:ext cx="1035050" cy="2228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0</xdr:row>
      <xdr:rowOff>1</xdr:rowOff>
    </xdr:from>
    <xdr:ext cx="825500" cy="203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170DCFE9-7447-0561-1AB6-FF4463A69AFB}"/>
                </a:ext>
              </a:extLst>
            </xdr:cNvPr>
            <xdr:cNvSpPr txBox="1"/>
          </xdr:nvSpPr>
          <xdr:spPr>
            <a:xfrm>
              <a:off x="4953000" y="1"/>
              <a:ext cx="825500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pl-PL" sz="1100" b="0" i="1">
                        <a:latin typeface="Cambria Math" panose="02040503050406030204" pitchFamily="18" charset="0"/>
                      </a:rPr>
                      <m:t>𝑋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170DCFE9-7447-0561-1AB6-FF4463A69AFB}"/>
                </a:ext>
              </a:extLst>
            </xdr:cNvPr>
            <xdr:cNvSpPr txBox="1"/>
          </xdr:nvSpPr>
          <xdr:spPr>
            <a:xfrm>
              <a:off x="4953000" y="1"/>
              <a:ext cx="825500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𝑋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4</xdr:col>
      <xdr:colOff>0</xdr:colOff>
      <xdr:row>0</xdr:row>
      <xdr:rowOff>1</xdr:rowOff>
    </xdr:from>
    <xdr:ext cx="825500" cy="203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EF8554DC-6648-8934-43A6-73C5C066849C}"/>
                </a:ext>
              </a:extLst>
            </xdr:cNvPr>
            <xdr:cNvSpPr txBox="1"/>
          </xdr:nvSpPr>
          <xdr:spPr>
            <a:xfrm>
              <a:off x="3302000" y="1"/>
              <a:ext cx="825500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pl-PL" sz="1100" b="0" i="1">
                        <a:latin typeface="Cambria Math" panose="02040503050406030204" pitchFamily="18" charset="0"/>
                      </a:rPr>
                      <m:t>Y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EF8554DC-6648-8934-43A6-73C5C066849C}"/>
                </a:ext>
              </a:extLst>
            </xdr:cNvPr>
            <xdr:cNvSpPr txBox="1"/>
          </xdr:nvSpPr>
          <xdr:spPr>
            <a:xfrm>
              <a:off x="3302000" y="1"/>
              <a:ext cx="825500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Y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9</xdr:col>
      <xdr:colOff>0</xdr:colOff>
      <xdr:row>0</xdr:row>
      <xdr:rowOff>2</xdr:rowOff>
    </xdr:from>
    <xdr:ext cx="825500" cy="2031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A9C01607-C14A-E63B-12DE-8369BF90CA62}"/>
                </a:ext>
              </a:extLst>
            </xdr:cNvPr>
            <xdr:cNvSpPr txBox="1"/>
          </xdr:nvSpPr>
          <xdr:spPr>
            <a:xfrm>
              <a:off x="7429500" y="2"/>
              <a:ext cx="825500" cy="2031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</m:acc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A9C01607-C14A-E63B-12DE-8369BF90CA62}"/>
                </a:ext>
              </a:extLst>
            </xdr:cNvPr>
            <xdr:cNvSpPr txBox="1"/>
          </xdr:nvSpPr>
          <xdr:spPr>
            <a:xfrm>
              <a:off x="7429500" y="2"/>
              <a:ext cx="825500" cy="2031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𝑌 ̂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11</xdr:col>
      <xdr:colOff>0</xdr:colOff>
      <xdr:row>0</xdr:row>
      <xdr:rowOff>3</xdr:rowOff>
    </xdr:from>
    <xdr:ext cx="1028700" cy="2031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521964F-972E-19A9-1081-69A9BD43DE23}"/>
                </a:ext>
              </a:extLst>
            </xdr:cNvPr>
            <xdr:cNvSpPr txBox="1"/>
          </xdr:nvSpPr>
          <xdr:spPr>
            <a:xfrm>
              <a:off x="9080500" y="3"/>
              <a:ext cx="1028700" cy="2031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en-GB" sz="1100" i="1">
                        <a:latin typeface="Cambria Math" panose="02040503050406030204" pitchFamily="18" charset="0"/>
                      </a:rPr>
                      <m:t>𝑟</m:t>
                    </m:r>
                    <m:r>
                      <a:rPr lang="en-GB" sz="110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acc>
                              <m:accPr>
                                <m:chr m:val="̂"/>
                                <m:ctrlPr>
                                  <a:rPr lang="en-GB" sz="110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GB" sz="1100" i="1">
                                    <a:latin typeface="Cambria Math" panose="02040503050406030204" pitchFamily="18" charset="0"/>
                                  </a:rPr>
                                  <m:t>𝑌</m:t>
                                </m:r>
                              </m:e>
                            </m:acc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</m:d>
                      </m:e>
                      <m:sup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521964F-972E-19A9-1081-69A9BD43DE23}"/>
                </a:ext>
              </a:extLst>
            </xdr:cNvPr>
            <xdr:cNvSpPr txBox="1"/>
          </xdr:nvSpPr>
          <xdr:spPr>
            <a:xfrm>
              <a:off x="9080500" y="3"/>
              <a:ext cx="1028700" cy="2031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GB" sz="1100" i="0">
                  <a:latin typeface="Cambria Math" panose="02040503050406030204" pitchFamily="18" charset="0"/>
                </a:rPr>
                <a:t>𝑟=(𝑌 ̂−𝑌)^2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14</xdr:col>
      <xdr:colOff>0</xdr:colOff>
      <xdr:row>0</xdr:row>
      <xdr:rowOff>0</xdr:rowOff>
    </xdr:from>
    <xdr:ext cx="1041400" cy="20320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3B3AFE43-2EC6-FD24-3156-B40A11642B47}"/>
                </a:ext>
              </a:extLst>
            </xdr:cNvPr>
            <xdr:cNvSpPr txBox="1"/>
          </xdr:nvSpPr>
          <xdr:spPr>
            <a:xfrm>
              <a:off x="11760200" y="0"/>
              <a:ext cx="1041400" cy="2032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p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𝑇</m:t>
                        </m:r>
                      </m:sup>
                    </m:sSup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3B3AFE43-2EC6-FD24-3156-B40A11642B47}"/>
                </a:ext>
              </a:extLst>
            </xdr:cNvPr>
            <xdr:cNvSpPr txBox="1"/>
          </xdr:nvSpPr>
          <xdr:spPr>
            <a:xfrm>
              <a:off x="11760200" y="0"/>
              <a:ext cx="1041400" cy="2032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𝑋^𝑇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14</xdr:col>
      <xdr:colOff>1</xdr:colOff>
      <xdr:row>4</xdr:row>
      <xdr:rowOff>0</xdr:rowOff>
    </xdr:from>
    <xdr:ext cx="1041399" cy="203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48B9A3A7-A17A-FA76-E19E-43A5E148829F}"/>
                </a:ext>
              </a:extLst>
            </xdr:cNvPr>
            <xdr:cNvSpPr txBox="1"/>
          </xdr:nvSpPr>
          <xdr:spPr>
            <a:xfrm>
              <a:off x="11760201" y="812800"/>
              <a:ext cx="1041399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p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𝑇</m:t>
                        </m:r>
                      </m:sup>
                    </m:sSup>
                    <m:r>
                      <a:rPr lang="pl-PL" sz="1100" b="0" i="1">
                        <a:latin typeface="Cambria Math" panose="02040503050406030204" pitchFamily="18" charset="0"/>
                      </a:rPr>
                      <m:t>𝑋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48B9A3A7-A17A-FA76-E19E-43A5E148829F}"/>
                </a:ext>
              </a:extLst>
            </xdr:cNvPr>
            <xdr:cNvSpPr txBox="1"/>
          </xdr:nvSpPr>
          <xdr:spPr>
            <a:xfrm>
              <a:off x="11760201" y="812800"/>
              <a:ext cx="1041399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pl-PL" sz="1100" b="0" i="0">
                  <a:latin typeface="Cambria Math" panose="02040503050406030204" pitchFamily="18" charset="0"/>
                </a:rPr>
                <a:t>𝑋^𝑇 𝑋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16</xdr:col>
      <xdr:colOff>0</xdr:colOff>
      <xdr:row>4</xdr:row>
      <xdr:rowOff>0</xdr:rowOff>
    </xdr:from>
    <xdr:ext cx="1041399" cy="20320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A34558B8-06D7-794C-99CB-11B1FA92BE6F}"/>
            </a:ext>
          </a:extLst>
        </xdr:cNvPr>
        <xdr:cNvSpPr txBox="1"/>
      </xdr:nvSpPr>
      <xdr:spPr>
        <a:xfrm>
          <a:off x="13627100" y="812800"/>
          <a:ext cx="1041399" cy="2032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endParaRPr lang="en-GB" sz="1100"/>
        </a:p>
      </xdr:txBody>
    </xdr:sp>
    <xdr:clientData/>
  </xdr:oneCellAnchor>
  <xdr:oneCellAnchor>
    <xdr:from>
      <xdr:col>17</xdr:col>
      <xdr:colOff>1</xdr:colOff>
      <xdr:row>4</xdr:row>
      <xdr:rowOff>0</xdr:rowOff>
    </xdr:from>
    <xdr:ext cx="825499" cy="1772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F8937557-AFE9-2B03-FA87-CF5CF4F74205}"/>
                </a:ext>
              </a:extLst>
            </xdr:cNvPr>
            <xdr:cNvSpPr txBox="1"/>
          </xdr:nvSpPr>
          <xdr:spPr>
            <a:xfrm>
              <a:off x="14554201" y="812800"/>
              <a:ext cx="825499" cy="1772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p>
                            </m:sSup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</m:d>
                      </m:e>
                      <m:sup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F8937557-AFE9-2B03-FA87-CF5CF4F74205}"/>
                </a:ext>
              </a:extLst>
            </xdr:cNvPr>
            <xdr:cNvSpPr txBox="1"/>
          </xdr:nvSpPr>
          <xdr:spPr>
            <a:xfrm>
              <a:off x="14554201" y="812800"/>
              <a:ext cx="825499" cy="1772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(𝑋^𝑇 𝑋)^(−1)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14</xdr:col>
      <xdr:colOff>0</xdr:colOff>
      <xdr:row>8</xdr:row>
      <xdr:rowOff>0</xdr:rowOff>
    </xdr:from>
    <xdr:ext cx="1041400" cy="1772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B29BC790-530C-655E-A418-552E785C9352}"/>
                </a:ext>
              </a:extLst>
            </xdr:cNvPr>
            <xdr:cNvSpPr txBox="1"/>
          </xdr:nvSpPr>
          <xdr:spPr>
            <a:xfrm>
              <a:off x="11760200" y="1625600"/>
              <a:ext cx="1041400" cy="1772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p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𝑇</m:t>
                        </m:r>
                      </m:sup>
                    </m:sSup>
                    <m:r>
                      <a:rPr lang="pl-PL" sz="1100" b="0" i="1">
                        <a:latin typeface="Cambria Math" panose="02040503050406030204" pitchFamily="18" charset="0"/>
                      </a:rPr>
                      <m:t>𝑌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B29BC790-530C-655E-A418-552E785C9352}"/>
                </a:ext>
              </a:extLst>
            </xdr:cNvPr>
            <xdr:cNvSpPr txBox="1"/>
          </xdr:nvSpPr>
          <xdr:spPr>
            <a:xfrm>
              <a:off x="11760200" y="1625600"/>
              <a:ext cx="1041400" cy="1772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𝑋^𝑇 𝑌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16</xdr:col>
      <xdr:colOff>0</xdr:colOff>
      <xdr:row>8</xdr:row>
      <xdr:rowOff>0</xdr:rowOff>
    </xdr:from>
    <xdr:ext cx="927100" cy="1772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9DB81528-2BC9-258E-0757-A3B5B985738F}"/>
                </a:ext>
              </a:extLst>
            </xdr:cNvPr>
            <xdr:cNvSpPr txBox="1"/>
          </xdr:nvSpPr>
          <xdr:spPr>
            <a:xfrm>
              <a:off x="13627100" y="1625600"/>
              <a:ext cx="927100" cy="1772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GB" sz="110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GB" sz="110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GB" sz="11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p>
                            </m:sSup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</m:d>
                      </m:e>
                      <m:sup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  <m:d>
                      <m:d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p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sup>
                        </m:sSup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</m:d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9DB81528-2BC9-258E-0757-A3B5B985738F}"/>
                </a:ext>
              </a:extLst>
            </xdr:cNvPr>
            <xdr:cNvSpPr txBox="1"/>
          </xdr:nvSpPr>
          <xdr:spPr>
            <a:xfrm>
              <a:off x="13627100" y="1625600"/>
              <a:ext cx="927100" cy="1772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/>
              <a:r>
                <a:rPr lang="en-GB" sz="1100" i="0">
                  <a:latin typeface="Cambria Math" panose="02040503050406030204" pitchFamily="18" charset="0"/>
                </a:rPr>
                <a:t>(𝑋^𝑇 𝑋)^(−1) (𝑋^𝑇 𝑌)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17</xdr:col>
      <xdr:colOff>0</xdr:colOff>
      <xdr:row>9</xdr:row>
      <xdr:rowOff>0</xdr:rowOff>
    </xdr:from>
    <xdr:ext cx="825500" cy="203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D6071C5F-A21B-B1DD-B987-A73EB3AA6206}"/>
                </a:ext>
              </a:extLst>
            </xdr:cNvPr>
            <xdr:cNvSpPr txBox="1"/>
          </xdr:nvSpPr>
          <xdr:spPr>
            <a:xfrm>
              <a:off x="14554200" y="1828800"/>
              <a:ext cx="825500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pl-PL" sz="1100" b="0" i="1">
                        <a:latin typeface="Cambria Math" panose="02040503050406030204" pitchFamily="18" charset="0"/>
                      </a:rPr>
                      <m:t>←</m:t>
                    </m:r>
                    <m:sSub>
                      <m:sSub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D6071C5F-A21B-B1DD-B987-A73EB3AA6206}"/>
                </a:ext>
              </a:extLst>
            </xdr:cNvPr>
            <xdr:cNvSpPr txBox="1"/>
          </xdr:nvSpPr>
          <xdr:spPr>
            <a:xfrm>
              <a:off x="14554200" y="1828800"/>
              <a:ext cx="825500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←𝛽_0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17</xdr:col>
      <xdr:colOff>0</xdr:colOff>
      <xdr:row>10</xdr:row>
      <xdr:rowOff>0</xdr:rowOff>
    </xdr:from>
    <xdr:ext cx="825500" cy="203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64EBE271-BAA4-4D5A-1505-46AF4AA2D08F}"/>
                </a:ext>
              </a:extLst>
            </xdr:cNvPr>
            <xdr:cNvSpPr txBox="1"/>
          </xdr:nvSpPr>
          <xdr:spPr>
            <a:xfrm>
              <a:off x="14554200" y="2032000"/>
              <a:ext cx="825500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pl-PL" sz="1100" b="0" i="1">
                        <a:latin typeface="Cambria Math" panose="02040503050406030204" pitchFamily="18" charset="0"/>
                      </a:rPr>
                      <m:t>←</m:t>
                    </m:r>
                    <m:sSub>
                      <m:sSub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64EBE271-BAA4-4D5A-1505-46AF4AA2D08F}"/>
                </a:ext>
              </a:extLst>
            </xdr:cNvPr>
            <xdr:cNvSpPr txBox="1"/>
          </xdr:nvSpPr>
          <xdr:spPr>
            <a:xfrm>
              <a:off x="14554200" y="2032000"/>
              <a:ext cx="825500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←𝛽_1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14</xdr:col>
      <xdr:colOff>0</xdr:colOff>
      <xdr:row>12</xdr:row>
      <xdr:rowOff>12700</xdr:rowOff>
    </xdr:from>
    <xdr:ext cx="1041400" cy="6096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FFB9734E-2A11-E064-C2AA-C083390A4533}"/>
                </a:ext>
              </a:extLst>
            </xdr:cNvPr>
            <xdr:cNvSpPr txBox="1"/>
          </xdr:nvSpPr>
          <xdr:spPr>
            <a:xfrm>
              <a:off x="11760200" y="2451100"/>
              <a:ext cx="1041400" cy="609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nary>
                      <m:naryPr>
                        <m:chr m:val="∑"/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𝑛</m:t>
                        </m:r>
                      </m:sup>
                      <m:e>
                        <m:sSub>
                          <m:sSubPr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FFB9734E-2A11-E064-C2AA-C083390A4533}"/>
                </a:ext>
              </a:extLst>
            </xdr:cNvPr>
            <xdr:cNvSpPr txBox="1"/>
          </xdr:nvSpPr>
          <xdr:spPr>
            <a:xfrm>
              <a:off x="11760200" y="2451100"/>
              <a:ext cx="1041400" cy="609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GB" sz="1100" i="0">
                  <a:latin typeface="Cambria Math" panose="02040503050406030204" pitchFamily="18" charset="0"/>
                </a:rPr>
                <a:t>∑24_(𝑡=1)^𝑛▒𝑟_𝑡 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16</xdr:col>
      <xdr:colOff>0</xdr:colOff>
      <xdr:row>12</xdr:row>
      <xdr:rowOff>12700</xdr:rowOff>
    </xdr:from>
    <xdr:ext cx="927100" cy="6096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0270360B-D002-06CE-A8D3-DDA05EA8834B}"/>
                </a:ext>
              </a:extLst>
            </xdr:cNvPr>
            <xdr:cNvSpPr txBox="1"/>
          </xdr:nvSpPr>
          <xdr:spPr>
            <a:xfrm>
              <a:off x="13627100" y="2451100"/>
              <a:ext cx="927100" cy="609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𝑛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−2</m:t>
                        </m:r>
                      </m:den>
                    </m:f>
                    <m:nary>
                      <m:naryPr>
                        <m:chr m:val="∑"/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p>
                      <m:e>
                        <m:sSub>
                          <m:sSub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0270360B-D002-06CE-A8D3-DDA05EA8834B}"/>
                </a:ext>
              </a:extLst>
            </xdr:cNvPr>
            <xdr:cNvSpPr txBox="1"/>
          </xdr:nvSpPr>
          <xdr:spPr>
            <a:xfrm>
              <a:off x="13627100" y="2451100"/>
              <a:ext cx="927100" cy="609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1/(𝑛−2) ∑24_(𝑡=1)^𝑛▒𝑟_𝑡 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14</xdr:col>
      <xdr:colOff>1</xdr:colOff>
      <xdr:row>17</xdr:row>
      <xdr:rowOff>0</xdr:rowOff>
    </xdr:from>
    <xdr:ext cx="1866899" cy="6096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B626CE8E-3814-8F19-0664-2D282DD6CC94}"/>
                </a:ext>
              </a:extLst>
            </xdr:cNvPr>
            <xdr:cNvSpPr txBox="1"/>
          </xdr:nvSpPr>
          <xdr:spPr>
            <a:xfrm>
              <a:off x="11760201" y="3454400"/>
              <a:ext cx="1866899" cy="609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f>
                      <m:f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𝑛</m:t>
                        </m:r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−2</m:t>
                        </m:r>
                      </m:den>
                    </m:f>
                    <m:nary>
                      <m:naryPr>
                        <m:chr m:val="∑"/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𝑛</m:t>
                        </m:r>
                      </m:sup>
                      <m:e>
                        <m:sSup>
                          <m:sSupPr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sSub>
                              <m:sSubPr>
                                <m:ctrlPr>
                                  <a:rPr lang="en-GB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GB" sz="1100" i="1">
                                    <a:latin typeface="Cambria Math" panose="02040503050406030204" pitchFamily="18" charset="0"/>
                                  </a:rPr>
                                  <m:t>𝑟</m:t>
                                </m:r>
                              </m:e>
                              <m:sub>
                                <m:r>
                                  <a:rPr lang="en-GB" sz="110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  <m:d>
                              <m:dPr>
                                <m:ctrlPr>
                                  <a:rPr lang="en-GB" sz="11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p>
                                  <m:sSupPr>
                                    <m:ctrlPr>
                                      <a:rPr lang="en-GB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GB" sz="110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  <m:sup>
                                    <m:r>
                                      <a:rPr lang="en-GB" sz="1100" i="1">
                                        <a:latin typeface="Cambria Math" panose="02040503050406030204" pitchFamily="18" charset="0"/>
                                      </a:rPr>
                                      <m:t>𝑇</m:t>
                                    </m:r>
                                  </m:sup>
                                </m:sSup>
                                <m:r>
                                  <a:rPr lang="en-GB" sz="110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</m:d>
                          </m:e>
                          <m:sup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</m:e>
                    </m:nary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B626CE8E-3814-8F19-0664-2D282DD6CC94}"/>
                </a:ext>
              </a:extLst>
            </xdr:cNvPr>
            <xdr:cNvSpPr txBox="1"/>
          </xdr:nvSpPr>
          <xdr:spPr>
            <a:xfrm>
              <a:off x="11760201" y="3454400"/>
              <a:ext cx="1866899" cy="609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GB" sz="1100" i="0">
                  <a:latin typeface="Cambria Math" panose="02040503050406030204" pitchFamily="18" charset="0"/>
                </a:rPr>
                <a:t>1/(𝑛−2) ∑24_(𝑡=1)^𝑛▒〖𝑟_𝑡 (𝑋^𝑇 𝑋)〗^(−1) 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14</xdr:col>
      <xdr:colOff>1</xdr:colOff>
      <xdr:row>23</xdr:row>
      <xdr:rowOff>1</xdr:rowOff>
    </xdr:from>
    <xdr:ext cx="1866900" cy="6096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FC602622-EC02-52E6-392C-7D81D28AD12B}"/>
                </a:ext>
              </a:extLst>
            </xdr:cNvPr>
            <xdr:cNvSpPr txBox="1"/>
          </xdr:nvSpPr>
          <xdr:spPr>
            <a:xfrm>
              <a:off x="11760201" y="4673601"/>
              <a:ext cx="1866900" cy="609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ad>
                      <m:radPr>
                        <m:degHide m:val="on"/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−2</m:t>
                            </m:r>
                          </m:den>
                        </m:f>
                        <m:nary>
                          <m:naryPr>
                            <m:chr m:val="∑"/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sup>
                          <m:e>
                            <m:sSup>
                              <m:sSupPr>
                                <m:ctrlPr>
                                  <a:rPr lang="en-GB" sz="110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GB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GB" sz="1100" i="1">
                                        <a:latin typeface="Cambria Math" panose="02040503050406030204" pitchFamily="18" charset="0"/>
                                      </a:rPr>
                                      <m:t>𝑟</m:t>
                                    </m:r>
                                  </m:e>
                                  <m:sub>
                                    <m:r>
                                      <a:rPr lang="en-GB" sz="110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  <m:d>
                                  <m:dPr>
                                    <m:ctrlPr>
                                      <a:rPr lang="en-GB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sSup>
                                      <m:sSupPr>
                                        <m:ctrlPr>
                                          <a:rPr lang="en-GB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pPr>
                                      <m:e>
                                        <m:r>
                                          <a:rPr lang="en-GB" sz="1100" i="1">
                                            <a:latin typeface="Cambria Math" panose="02040503050406030204" pitchFamily="18" charset="0"/>
                                          </a:rPr>
                                          <m:t>𝑋</m:t>
                                        </m:r>
                                      </m:e>
                                      <m:sup>
                                        <m:r>
                                          <a:rPr lang="en-GB" sz="1100" i="1">
                                            <a:latin typeface="Cambria Math" panose="02040503050406030204" pitchFamily="18" charset="0"/>
                                          </a:rPr>
                                          <m:t>𝑇</m:t>
                                        </m:r>
                                      </m:sup>
                                    </m:sSup>
                                    <m:r>
                                      <a:rPr lang="en-GB" sz="110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</m:d>
                              </m:e>
                              <m:sup>
                                <m:r>
                                  <a:rPr lang="en-GB" sz="1100" i="1">
                                    <a:latin typeface="Cambria Math" panose="02040503050406030204" pitchFamily="18" charset="0"/>
                                  </a:rPr>
                                  <m:t>−1</m:t>
                                </m:r>
                              </m:sup>
                            </m:sSup>
                          </m:e>
                        </m:nary>
                      </m:e>
                    </m:rad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FC602622-EC02-52E6-392C-7D81D28AD12B}"/>
                </a:ext>
              </a:extLst>
            </xdr:cNvPr>
            <xdr:cNvSpPr txBox="1"/>
          </xdr:nvSpPr>
          <xdr:spPr>
            <a:xfrm>
              <a:off x="11760201" y="4673601"/>
              <a:ext cx="1866900" cy="609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GB" sz="1100" i="0">
                  <a:latin typeface="Cambria Math" panose="02040503050406030204" pitchFamily="18" charset="0"/>
                </a:rPr>
                <a:t>√(1/(𝑛−2) ∑24_(𝑡=1)^𝑛▒〖𝑟_𝑡 (𝑋^𝑇 𝑋)〗^(−1) 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16</xdr:col>
      <xdr:colOff>1</xdr:colOff>
      <xdr:row>26</xdr:row>
      <xdr:rowOff>1</xdr:rowOff>
    </xdr:from>
    <xdr:ext cx="927099" cy="2130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74042911-7DE4-5879-B3D3-963440337AEF}"/>
                </a:ext>
              </a:extLst>
            </xdr:cNvPr>
            <xdr:cNvSpPr txBox="1"/>
          </xdr:nvSpPr>
          <xdr:spPr>
            <a:xfrm>
              <a:off x="13627101" y="5283201"/>
              <a:ext cx="927099" cy="2130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pl-PL" sz="1100" b="0" i="1">
                        <a:latin typeface="Cambria Math" panose="02040503050406030204" pitchFamily="18" charset="0"/>
                      </a:rPr>
                      <m:t>←</m:t>
                    </m:r>
                    <m:sSub>
                      <m:sSub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nor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SE</m:t>
                        </m:r>
                      </m:e>
                      <m:sub>
                        <m:sSub>
                          <m:sSub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𝛽</m:t>
                            </m:r>
                          </m:e>
                          <m:sub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74042911-7DE4-5879-B3D3-963440337AEF}"/>
                </a:ext>
              </a:extLst>
            </xdr:cNvPr>
            <xdr:cNvSpPr txBox="1"/>
          </xdr:nvSpPr>
          <xdr:spPr>
            <a:xfrm>
              <a:off x="13627101" y="5283201"/>
              <a:ext cx="927099" cy="2130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←〖"SE" 〗_(𝛽_0 )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16</xdr:col>
      <xdr:colOff>0</xdr:colOff>
      <xdr:row>27</xdr:row>
      <xdr:rowOff>0</xdr:rowOff>
    </xdr:from>
    <xdr:ext cx="927099" cy="2130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2421DA07-3F86-DF45-9D34-38270CB277EF}"/>
                </a:ext>
              </a:extLst>
            </xdr:cNvPr>
            <xdr:cNvSpPr txBox="1"/>
          </xdr:nvSpPr>
          <xdr:spPr>
            <a:xfrm>
              <a:off x="13627100" y="5486400"/>
              <a:ext cx="927099" cy="2130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pl-PL" sz="1100" b="0" i="1">
                        <a:latin typeface="Cambria Math" panose="02040503050406030204" pitchFamily="18" charset="0"/>
                      </a:rPr>
                      <m:t>←</m:t>
                    </m:r>
                    <m:sSub>
                      <m:sSub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nor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SE</m:t>
                        </m:r>
                      </m:e>
                      <m:sub>
                        <m:sSub>
                          <m:sSub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𝛽</m:t>
                            </m:r>
                          </m:e>
                          <m:sub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2421DA07-3F86-DF45-9D34-38270CB277EF}"/>
                </a:ext>
              </a:extLst>
            </xdr:cNvPr>
            <xdr:cNvSpPr txBox="1"/>
          </xdr:nvSpPr>
          <xdr:spPr>
            <a:xfrm>
              <a:off x="13627100" y="5486400"/>
              <a:ext cx="927099" cy="2130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←〖"SE" 〗_(𝛽_1 )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18</xdr:col>
      <xdr:colOff>0</xdr:colOff>
      <xdr:row>25</xdr:row>
      <xdr:rowOff>0</xdr:rowOff>
    </xdr:from>
    <xdr:ext cx="927100" cy="2159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CCFAC9BD-623A-46A1-5ABB-5EDEB1038C24}"/>
                </a:ext>
              </a:extLst>
            </xdr:cNvPr>
            <xdr:cNvSpPr txBox="1"/>
          </xdr:nvSpPr>
          <xdr:spPr>
            <a:xfrm>
              <a:off x="15379700" y="5092700"/>
              <a:ext cx="927100" cy="2159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pl-PL" sz="1100" b="0" i="1">
                        <a:latin typeface="Cambria Math" panose="02040503050406030204" pitchFamily="18" charset="0"/>
                      </a:rPr>
                      <m:t>𝑖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CCFAC9BD-623A-46A1-5ABB-5EDEB1038C24}"/>
                </a:ext>
              </a:extLst>
            </xdr:cNvPr>
            <xdr:cNvSpPr txBox="1"/>
          </xdr:nvSpPr>
          <xdr:spPr>
            <a:xfrm>
              <a:off x="15379700" y="5092700"/>
              <a:ext cx="927100" cy="2159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𝑖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19</xdr:col>
      <xdr:colOff>0</xdr:colOff>
      <xdr:row>25</xdr:row>
      <xdr:rowOff>0</xdr:rowOff>
    </xdr:from>
    <xdr:ext cx="850900" cy="2159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23024E28-9578-4B4F-BE14-97A97A3D1E10}"/>
                </a:ext>
              </a:extLst>
            </xdr:cNvPr>
            <xdr:cNvSpPr txBox="1"/>
          </xdr:nvSpPr>
          <xdr:spPr>
            <a:xfrm>
              <a:off x="16306800" y="5092700"/>
              <a:ext cx="850900" cy="2159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pl-PL" sz="1100" b="0"/>
            </a:p>
            <a:p>
              <a:endParaRPr lang="en-GB" sz="1100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23024E28-9578-4B4F-BE14-97A97A3D1E10}"/>
                </a:ext>
              </a:extLst>
            </xdr:cNvPr>
            <xdr:cNvSpPr txBox="1"/>
          </xdr:nvSpPr>
          <xdr:spPr>
            <a:xfrm>
              <a:off x="16306800" y="5092700"/>
              <a:ext cx="850900" cy="2159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𝛽_𝑖</a:t>
              </a:r>
              <a:endParaRPr lang="pl-PL" sz="1100" b="0"/>
            </a:p>
            <a:p>
              <a:pPr/>
              <a:endParaRPr lang="en-GB" sz="1100"/>
            </a:p>
          </xdr:txBody>
        </xdr:sp>
      </mc:Fallback>
    </mc:AlternateContent>
    <xdr:clientData/>
  </xdr:oneCellAnchor>
  <xdr:oneCellAnchor>
    <xdr:from>
      <xdr:col>21</xdr:col>
      <xdr:colOff>0</xdr:colOff>
      <xdr:row>25</xdr:row>
      <xdr:rowOff>0</xdr:rowOff>
    </xdr:from>
    <xdr:ext cx="825500" cy="2031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1375B10F-9A3E-9749-B7EC-B0991ABE8133}"/>
                </a:ext>
              </a:extLst>
            </xdr:cNvPr>
            <xdr:cNvSpPr txBox="1"/>
          </xdr:nvSpPr>
          <xdr:spPr>
            <a:xfrm>
              <a:off x="17983200" y="5092700"/>
              <a:ext cx="825500" cy="2031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m:rPr>
                            <m:nor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statistics</m:t>
                        </m:r>
                      </m:sub>
                    </m:sSub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1375B10F-9A3E-9749-B7EC-B0991ABE8133}"/>
                </a:ext>
              </a:extLst>
            </xdr:cNvPr>
            <xdr:cNvSpPr txBox="1"/>
          </xdr:nvSpPr>
          <xdr:spPr>
            <a:xfrm>
              <a:off x="17983200" y="5092700"/>
              <a:ext cx="825500" cy="2031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𝑡_"statistics" 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22</xdr:col>
      <xdr:colOff>0</xdr:colOff>
      <xdr:row>25</xdr:row>
      <xdr:rowOff>0</xdr:rowOff>
    </xdr:from>
    <xdr:ext cx="825500" cy="2031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0D3577A4-ABA7-DA49-836C-DDD4176F9AD8}"/>
                </a:ext>
              </a:extLst>
            </xdr:cNvPr>
            <xdr:cNvSpPr txBox="1"/>
          </xdr:nvSpPr>
          <xdr:spPr>
            <a:xfrm>
              <a:off x="18808700" y="5092700"/>
              <a:ext cx="825500" cy="2031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pl-PL" sz="1100" b="0" i="1">
                            <a:latin typeface="Cambria Math" panose="02040503050406030204" pitchFamily="18" charset="0"/>
                          </a:rPr>
                          <m:t>p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value</m:t>
                        </m:r>
                      </m:sub>
                    </m:sSub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0D3577A4-ABA7-DA49-836C-DDD4176F9AD8}"/>
                </a:ext>
              </a:extLst>
            </xdr:cNvPr>
            <xdr:cNvSpPr txBox="1"/>
          </xdr:nvSpPr>
          <xdr:spPr>
            <a:xfrm>
              <a:off x="18808700" y="5092700"/>
              <a:ext cx="825500" cy="2031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p_value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20</xdr:col>
      <xdr:colOff>0</xdr:colOff>
      <xdr:row>25</xdr:row>
      <xdr:rowOff>0</xdr:rowOff>
    </xdr:from>
    <xdr:ext cx="825500" cy="2159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6AF56D07-0FCD-052D-F46A-BDE5EED567FC}"/>
                </a:ext>
              </a:extLst>
            </xdr:cNvPr>
            <xdr:cNvSpPr txBox="1"/>
          </xdr:nvSpPr>
          <xdr:spPr>
            <a:xfrm>
              <a:off x="17157700" y="5092700"/>
              <a:ext cx="825500" cy="2159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nor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SE</m:t>
                        </m:r>
                      </m:e>
                      <m:sub>
                        <m:sSub>
                          <m:sSub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𝛽</m:t>
                            </m:r>
                          </m:e>
                          <m:sub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6AF56D07-0FCD-052D-F46A-BDE5EED567FC}"/>
                </a:ext>
              </a:extLst>
            </xdr:cNvPr>
            <xdr:cNvSpPr txBox="1"/>
          </xdr:nvSpPr>
          <xdr:spPr>
            <a:xfrm>
              <a:off x="17157700" y="5092700"/>
              <a:ext cx="825500" cy="2159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〖"SE" 〗_(𝛽_𝑖 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20</xdr:col>
      <xdr:colOff>0</xdr:colOff>
      <xdr:row>31</xdr:row>
      <xdr:rowOff>0</xdr:rowOff>
    </xdr:from>
    <xdr:ext cx="1651000" cy="2199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D35A877E-374D-38F7-830A-73F5D0F3B0F2}"/>
                </a:ext>
              </a:extLst>
            </xdr:cNvPr>
            <xdr:cNvSpPr txBox="1"/>
          </xdr:nvSpPr>
          <xdr:spPr>
            <a:xfrm>
              <a:off x="17157700" y="6324600"/>
              <a:ext cx="1651000" cy="2199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pl-PL" sz="11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pl-PL" sz="1100" b="0" i="1">
                        <a:latin typeface="Cambria Math" panose="02040503050406030204" pitchFamily="18" charset="0"/>
                      </a:rPr>
                      <m:t>𝑡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D35A877E-374D-38F7-830A-73F5D0F3B0F2}"/>
                </a:ext>
              </a:extLst>
            </xdr:cNvPr>
            <xdr:cNvSpPr txBox="1"/>
          </xdr:nvSpPr>
          <xdr:spPr>
            <a:xfrm>
              <a:off x="17157700" y="6324600"/>
              <a:ext cx="1651000" cy="2199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𝑦 ̂=𝛽_0+𝛽_1 𝑡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20</xdr:col>
      <xdr:colOff>1</xdr:colOff>
      <xdr:row>34</xdr:row>
      <xdr:rowOff>0</xdr:rowOff>
    </xdr:from>
    <xdr:ext cx="825499" cy="4064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257C35AC-F0D1-CB96-C864-F938C6B54D1A}"/>
                </a:ext>
              </a:extLst>
            </xdr:cNvPr>
            <xdr:cNvSpPr txBox="1"/>
          </xdr:nvSpPr>
          <xdr:spPr>
            <a:xfrm>
              <a:off x="17157701" y="6934200"/>
              <a:ext cx="825499" cy="406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𝜕</m:t>
                        </m:r>
                        <m:acc>
                          <m:accPr>
                            <m:chr m:val="̂"/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</m:acc>
                      </m:num>
                      <m:den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𝜕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den>
                    </m:f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pl-PL" sz="1100" b="0"/>
            </a:p>
          </xdr:txBody>
        </xdr:sp>
      </mc:Choice>
      <mc:Fallback xmlns="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257C35AC-F0D1-CB96-C864-F938C6B54D1A}"/>
                </a:ext>
              </a:extLst>
            </xdr:cNvPr>
            <xdr:cNvSpPr txBox="1"/>
          </xdr:nvSpPr>
          <xdr:spPr>
            <a:xfrm>
              <a:off x="17157701" y="6934200"/>
              <a:ext cx="825499" cy="406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(∂𝑦 ̂)/∂𝑡=𝛽_1</a:t>
              </a:r>
              <a:endParaRPr lang="pl-PL" sz="1100" b="0"/>
            </a:p>
          </xdr:txBody>
        </xdr:sp>
      </mc:Fallback>
    </mc:AlternateContent>
    <xdr:clientData/>
  </xdr:oneCellAnchor>
  <xdr:oneCellAnchor>
    <xdr:from>
      <xdr:col>20</xdr:col>
      <xdr:colOff>12701</xdr:colOff>
      <xdr:row>38</xdr:row>
      <xdr:rowOff>0</xdr:rowOff>
    </xdr:from>
    <xdr:ext cx="1638299" cy="6096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45D669BE-92F2-0630-6082-803AB9F50196}"/>
                </a:ext>
              </a:extLst>
            </xdr:cNvPr>
            <xdr:cNvSpPr txBox="1"/>
          </xdr:nvSpPr>
          <xdr:spPr>
            <a:xfrm>
              <a:off x="17170401" y="7747000"/>
              <a:ext cx="1638299" cy="609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f>
                      <m:f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acc>
                          <m:accPr>
                            <m:chr m:val="̂"/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</m:acc>
                      </m:den>
                    </m:f>
                    <m:r>
                      <a:rPr lang="en-GB" sz="1100" i="1">
                        <a:latin typeface="Cambria Math" panose="02040503050406030204" pitchFamily="18" charset="0"/>
                      </a:rPr>
                      <m:t>⋅</m:t>
                    </m:r>
                    <m:f>
                      <m:f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𝜕</m:t>
                        </m:r>
                        <m:acc>
                          <m:accPr>
                            <m:chr m:val="̂"/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</m:acc>
                      </m:num>
                      <m:den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𝜕</m:t>
                        </m:r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𝑡</m:t>
                        </m:r>
                      </m:den>
                    </m:f>
                    <m:r>
                      <a:rPr lang="en-GB" sz="11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𝛽</m:t>
                            </m:r>
                          </m:e>
                          <m:sub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num>
                      <m:den>
                        <m:r>
                          <m:rPr>
                            <m:nor/>
                          </m:rPr>
                          <a:rPr lang="en-GB" sz="1100" i="0">
                            <a:latin typeface="Cambria Math" panose="02040503050406030204" pitchFamily="18" charset="0"/>
                          </a:rPr>
                          <m:t>mean</m:t>
                        </m:r>
                        <m:d>
                          <m:dPr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acc>
                              <m:accPr>
                                <m:chr m:val="̂"/>
                                <m:ctrlPr>
                                  <a:rPr lang="en-GB" sz="110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GB" sz="110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</m:acc>
                          </m:e>
                        </m:d>
                      </m:den>
                    </m:f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45D669BE-92F2-0630-6082-803AB9F50196}"/>
                </a:ext>
              </a:extLst>
            </xdr:cNvPr>
            <xdr:cNvSpPr txBox="1"/>
          </xdr:nvSpPr>
          <xdr:spPr>
            <a:xfrm>
              <a:off x="17170401" y="7747000"/>
              <a:ext cx="1638299" cy="609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GB" sz="1100" i="0">
                  <a:latin typeface="Cambria Math" panose="02040503050406030204" pitchFamily="18" charset="0"/>
                </a:rPr>
                <a:t>1/𝑦 ̂ ⋅(𝜕𝑦 ̂)/𝜕𝑡=𝛽_1/"mean" (𝑦 ̂ ) 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23</xdr:col>
      <xdr:colOff>0</xdr:colOff>
      <xdr:row>25</xdr:row>
      <xdr:rowOff>190501</xdr:rowOff>
    </xdr:from>
    <xdr:ext cx="825500" cy="2257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DEBE4B71-0E06-B36E-9AA5-2AE52E31D683}"/>
                </a:ext>
              </a:extLst>
            </xdr:cNvPr>
            <xdr:cNvSpPr txBox="1"/>
          </xdr:nvSpPr>
          <xdr:spPr>
            <a:xfrm>
              <a:off x="19634200" y="5283201"/>
              <a:ext cx="825500" cy="2257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pl-PL" sz="1100" b="0" i="1">
                        <a:latin typeface="Cambria Math" panose="02040503050406030204" pitchFamily="18" charset="0"/>
                      </a:rPr>
                      <m:t>⟵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DEBE4B71-0E06-B36E-9AA5-2AE52E31D683}"/>
                </a:ext>
              </a:extLst>
            </xdr:cNvPr>
            <xdr:cNvSpPr txBox="1"/>
          </xdr:nvSpPr>
          <xdr:spPr>
            <a:xfrm>
              <a:off x="19634200" y="5283201"/>
              <a:ext cx="825500" cy="2257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⟵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23</xdr:col>
      <xdr:colOff>0</xdr:colOff>
      <xdr:row>27</xdr:row>
      <xdr:rowOff>0</xdr:rowOff>
    </xdr:from>
    <xdr:ext cx="825500" cy="2257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0828AD4B-A0D6-B548-B93A-946070637DF5}"/>
                </a:ext>
              </a:extLst>
            </xdr:cNvPr>
            <xdr:cNvSpPr txBox="1"/>
          </xdr:nvSpPr>
          <xdr:spPr>
            <a:xfrm>
              <a:off x="19634200" y="5499100"/>
              <a:ext cx="825500" cy="2257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pl-PL" sz="1100" b="0" i="1">
                        <a:latin typeface="Cambria Math" panose="02040503050406030204" pitchFamily="18" charset="0"/>
                      </a:rPr>
                      <m:t>⟵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0828AD4B-A0D6-B548-B93A-946070637DF5}"/>
                </a:ext>
              </a:extLst>
            </xdr:cNvPr>
            <xdr:cNvSpPr txBox="1"/>
          </xdr:nvSpPr>
          <xdr:spPr>
            <a:xfrm>
              <a:off x="19634200" y="5499100"/>
              <a:ext cx="825500" cy="2257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⟵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20</xdr:col>
      <xdr:colOff>0</xdr:colOff>
      <xdr:row>41</xdr:row>
      <xdr:rowOff>0</xdr:rowOff>
    </xdr:from>
    <xdr:ext cx="812799" cy="203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95B24813-EA74-484B-8F07-E01BE568229B}"/>
                </a:ext>
              </a:extLst>
            </xdr:cNvPr>
            <xdr:cNvSpPr txBox="1"/>
          </xdr:nvSpPr>
          <xdr:spPr>
            <a:xfrm>
              <a:off x="17157700" y="8356600"/>
              <a:ext cx="812799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acc>
                          <m:accPr>
                            <m:chr m:val="̂"/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</m:acc>
                      </m:sub>
                    </m:sSub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95B24813-EA74-484B-8F07-E01BE568229B}"/>
                </a:ext>
              </a:extLst>
            </xdr:cNvPr>
            <xdr:cNvSpPr txBox="1"/>
          </xdr:nvSpPr>
          <xdr:spPr>
            <a:xfrm>
              <a:off x="17157700" y="8356600"/>
              <a:ext cx="812799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𝑠_𝑦 ̂ </a:t>
              </a:r>
              <a:endParaRPr lang="en-GB" sz="1100"/>
            </a:p>
          </xdr:txBody>
        </xdr:sp>
      </mc:Fallback>
    </mc:AlternateContent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</xdr:colOff>
      <xdr:row>29</xdr:row>
      <xdr:rowOff>19050</xdr:rowOff>
    </xdr:from>
    <xdr:to>
      <xdr:col>22</xdr:col>
      <xdr:colOff>1</xdr:colOff>
      <xdr:row>43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18986B-7D91-2642-9AF9-32043C2417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13</xdr:col>
      <xdr:colOff>869950</xdr:colOff>
      <xdr:row>16</xdr:row>
      <xdr:rowOff>133350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4287D2-0265-8C4C-8DFB-A422BF951B4C}"/>
            </a:ext>
          </a:extLst>
        </xdr:cNvPr>
        <xdr:cNvSpPr txBox="1"/>
      </xdr:nvSpPr>
      <xdr:spPr>
        <a:xfrm>
          <a:off x="9950450" y="3384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13</xdr:col>
      <xdr:colOff>869950</xdr:colOff>
      <xdr:row>15</xdr:row>
      <xdr:rowOff>133350</xdr:rowOff>
    </xdr:from>
    <xdr:ext cx="1035050" cy="22288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D401C9B-C57E-AF4B-88DE-2B80D8EC4392}"/>
            </a:ext>
          </a:extLst>
        </xdr:cNvPr>
        <xdr:cNvSpPr txBox="1"/>
      </xdr:nvSpPr>
      <xdr:spPr>
        <a:xfrm>
          <a:off x="9950450" y="3181350"/>
          <a:ext cx="1035050" cy="2228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0</xdr:row>
      <xdr:rowOff>1</xdr:rowOff>
    </xdr:from>
    <xdr:ext cx="825500" cy="203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0F0147D-74E9-124D-BAE7-3ED64E8F1B3D}"/>
                </a:ext>
              </a:extLst>
            </xdr:cNvPr>
            <xdr:cNvSpPr txBox="1"/>
          </xdr:nvSpPr>
          <xdr:spPr>
            <a:xfrm>
              <a:off x="4953000" y="1"/>
              <a:ext cx="825500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pl-PL" sz="1100" b="0" i="1">
                        <a:latin typeface="Cambria Math" panose="02040503050406030204" pitchFamily="18" charset="0"/>
                      </a:rPr>
                      <m:t>𝑋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0F0147D-74E9-124D-BAE7-3ED64E8F1B3D}"/>
                </a:ext>
              </a:extLst>
            </xdr:cNvPr>
            <xdr:cNvSpPr txBox="1"/>
          </xdr:nvSpPr>
          <xdr:spPr>
            <a:xfrm>
              <a:off x="4953000" y="1"/>
              <a:ext cx="825500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𝑋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4</xdr:col>
      <xdr:colOff>0</xdr:colOff>
      <xdr:row>0</xdr:row>
      <xdr:rowOff>0</xdr:rowOff>
    </xdr:from>
    <xdr:ext cx="825500" cy="203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9E5EC789-693E-C443-BE29-D70CF4E4D553}"/>
                </a:ext>
              </a:extLst>
            </xdr:cNvPr>
            <xdr:cNvSpPr txBox="1"/>
          </xdr:nvSpPr>
          <xdr:spPr>
            <a:xfrm>
              <a:off x="3302000" y="0"/>
              <a:ext cx="825500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pl-PL" sz="1100" b="0" i="1">
                        <a:latin typeface="Cambria Math" panose="02040503050406030204" pitchFamily="18" charset="0"/>
                      </a:rPr>
                      <m:t>Y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9E5EC789-693E-C443-BE29-D70CF4E4D553}"/>
                </a:ext>
              </a:extLst>
            </xdr:cNvPr>
            <xdr:cNvSpPr txBox="1"/>
          </xdr:nvSpPr>
          <xdr:spPr>
            <a:xfrm>
              <a:off x="3302000" y="0"/>
              <a:ext cx="825500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Y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9</xdr:col>
      <xdr:colOff>0</xdr:colOff>
      <xdr:row>0</xdr:row>
      <xdr:rowOff>3</xdr:rowOff>
    </xdr:from>
    <xdr:ext cx="825500" cy="2031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925A8078-F9AA-2C4F-A724-7FB4B2F95DA0}"/>
                </a:ext>
              </a:extLst>
            </xdr:cNvPr>
            <xdr:cNvSpPr txBox="1"/>
          </xdr:nvSpPr>
          <xdr:spPr>
            <a:xfrm>
              <a:off x="7429500" y="3"/>
              <a:ext cx="825500" cy="2031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</m:acc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925A8078-F9AA-2C4F-A724-7FB4B2F95DA0}"/>
                </a:ext>
              </a:extLst>
            </xdr:cNvPr>
            <xdr:cNvSpPr txBox="1"/>
          </xdr:nvSpPr>
          <xdr:spPr>
            <a:xfrm>
              <a:off x="7429500" y="3"/>
              <a:ext cx="825500" cy="2031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𝑌 ̂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16</xdr:col>
      <xdr:colOff>0</xdr:colOff>
      <xdr:row>0</xdr:row>
      <xdr:rowOff>0</xdr:rowOff>
    </xdr:from>
    <xdr:ext cx="1041400" cy="20320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1B311873-FBC7-B74F-BAAE-7C9E81D20F42}"/>
                </a:ext>
              </a:extLst>
            </xdr:cNvPr>
            <xdr:cNvSpPr txBox="1"/>
          </xdr:nvSpPr>
          <xdr:spPr>
            <a:xfrm>
              <a:off x="11760200" y="0"/>
              <a:ext cx="1041400" cy="2032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p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𝑇</m:t>
                        </m:r>
                      </m:sup>
                    </m:sSup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1B311873-FBC7-B74F-BAAE-7C9E81D20F42}"/>
                </a:ext>
              </a:extLst>
            </xdr:cNvPr>
            <xdr:cNvSpPr txBox="1"/>
          </xdr:nvSpPr>
          <xdr:spPr>
            <a:xfrm>
              <a:off x="11760200" y="0"/>
              <a:ext cx="1041400" cy="2032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𝑋^𝑇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16</xdr:col>
      <xdr:colOff>1</xdr:colOff>
      <xdr:row>4</xdr:row>
      <xdr:rowOff>0</xdr:rowOff>
    </xdr:from>
    <xdr:ext cx="1041399" cy="203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3ED6330-4D87-524D-AC52-D46B926830C7}"/>
                </a:ext>
              </a:extLst>
            </xdr:cNvPr>
            <xdr:cNvSpPr txBox="1"/>
          </xdr:nvSpPr>
          <xdr:spPr>
            <a:xfrm>
              <a:off x="11760201" y="812800"/>
              <a:ext cx="1041399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p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𝑇</m:t>
                        </m:r>
                      </m:sup>
                    </m:sSup>
                    <m:r>
                      <a:rPr lang="pl-PL" sz="1100" b="0" i="1">
                        <a:latin typeface="Cambria Math" panose="02040503050406030204" pitchFamily="18" charset="0"/>
                      </a:rPr>
                      <m:t>𝑋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3ED6330-4D87-524D-AC52-D46B926830C7}"/>
                </a:ext>
              </a:extLst>
            </xdr:cNvPr>
            <xdr:cNvSpPr txBox="1"/>
          </xdr:nvSpPr>
          <xdr:spPr>
            <a:xfrm>
              <a:off x="11760201" y="812800"/>
              <a:ext cx="1041399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pl-PL" sz="1100" b="0" i="0">
                  <a:latin typeface="Cambria Math" panose="02040503050406030204" pitchFamily="18" charset="0"/>
                </a:rPr>
                <a:t>𝑋^𝑇 𝑋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18</xdr:col>
      <xdr:colOff>0</xdr:colOff>
      <xdr:row>4</xdr:row>
      <xdr:rowOff>0</xdr:rowOff>
    </xdr:from>
    <xdr:ext cx="1041399" cy="20320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47D5FE9-C72F-EB48-B728-FE94B6A51D79}"/>
            </a:ext>
          </a:extLst>
        </xdr:cNvPr>
        <xdr:cNvSpPr txBox="1"/>
      </xdr:nvSpPr>
      <xdr:spPr>
        <a:xfrm>
          <a:off x="13627100" y="812800"/>
          <a:ext cx="1041399" cy="2032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endParaRPr lang="en-GB" sz="1100"/>
        </a:p>
      </xdr:txBody>
    </xdr:sp>
    <xdr:clientData/>
  </xdr:oneCellAnchor>
  <xdr:oneCellAnchor>
    <xdr:from>
      <xdr:col>19</xdr:col>
      <xdr:colOff>1</xdr:colOff>
      <xdr:row>4</xdr:row>
      <xdr:rowOff>0</xdr:rowOff>
    </xdr:from>
    <xdr:ext cx="825499" cy="1772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C32C6E08-A7C1-CD46-9E56-9FC072738495}"/>
                </a:ext>
              </a:extLst>
            </xdr:cNvPr>
            <xdr:cNvSpPr txBox="1"/>
          </xdr:nvSpPr>
          <xdr:spPr>
            <a:xfrm>
              <a:off x="14554201" y="812800"/>
              <a:ext cx="825499" cy="1772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p>
                            </m:sSup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</m:d>
                      </m:e>
                      <m:sup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C32C6E08-A7C1-CD46-9E56-9FC072738495}"/>
                </a:ext>
              </a:extLst>
            </xdr:cNvPr>
            <xdr:cNvSpPr txBox="1"/>
          </xdr:nvSpPr>
          <xdr:spPr>
            <a:xfrm>
              <a:off x="14554201" y="812800"/>
              <a:ext cx="825499" cy="1772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(𝑋^𝑇 𝑋)^(−1)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16</xdr:col>
      <xdr:colOff>0</xdr:colOff>
      <xdr:row>8</xdr:row>
      <xdr:rowOff>0</xdr:rowOff>
    </xdr:from>
    <xdr:ext cx="1041400" cy="1772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714483C5-8F53-024A-A676-D1FF7F40A378}"/>
                </a:ext>
              </a:extLst>
            </xdr:cNvPr>
            <xdr:cNvSpPr txBox="1"/>
          </xdr:nvSpPr>
          <xdr:spPr>
            <a:xfrm>
              <a:off x="11760200" y="1625600"/>
              <a:ext cx="1041400" cy="1772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p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𝑇</m:t>
                        </m:r>
                      </m:sup>
                    </m:sSup>
                    <m:r>
                      <a:rPr lang="pl-PL" sz="1100" b="0" i="1">
                        <a:latin typeface="Cambria Math" panose="02040503050406030204" pitchFamily="18" charset="0"/>
                      </a:rPr>
                      <m:t>𝑌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714483C5-8F53-024A-A676-D1FF7F40A378}"/>
                </a:ext>
              </a:extLst>
            </xdr:cNvPr>
            <xdr:cNvSpPr txBox="1"/>
          </xdr:nvSpPr>
          <xdr:spPr>
            <a:xfrm>
              <a:off x="11760200" y="1625600"/>
              <a:ext cx="1041400" cy="1772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𝑋^𝑇 𝑌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18</xdr:col>
      <xdr:colOff>0</xdr:colOff>
      <xdr:row>8</xdr:row>
      <xdr:rowOff>0</xdr:rowOff>
    </xdr:from>
    <xdr:ext cx="927100" cy="1772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9822C94B-F863-FF4E-8865-4BB1A114F48C}"/>
                </a:ext>
              </a:extLst>
            </xdr:cNvPr>
            <xdr:cNvSpPr txBox="1"/>
          </xdr:nvSpPr>
          <xdr:spPr>
            <a:xfrm>
              <a:off x="13627100" y="1625600"/>
              <a:ext cx="927100" cy="1772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GB" sz="110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GB" sz="110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GB" sz="11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p>
                            </m:sSup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</m:d>
                      </m:e>
                      <m:sup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  <m:d>
                      <m:d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p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sup>
                        </m:sSup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</m:d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9822C94B-F863-FF4E-8865-4BB1A114F48C}"/>
                </a:ext>
              </a:extLst>
            </xdr:cNvPr>
            <xdr:cNvSpPr txBox="1"/>
          </xdr:nvSpPr>
          <xdr:spPr>
            <a:xfrm>
              <a:off x="13627100" y="1625600"/>
              <a:ext cx="927100" cy="1772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/>
              <a:r>
                <a:rPr lang="en-GB" sz="1100" i="0">
                  <a:latin typeface="Cambria Math" panose="02040503050406030204" pitchFamily="18" charset="0"/>
                </a:rPr>
                <a:t>(𝑋^𝑇 𝑋)^(−1) (𝑋^𝑇 𝑌)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19</xdr:col>
      <xdr:colOff>0</xdr:colOff>
      <xdr:row>9</xdr:row>
      <xdr:rowOff>0</xdr:rowOff>
    </xdr:from>
    <xdr:ext cx="825500" cy="203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E4EBD72D-D06C-CD40-A9A4-2D436030EC74}"/>
                </a:ext>
              </a:extLst>
            </xdr:cNvPr>
            <xdr:cNvSpPr txBox="1"/>
          </xdr:nvSpPr>
          <xdr:spPr>
            <a:xfrm>
              <a:off x="14554200" y="1828800"/>
              <a:ext cx="825500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pl-PL" sz="1100" b="0" i="1">
                        <a:latin typeface="Cambria Math" panose="02040503050406030204" pitchFamily="18" charset="0"/>
                      </a:rPr>
                      <m:t>←</m:t>
                    </m:r>
                    <m:sSub>
                      <m:sSub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E4EBD72D-D06C-CD40-A9A4-2D436030EC74}"/>
                </a:ext>
              </a:extLst>
            </xdr:cNvPr>
            <xdr:cNvSpPr txBox="1"/>
          </xdr:nvSpPr>
          <xdr:spPr>
            <a:xfrm>
              <a:off x="14554200" y="1828800"/>
              <a:ext cx="825500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←𝛽_0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19</xdr:col>
      <xdr:colOff>0</xdr:colOff>
      <xdr:row>10</xdr:row>
      <xdr:rowOff>0</xdr:rowOff>
    </xdr:from>
    <xdr:ext cx="825500" cy="203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DF007760-62AB-5B48-81FA-9F521E5E18F6}"/>
                </a:ext>
              </a:extLst>
            </xdr:cNvPr>
            <xdr:cNvSpPr txBox="1"/>
          </xdr:nvSpPr>
          <xdr:spPr>
            <a:xfrm>
              <a:off x="14554200" y="2032000"/>
              <a:ext cx="825500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pl-PL" sz="1100" b="0" i="1">
                        <a:latin typeface="Cambria Math" panose="02040503050406030204" pitchFamily="18" charset="0"/>
                      </a:rPr>
                      <m:t>←</m:t>
                    </m:r>
                    <m:sSub>
                      <m:sSub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DF007760-62AB-5B48-81FA-9F521E5E18F6}"/>
                </a:ext>
              </a:extLst>
            </xdr:cNvPr>
            <xdr:cNvSpPr txBox="1"/>
          </xdr:nvSpPr>
          <xdr:spPr>
            <a:xfrm>
              <a:off x="14554200" y="2032000"/>
              <a:ext cx="825500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←𝛽_1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16</xdr:col>
      <xdr:colOff>0</xdr:colOff>
      <xdr:row>12</xdr:row>
      <xdr:rowOff>12700</xdr:rowOff>
    </xdr:from>
    <xdr:ext cx="1041400" cy="6096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0444502E-E79F-874B-87AC-78F7857ABB45}"/>
                </a:ext>
              </a:extLst>
            </xdr:cNvPr>
            <xdr:cNvSpPr txBox="1"/>
          </xdr:nvSpPr>
          <xdr:spPr>
            <a:xfrm>
              <a:off x="11760200" y="2451100"/>
              <a:ext cx="1041400" cy="609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nary>
                      <m:naryPr>
                        <m:chr m:val="∑"/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𝑛</m:t>
                        </m:r>
                      </m:sup>
                      <m:e>
                        <m:sSub>
                          <m:sSubPr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0444502E-E79F-874B-87AC-78F7857ABB45}"/>
                </a:ext>
              </a:extLst>
            </xdr:cNvPr>
            <xdr:cNvSpPr txBox="1"/>
          </xdr:nvSpPr>
          <xdr:spPr>
            <a:xfrm>
              <a:off x="11760200" y="2451100"/>
              <a:ext cx="1041400" cy="609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GB" sz="1100" i="0">
                  <a:latin typeface="Cambria Math" panose="02040503050406030204" pitchFamily="18" charset="0"/>
                </a:rPr>
                <a:t>∑24_(𝑡=1)^𝑛▒𝑟_𝑡 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18</xdr:col>
      <xdr:colOff>0</xdr:colOff>
      <xdr:row>12</xdr:row>
      <xdr:rowOff>12700</xdr:rowOff>
    </xdr:from>
    <xdr:ext cx="927100" cy="6096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F9E4C36E-40AB-3649-A828-5C05A2B3DCBD}"/>
                </a:ext>
              </a:extLst>
            </xdr:cNvPr>
            <xdr:cNvSpPr txBox="1"/>
          </xdr:nvSpPr>
          <xdr:spPr>
            <a:xfrm>
              <a:off x="13627100" y="2451100"/>
              <a:ext cx="927100" cy="609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𝑛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−2</m:t>
                        </m:r>
                      </m:den>
                    </m:f>
                    <m:nary>
                      <m:naryPr>
                        <m:chr m:val="∑"/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p>
                      <m:e>
                        <m:sSub>
                          <m:sSub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F9E4C36E-40AB-3649-A828-5C05A2B3DCBD}"/>
                </a:ext>
              </a:extLst>
            </xdr:cNvPr>
            <xdr:cNvSpPr txBox="1"/>
          </xdr:nvSpPr>
          <xdr:spPr>
            <a:xfrm>
              <a:off x="13627100" y="2451100"/>
              <a:ext cx="927100" cy="609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1/(𝑛−2) ∑24_(𝑡=1)^𝑛▒𝑟_𝑡 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16</xdr:col>
      <xdr:colOff>1</xdr:colOff>
      <xdr:row>17</xdr:row>
      <xdr:rowOff>0</xdr:rowOff>
    </xdr:from>
    <xdr:ext cx="1866899" cy="6096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A00D84CC-4671-534E-907C-1C921070FD32}"/>
                </a:ext>
              </a:extLst>
            </xdr:cNvPr>
            <xdr:cNvSpPr txBox="1"/>
          </xdr:nvSpPr>
          <xdr:spPr>
            <a:xfrm>
              <a:off x="11760201" y="3454400"/>
              <a:ext cx="1866899" cy="609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f>
                      <m:f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𝑛</m:t>
                        </m:r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−2</m:t>
                        </m:r>
                      </m:den>
                    </m:f>
                    <m:nary>
                      <m:naryPr>
                        <m:chr m:val="∑"/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𝑛</m:t>
                        </m:r>
                      </m:sup>
                      <m:e>
                        <m:sSup>
                          <m:sSupPr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sSub>
                              <m:sSubPr>
                                <m:ctrlPr>
                                  <a:rPr lang="en-GB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GB" sz="1100" i="1">
                                    <a:latin typeface="Cambria Math" panose="02040503050406030204" pitchFamily="18" charset="0"/>
                                  </a:rPr>
                                  <m:t>𝑟</m:t>
                                </m:r>
                              </m:e>
                              <m:sub>
                                <m:r>
                                  <a:rPr lang="en-GB" sz="110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  <m:d>
                              <m:dPr>
                                <m:ctrlPr>
                                  <a:rPr lang="en-GB" sz="11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p>
                                  <m:sSupPr>
                                    <m:ctrlPr>
                                      <a:rPr lang="en-GB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GB" sz="110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  <m:sup>
                                    <m:r>
                                      <a:rPr lang="en-GB" sz="1100" i="1">
                                        <a:latin typeface="Cambria Math" panose="02040503050406030204" pitchFamily="18" charset="0"/>
                                      </a:rPr>
                                      <m:t>𝑇</m:t>
                                    </m:r>
                                  </m:sup>
                                </m:sSup>
                                <m:r>
                                  <a:rPr lang="en-GB" sz="110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</m:d>
                          </m:e>
                          <m:sup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</m:e>
                    </m:nary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A00D84CC-4671-534E-907C-1C921070FD32}"/>
                </a:ext>
              </a:extLst>
            </xdr:cNvPr>
            <xdr:cNvSpPr txBox="1"/>
          </xdr:nvSpPr>
          <xdr:spPr>
            <a:xfrm>
              <a:off x="11760201" y="3454400"/>
              <a:ext cx="1866899" cy="609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GB" sz="1100" i="0">
                  <a:latin typeface="Cambria Math" panose="02040503050406030204" pitchFamily="18" charset="0"/>
                </a:rPr>
                <a:t>1/(𝑛−2) ∑24_(𝑡=1)^𝑛▒〖𝑟_𝑡 (𝑋^𝑇 𝑋)〗^(−1) 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16</xdr:col>
      <xdr:colOff>1</xdr:colOff>
      <xdr:row>23</xdr:row>
      <xdr:rowOff>1</xdr:rowOff>
    </xdr:from>
    <xdr:ext cx="1866900" cy="6096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1A1EEA2F-0CA9-D440-A2C7-15173D90DEB6}"/>
                </a:ext>
              </a:extLst>
            </xdr:cNvPr>
            <xdr:cNvSpPr txBox="1"/>
          </xdr:nvSpPr>
          <xdr:spPr>
            <a:xfrm>
              <a:off x="11760201" y="4673601"/>
              <a:ext cx="1866900" cy="609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ad>
                      <m:radPr>
                        <m:degHide m:val="on"/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−2</m:t>
                            </m:r>
                          </m:den>
                        </m:f>
                        <m:nary>
                          <m:naryPr>
                            <m:chr m:val="∑"/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sup>
                          <m:e>
                            <m:sSup>
                              <m:sSupPr>
                                <m:ctrlPr>
                                  <a:rPr lang="en-GB" sz="110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GB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GB" sz="1100" i="1">
                                        <a:latin typeface="Cambria Math" panose="02040503050406030204" pitchFamily="18" charset="0"/>
                                      </a:rPr>
                                      <m:t>𝑟</m:t>
                                    </m:r>
                                  </m:e>
                                  <m:sub>
                                    <m:r>
                                      <a:rPr lang="en-GB" sz="110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  <m:d>
                                  <m:dPr>
                                    <m:ctrlPr>
                                      <a:rPr lang="en-GB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sSup>
                                      <m:sSupPr>
                                        <m:ctrlPr>
                                          <a:rPr lang="en-GB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pPr>
                                      <m:e>
                                        <m:r>
                                          <a:rPr lang="en-GB" sz="1100" i="1">
                                            <a:latin typeface="Cambria Math" panose="02040503050406030204" pitchFamily="18" charset="0"/>
                                          </a:rPr>
                                          <m:t>𝑋</m:t>
                                        </m:r>
                                      </m:e>
                                      <m:sup>
                                        <m:r>
                                          <a:rPr lang="en-GB" sz="1100" i="1">
                                            <a:latin typeface="Cambria Math" panose="02040503050406030204" pitchFamily="18" charset="0"/>
                                          </a:rPr>
                                          <m:t>𝑇</m:t>
                                        </m:r>
                                      </m:sup>
                                    </m:sSup>
                                    <m:r>
                                      <a:rPr lang="en-GB" sz="110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</m:d>
                              </m:e>
                              <m:sup>
                                <m:r>
                                  <a:rPr lang="en-GB" sz="1100" i="1">
                                    <a:latin typeface="Cambria Math" panose="02040503050406030204" pitchFamily="18" charset="0"/>
                                  </a:rPr>
                                  <m:t>−1</m:t>
                                </m:r>
                              </m:sup>
                            </m:sSup>
                          </m:e>
                        </m:nary>
                      </m:e>
                    </m:rad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1A1EEA2F-0CA9-D440-A2C7-15173D90DEB6}"/>
                </a:ext>
              </a:extLst>
            </xdr:cNvPr>
            <xdr:cNvSpPr txBox="1"/>
          </xdr:nvSpPr>
          <xdr:spPr>
            <a:xfrm>
              <a:off x="11760201" y="4673601"/>
              <a:ext cx="1866900" cy="609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GB" sz="1100" i="0">
                  <a:latin typeface="Cambria Math" panose="02040503050406030204" pitchFamily="18" charset="0"/>
                </a:rPr>
                <a:t>√(1/(𝑛−2) ∑24_(𝑡=1)^𝑛▒〖𝑟_𝑡 (𝑋^𝑇 𝑋)〗^(−1) 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18</xdr:col>
      <xdr:colOff>1</xdr:colOff>
      <xdr:row>26</xdr:row>
      <xdr:rowOff>1</xdr:rowOff>
    </xdr:from>
    <xdr:ext cx="927099" cy="2130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559E4922-C94A-F544-8EFE-633DB21B8ACB}"/>
                </a:ext>
              </a:extLst>
            </xdr:cNvPr>
            <xdr:cNvSpPr txBox="1"/>
          </xdr:nvSpPr>
          <xdr:spPr>
            <a:xfrm>
              <a:off x="13627101" y="5295901"/>
              <a:ext cx="927099" cy="2130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pl-PL" sz="1100" b="0" i="1">
                        <a:latin typeface="Cambria Math" panose="02040503050406030204" pitchFamily="18" charset="0"/>
                      </a:rPr>
                      <m:t>←</m:t>
                    </m:r>
                    <m:sSub>
                      <m:sSub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nor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SE</m:t>
                        </m:r>
                      </m:e>
                      <m:sub>
                        <m:sSub>
                          <m:sSub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𝛽</m:t>
                            </m:r>
                          </m:e>
                          <m:sub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559E4922-C94A-F544-8EFE-633DB21B8ACB}"/>
                </a:ext>
              </a:extLst>
            </xdr:cNvPr>
            <xdr:cNvSpPr txBox="1"/>
          </xdr:nvSpPr>
          <xdr:spPr>
            <a:xfrm>
              <a:off x="13627101" y="5295901"/>
              <a:ext cx="927099" cy="2130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←〖"SE" 〗_(𝛽_0 )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18</xdr:col>
      <xdr:colOff>0</xdr:colOff>
      <xdr:row>27</xdr:row>
      <xdr:rowOff>0</xdr:rowOff>
    </xdr:from>
    <xdr:ext cx="927099" cy="2130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D14B00E4-787C-354A-A740-77B8CF72F9A5}"/>
                </a:ext>
              </a:extLst>
            </xdr:cNvPr>
            <xdr:cNvSpPr txBox="1"/>
          </xdr:nvSpPr>
          <xdr:spPr>
            <a:xfrm>
              <a:off x="13627100" y="5499100"/>
              <a:ext cx="927099" cy="2130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pl-PL" sz="1100" b="0" i="1">
                        <a:latin typeface="Cambria Math" panose="02040503050406030204" pitchFamily="18" charset="0"/>
                      </a:rPr>
                      <m:t>←</m:t>
                    </m:r>
                    <m:sSub>
                      <m:sSub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nor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SE</m:t>
                        </m:r>
                      </m:e>
                      <m:sub>
                        <m:sSub>
                          <m:sSub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𝛽</m:t>
                            </m:r>
                          </m:e>
                          <m:sub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D14B00E4-787C-354A-A740-77B8CF72F9A5}"/>
                </a:ext>
              </a:extLst>
            </xdr:cNvPr>
            <xdr:cNvSpPr txBox="1"/>
          </xdr:nvSpPr>
          <xdr:spPr>
            <a:xfrm>
              <a:off x="13627100" y="5499100"/>
              <a:ext cx="927099" cy="2130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←〖"SE" 〗_(𝛽_1 )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20</xdr:col>
      <xdr:colOff>0</xdr:colOff>
      <xdr:row>25</xdr:row>
      <xdr:rowOff>0</xdr:rowOff>
    </xdr:from>
    <xdr:ext cx="927100" cy="2159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935CDD2E-C67D-6340-B3DF-46561C5B9A82}"/>
                </a:ext>
              </a:extLst>
            </xdr:cNvPr>
            <xdr:cNvSpPr txBox="1"/>
          </xdr:nvSpPr>
          <xdr:spPr>
            <a:xfrm>
              <a:off x="15379700" y="5092700"/>
              <a:ext cx="927100" cy="2159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pl-PL" sz="1100" b="0" i="1">
                        <a:latin typeface="Cambria Math" panose="02040503050406030204" pitchFamily="18" charset="0"/>
                      </a:rPr>
                      <m:t>𝑖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935CDD2E-C67D-6340-B3DF-46561C5B9A82}"/>
                </a:ext>
              </a:extLst>
            </xdr:cNvPr>
            <xdr:cNvSpPr txBox="1"/>
          </xdr:nvSpPr>
          <xdr:spPr>
            <a:xfrm>
              <a:off x="15379700" y="5092700"/>
              <a:ext cx="927100" cy="2159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𝑖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21</xdr:col>
      <xdr:colOff>0</xdr:colOff>
      <xdr:row>25</xdr:row>
      <xdr:rowOff>0</xdr:rowOff>
    </xdr:from>
    <xdr:ext cx="850900" cy="2159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E2811A40-0092-D740-901E-91D4C1C047F3}"/>
                </a:ext>
              </a:extLst>
            </xdr:cNvPr>
            <xdr:cNvSpPr txBox="1"/>
          </xdr:nvSpPr>
          <xdr:spPr>
            <a:xfrm>
              <a:off x="16306800" y="5092700"/>
              <a:ext cx="850900" cy="2159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pl-PL" sz="1100" b="0"/>
            </a:p>
            <a:p>
              <a:endParaRPr lang="en-GB" sz="1100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E2811A40-0092-D740-901E-91D4C1C047F3}"/>
                </a:ext>
              </a:extLst>
            </xdr:cNvPr>
            <xdr:cNvSpPr txBox="1"/>
          </xdr:nvSpPr>
          <xdr:spPr>
            <a:xfrm>
              <a:off x="16306800" y="5092700"/>
              <a:ext cx="850900" cy="2159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𝛽_𝑖</a:t>
              </a:r>
              <a:endParaRPr lang="pl-PL" sz="1100" b="0"/>
            </a:p>
            <a:p>
              <a:pPr/>
              <a:endParaRPr lang="en-GB" sz="1100"/>
            </a:p>
          </xdr:txBody>
        </xdr:sp>
      </mc:Fallback>
    </mc:AlternateContent>
    <xdr:clientData/>
  </xdr:oneCellAnchor>
  <xdr:oneCellAnchor>
    <xdr:from>
      <xdr:col>23</xdr:col>
      <xdr:colOff>0</xdr:colOff>
      <xdr:row>25</xdr:row>
      <xdr:rowOff>0</xdr:rowOff>
    </xdr:from>
    <xdr:ext cx="825500" cy="2031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81E87EB3-EA73-0349-A06A-E692513E6A40}"/>
                </a:ext>
              </a:extLst>
            </xdr:cNvPr>
            <xdr:cNvSpPr txBox="1"/>
          </xdr:nvSpPr>
          <xdr:spPr>
            <a:xfrm>
              <a:off x="17983200" y="5092700"/>
              <a:ext cx="825500" cy="2031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m:rPr>
                            <m:nor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statistics</m:t>
                        </m:r>
                      </m:sub>
                    </m:sSub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81E87EB3-EA73-0349-A06A-E692513E6A40}"/>
                </a:ext>
              </a:extLst>
            </xdr:cNvPr>
            <xdr:cNvSpPr txBox="1"/>
          </xdr:nvSpPr>
          <xdr:spPr>
            <a:xfrm>
              <a:off x="17983200" y="5092700"/>
              <a:ext cx="825500" cy="2031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𝑡_"statistics" 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24</xdr:col>
      <xdr:colOff>0</xdr:colOff>
      <xdr:row>25</xdr:row>
      <xdr:rowOff>0</xdr:rowOff>
    </xdr:from>
    <xdr:ext cx="825500" cy="2031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458ACF76-529B-4243-A3C9-D0C0E0D34B1E}"/>
                </a:ext>
              </a:extLst>
            </xdr:cNvPr>
            <xdr:cNvSpPr txBox="1"/>
          </xdr:nvSpPr>
          <xdr:spPr>
            <a:xfrm>
              <a:off x="18808700" y="5092700"/>
              <a:ext cx="825500" cy="2031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pl-PL" sz="1100" b="0" i="1">
                            <a:latin typeface="Cambria Math" panose="02040503050406030204" pitchFamily="18" charset="0"/>
                          </a:rPr>
                          <m:t>p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value</m:t>
                        </m:r>
                      </m:sub>
                    </m:sSub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458ACF76-529B-4243-A3C9-D0C0E0D34B1E}"/>
                </a:ext>
              </a:extLst>
            </xdr:cNvPr>
            <xdr:cNvSpPr txBox="1"/>
          </xdr:nvSpPr>
          <xdr:spPr>
            <a:xfrm>
              <a:off x="18808700" y="5092700"/>
              <a:ext cx="825500" cy="2031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p_value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22</xdr:col>
      <xdr:colOff>0</xdr:colOff>
      <xdr:row>25</xdr:row>
      <xdr:rowOff>0</xdr:rowOff>
    </xdr:from>
    <xdr:ext cx="825500" cy="2159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FEFEA7F8-5F2D-7146-BD12-E627A3D3C1CB}"/>
                </a:ext>
              </a:extLst>
            </xdr:cNvPr>
            <xdr:cNvSpPr txBox="1"/>
          </xdr:nvSpPr>
          <xdr:spPr>
            <a:xfrm>
              <a:off x="17157700" y="5092700"/>
              <a:ext cx="825500" cy="2159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nor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SE</m:t>
                        </m:r>
                      </m:e>
                      <m:sub>
                        <m:sSub>
                          <m:sSub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𝛽</m:t>
                            </m:r>
                          </m:e>
                          <m:sub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FEFEA7F8-5F2D-7146-BD12-E627A3D3C1CB}"/>
                </a:ext>
              </a:extLst>
            </xdr:cNvPr>
            <xdr:cNvSpPr txBox="1"/>
          </xdr:nvSpPr>
          <xdr:spPr>
            <a:xfrm>
              <a:off x="17157700" y="5092700"/>
              <a:ext cx="825500" cy="2159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〖"SE" 〗_(𝛽_𝑖 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25</xdr:col>
      <xdr:colOff>0</xdr:colOff>
      <xdr:row>25</xdr:row>
      <xdr:rowOff>190501</xdr:rowOff>
    </xdr:from>
    <xdr:ext cx="825500" cy="2257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E432A93C-B076-8A47-895D-C54D209B0B01}"/>
                </a:ext>
              </a:extLst>
            </xdr:cNvPr>
            <xdr:cNvSpPr txBox="1"/>
          </xdr:nvSpPr>
          <xdr:spPr>
            <a:xfrm>
              <a:off x="19634200" y="5283201"/>
              <a:ext cx="825500" cy="2257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pl-PL" sz="1100" b="0" i="1">
                        <a:latin typeface="Cambria Math" panose="02040503050406030204" pitchFamily="18" charset="0"/>
                      </a:rPr>
                      <m:t>⟵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E432A93C-B076-8A47-895D-C54D209B0B01}"/>
                </a:ext>
              </a:extLst>
            </xdr:cNvPr>
            <xdr:cNvSpPr txBox="1"/>
          </xdr:nvSpPr>
          <xdr:spPr>
            <a:xfrm>
              <a:off x="19634200" y="5283201"/>
              <a:ext cx="825500" cy="2257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⟵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25</xdr:col>
      <xdr:colOff>0</xdr:colOff>
      <xdr:row>27</xdr:row>
      <xdr:rowOff>0</xdr:rowOff>
    </xdr:from>
    <xdr:ext cx="825500" cy="2257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B681664D-A04D-1C45-B649-951FFD5ADA25}"/>
                </a:ext>
              </a:extLst>
            </xdr:cNvPr>
            <xdr:cNvSpPr txBox="1"/>
          </xdr:nvSpPr>
          <xdr:spPr>
            <a:xfrm>
              <a:off x="19634200" y="5499100"/>
              <a:ext cx="825500" cy="2257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pl-PL" sz="1100" b="0" i="1">
                        <a:latin typeface="Cambria Math" panose="02040503050406030204" pitchFamily="18" charset="0"/>
                      </a:rPr>
                      <m:t>⟵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B681664D-A04D-1C45-B649-951FFD5ADA25}"/>
                </a:ext>
              </a:extLst>
            </xdr:cNvPr>
            <xdr:cNvSpPr txBox="1"/>
          </xdr:nvSpPr>
          <xdr:spPr>
            <a:xfrm>
              <a:off x="19634200" y="5499100"/>
              <a:ext cx="825500" cy="2257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⟵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11</xdr:col>
      <xdr:colOff>0</xdr:colOff>
      <xdr:row>0</xdr:row>
      <xdr:rowOff>0</xdr:rowOff>
    </xdr:from>
    <xdr:ext cx="825500" cy="2031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9168F2C2-1834-A747-B359-4B0D5ADCAB14}"/>
                </a:ext>
              </a:extLst>
            </xdr:cNvPr>
            <xdr:cNvSpPr txBox="1"/>
          </xdr:nvSpPr>
          <xdr:spPr>
            <a:xfrm>
              <a:off x="9080500" y="0"/>
              <a:ext cx="825500" cy="2031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func>
                      <m:func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ln</m:t>
                        </m:r>
                      </m:fName>
                      <m:e>
                        <m:d>
                          <m:d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acc>
                              <m:accPr>
                                <m:chr m:val="̂"/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𝑌</m:t>
                                </m:r>
                              </m:e>
                            </m:acc>
                          </m:e>
                        </m:d>
                      </m:e>
                    </m:func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9168F2C2-1834-A747-B359-4B0D5ADCAB14}"/>
                </a:ext>
              </a:extLst>
            </xdr:cNvPr>
            <xdr:cNvSpPr txBox="1"/>
          </xdr:nvSpPr>
          <xdr:spPr>
            <a:xfrm>
              <a:off x="9080500" y="0"/>
              <a:ext cx="825500" cy="2031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ln⁡(𝑌 ̂ 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13</xdr:col>
      <xdr:colOff>0</xdr:colOff>
      <xdr:row>0</xdr:row>
      <xdr:rowOff>8652</xdr:rowOff>
    </xdr:from>
    <xdr:ext cx="1028700" cy="19454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E6D4F172-D3D9-D0C1-C342-8B9466E46EB3}"/>
                </a:ext>
              </a:extLst>
            </xdr:cNvPr>
            <xdr:cNvSpPr txBox="1"/>
          </xdr:nvSpPr>
          <xdr:spPr>
            <a:xfrm>
              <a:off x="10731500" y="8652"/>
              <a:ext cx="1028700" cy="19454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pl-PL" sz="1100" b="0" i="1">
                        <a:latin typeface="Cambria Math" panose="02040503050406030204" pitchFamily="18" charset="0"/>
                      </a:rPr>
                      <m:t>𝑟</m:t>
                    </m:r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unc>
                              <m:funcPr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funcPr>
                              <m:fName>
                                <m:r>
                                  <m:rPr>
                                    <m:sty m:val="p"/>
                                  </m:rPr>
                                  <a:rPr lang="pl-PL" sz="1100" b="0" i="0">
                                    <a:latin typeface="Cambria Math" panose="02040503050406030204" pitchFamily="18" charset="0"/>
                                  </a:rPr>
                                  <m:t>ln</m:t>
                                </m:r>
                              </m:fName>
                              <m:e>
                                <m:d>
                                  <m:dPr>
                                    <m:ctrlP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acc>
                                      <m:accPr>
                                        <m:chr m:val="̂"/>
                                        <m:ctrlPr>
                                          <a:rPr lang="pl-PL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accPr>
                                      <m:e>
                                        <m:r>
                                          <a:rPr lang="pl-PL" sz="1100" b="0" i="1">
                                            <a:latin typeface="Cambria Math" panose="02040503050406030204" pitchFamily="18" charset="0"/>
                                          </a:rPr>
                                          <m:t>𝑌</m:t>
                                        </m:r>
                                      </m:e>
                                    </m:acc>
                                  </m:e>
                                </m:d>
                              </m:e>
                            </m:func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</m:d>
                      </m:e>
                      <m:sup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E6D4F172-D3D9-D0C1-C342-8B9466E46EB3}"/>
                </a:ext>
              </a:extLst>
            </xdr:cNvPr>
            <xdr:cNvSpPr txBox="1"/>
          </xdr:nvSpPr>
          <xdr:spPr>
            <a:xfrm>
              <a:off x="10731500" y="8652"/>
              <a:ext cx="1028700" cy="19454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𝑟=(ln⁡(𝑌 ̂ )−𝑌)^2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22</xdr:col>
      <xdr:colOff>12701</xdr:colOff>
      <xdr:row>31</xdr:row>
      <xdr:rowOff>0</xdr:rowOff>
    </xdr:from>
    <xdr:ext cx="1638299" cy="203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BA41A33A-79DF-4A5E-3FC3-58C43552065E}"/>
                </a:ext>
              </a:extLst>
            </xdr:cNvPr>
            <xdr:cNvSpPr txBox="1"/>
          </xdr:nvSpPr>
          <xdr:spPr>
            <a:xfrm>
              <a:off x="18821401" y="6324600"/>
              <a:ext cx="1638299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sSub>
                          <m:sSub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𝛽</m:t>
                            </m:r>
                          </m:e>
                          <m:sub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sup>
                    </m:sSup>
                    <m:sSup>
                      <m:sSup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p>
                        <m:sSub>
                          <m:sSub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𝛽</m:t>
                            </m:r>
                          </m:e>
                          <m:sub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sup>
                    </m:sSup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BA41A33A-79DF-4A5E-3FC3-58C43552065E}"/>
                </a:ext>
              </a:extLst>
            </xdr:cNvPr>
            <xdr:cNvSpPr txBox="1"/>
          </xdr:nvSpPr>
          <xdr:spPr>
            <a:xfrm>
              <a:off x="18821401" y="6324600"/>
              <a:ext cx="1638299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𝑦 ̂=𝑒^(𝛽_0 ) 𝑡^(𝛽_1 )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22</xdr:col>
      <xdr:colOff>0</xdr:colOff>
      <xdr:row>34</xdr:row>
      <xdr:rowOff>0</xdr:rowOff>
    </xdr:from>
    <xdr:ext cx="1651000" cy="4064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A03F2D23-7389-256A-1A0A-F82929367078}"/>
                </a:ext>
              </a:extLst>
            </xdr:cNvPr>
            <xdr:cNvSpPr txBox="1"/>
          </xdr:nvSpPr>
          <xdr:spPr>
            <a:xfrm>
              <a:off x="18808700" y="6934200"/>
              <a:ext cx="1651000" cy="406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f>
                      <m:f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𝜕</m:t>
                        </m:r>
                        <m:acc>
                          <m:accPr>
                            <m:chr m:val="̂"/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</m:acc>
                      </m:num>
                      <m:den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𝜕</m:t>
                        </m:r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𝑡</m:t>
                        </m:r>
                      </m:den>
                    </m:f>
                    <m:r>
                      <a:rPr lang="en-GB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sSup>
                      <m:sSup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sSub>
                          <m:sSubPr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𝛽</m:t>
                            </m:r>
                          </m:e>
                          <m:sub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sup>
                    </m:sSup>
                    <m:sSup>
                      <m:sSup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m:rPr>
                                <m:nor/>
                              </m:rPr>
                              <a:rPr lang="en-GB" sz="1100" i="0">
                                <a:latin typeface="Cambria Math" panose="02040503050406030204" pitchFamily="18" charset="0"/>
                              </a:rPr>
                              <m:t>mean</m:t>
                            </m:r>
                            <m:d>
                              <m:dPr>
                                <m:ctrlPr>
                                  <a:rPr lang="en-GB" sz="11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GB" sz="110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e>
                            </m:d>
                          </m:e>
                        </m:d>
                      </m:e>
                      <m:sup>
                        <m:sSub>
                          <m:sSubPr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𝛽</m:t>
                            </m:r>
                          </m:e>
                          <m:sub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A03F2D23-7389-256A-1A0A-F82929367078}"/>
                </a:ext>
              </a:extLst>
            </xdr:cNvPr>
            <xdr:cNvSpPr txBox="1"/>
          </xdr:nvSpPr>
          <xdr:spPr>
            <a:xfrm>
              <a:off x="18808700" y="6934200"/>
              <a:ext cx="1651000" cy="406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GB" sz="1100" i="0">
                  <a:latin typeface="Cambria Math" panose="02040503050406030204" pitchFamily="18" charset="0"/>
                </a:rPr>
                <a:t>(𝜕𝑦 ̂)/𝜕𝑡=𝛽_1 𝑒^(𝛽_0 ) ["mean" (𝑡)]^(𝛽_1−1)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22</xdr:col>
      <xdr:colOff>12701</xdr:colOff>
      <xdr:row>42</xdr:row>
      <xdr:rowOff>1</xdr:rowOff>
    </xdr:from>
    <xdr:ext cx="812799" cy="203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A1BC8B49-25EC-11FA-1150-BCCB71349053}"/>
                </a:ext>
              </a:extLst>
            </xdr:cNvPr>
            <xdr:cNvSpPr txBox="1"/>
          </xdr:nvSpPr>
          <xdr:spPr>
            <a:xfrm>
              <a:off x="18821401" y="8559801"/>
              <a:ext cx="812799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acc>
                          <m:accPr>
                            <m:chr m:val="̂"/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</m:acc>
                      </m:sub>
                    </m:sSub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A1BC8B49-25EC-11FA-1150-BCCB71349053}"/>
                </a:ext>
              </a:extLst>
            </xdr:cNvPr>
            <xdr:cNvSpPr txBox="1"/>
          </xdr:nvSpPr>
          <xdr:spPr>
            <a:xfrm>
              <a:off x="18821401" y="8559801"/>
              <a:ext cx="812799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𝑠_𝑦 ̂ 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22</xdr:col>
      <xdr:colOff>1</xdr:colOff>
      <xdr:row>38</xdr:row>
      <xdr:rowOff>41409</xdr:rowOff>
    </xdr:from>
    <xdr:ext cx="2476500" cy="3511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8F4A93BE-9F27-A0E3-5DE5-EB1C64566808}"/>
                </a:ext>
              </a:extLst>
            </xdr:cNvPr>
            <xdr:cNvSpPr txBox="1"/>
          </xdr:nvSpPr>
          <xdr:spPr>
            <a:xfrm>
              <a:off x="18808701" y="7788409"/>
              <a:ext cx="2476500" cy="3511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f>
                      <m:f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acc>
                          <m:accPr>
                            <m:chr m:val="̂"/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</m:acc>
                      </m:den>
                    </m:f>
                    <m:r>
                      <a:rPr lang="en-GB" sz="1100" i="1">
                        <a:latin typeface="Cambria Math" panose="02040503050406030204" pitchFamily="18" charset="0"/>
                      </a:rPr>
                      <m:t>⋅</m:t>
                    </m:r>
                    <m:f>
                      <m:f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𝜕</m:t>
                        </m:r>
                        <m:acc>
                          <m:accPr>
                            <m:chr m:val="̂"/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</m:acc>
                      </m:num>
                      <m:den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𝜕</m:t>
                        </m:r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𝑡</m:t>
                        </m:r>
                      </m:den>
                    </m:f>
                    <m:r>
                      <a:rPr lang="en-GB" sz="11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m:rPr>
                            <m:nor/>
                          </m:rPr>
                          <a:rPr lang="en-GB" sz="1100" i="0">
                            <a:latin typeface="Cambria Math" panose="02040503050406030204" pitchFamily="18" charset="0"/>
                          </a:rPr>
                          <m:t>mean</m:t>
                        </m:r>
                        <m:d>
                          <m:dPr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acc>
                              <m:accPr>
                                <m:chr m:val="̂"/>
                                <m:ctrlPr>
                                  <a:rPr lang="en-GB" sz="110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GB" sz="110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</m:acc>
                          </m:e>
                        </m:d>
                      </m:den>
                    </m:f>
                    <m:sSub>
                      <m:sSub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sSup>
                      <m:sSup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sSub>
                          <m:sSubPr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𝛽</m:t>
                            </m:r>
                          </m:e>
                          <m:sub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sup>
                    </m:sSup>
                    <m:sSup>
                      <m:sSup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m:rPr>
                                <m:nor/>
                              </m:rPr>
                              <a:rPr lang="en-GB" sz="1100" i="0">
                                <a:latin typeface="Cambria Math" panose="02040503050406030204" pitchFamily="18" charset="0"/>
                              </a:rPr>
                              <m:t>mean</m:t>
                            </m:r>
                            <m:d>
                              <m:dPr>
                                <m:ctrlPr>
                                  <a:rPr lang="en-GB" sz="11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GB" sz="110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e>
                            </m:d>
                          </m:e>
                        </m:d>
                      </m:e>
                      <m:sup>
                        <m:sSub>
                          <m:sSubPr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𝛽</m:t>
                            </m:r>
                          </m:e>
                          <m:sub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8F4A93BE-9F27-A0E3-5DE5-EB1C64566808}"/>
                </a:ext>
              </a:extLst>
            </xdr:cNvPr>
            <xdr:cNvSpPr txBox="1"/>
          </xdr:nvSpPr>
          <xdr:spPr>
            <a:xfrm>
              <a:off x="18808701" y="7788409"/>
              <a:ext cx="2476500" cy="3511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/>
              <a:r>
                <a:rPr lang="en-GB" sz="1100" i="0">
                  <a:latin typeface="Cambria Math" panose="02040503050406030204" pitchFamily="18" charset="0"/>
                </a:rPr>
                <a:t>1/𝑦 ̂ ⋅(𝜕𝑦 ̂)/𝜕𝑡=1/"mean" (𝑦 ̂ )  𝛽_1 𝑒^(𝛽_0 ) ["mean" (𝑡)]^(𝛽_1−1)</a:t>
              </a:r>
              <a:endParaRPr lang="en-GB" sz="1100"/>
            </a:p>
          </xdr:txBody>
        </xdr:sp>
      </mc:Fallback>
    </mc:AlternateContent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</xdr:colOff>
      <xdr:row>29</xdr:row>
      <xdr:rowOff>19050</xdr:rowOff>
    </xdr:from>
    <xdr:to>
      <xdr:col>22</xdr:col>
      <xdr:colOff>1</xdr:colOff>
      <xdr:row>43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01FE5C-E0FB-B948-ABB2-E5AAE4301A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13</xdr:col>
      <xdr:colOff>869950</xdr:colOff>
      <xdr:row>16</xdr:row>
      <xdr:rowOff>133350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E1798F2-7EB3-894E-9551-D1F9736982EE}"/>
            </a:ext>
          </a:extLst>
        </xdr:cNvPr>
        <xdr:cNvSpPr txBox="1"/>
      </xdr:nvSpPr>
      <xdr:spPr>
        <a:xfrm>
          <a:off x="11601450" y="3384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13</xdr:col>
      <xdr:colOff>869950</xdr:colOff>
      <xdr:row>15</xdr:row>
      <xdr:rowOff>133350</xdr:rowOff>
    </xdr:from>
    <xdr:ext cx="1035050" cy="22288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F5FA32-F568-1443-B1F5-508C26A24D84}"/>
            </a:ext>
          </a:extLst>
        </xdr:cNvPr>
        <xdr:cNvSpPr txBox="1"/>
      </xdr:nvSpPr>
      <xdr:spPr>
        <a:xfrm>
          <a:off x="11601450" y="3181350"/>
          <a:ext cx="1035050" cy="2228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0</xdr:row>
      <xdr:rowOff>1</xdr:rowOff>
    </xdr:from>
    <xdr:ext cx="825500" cy="203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A2E9C64-2A58-5043-A32C-E6D1C3DFAB76}"/>
                </a:ext>
              </a:extLst>
            </xdr:cNvPr>
            <xdr:cNvSpPr txBox="1"/>
          </xdr:nvSpPr>
          <xdr:spPr>
            <a:xfrm>
              <a:off x="4953000" y="1"/>
              <a:ext cx="825500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pl-PL" sz="1100" b="0" i="1">
                        <a:latin typeface="Cambria Math" panose="02040503050406030204" pitchFamily="18" charset="0"/>
                      </a:rPr>
                      <m:t>𝑋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A2E9C64-2A58-5043-A32C-E6D1C3DFAB76}"/>
                </a:ext>
              </a:extLst>
            </xdr:cNvPr>
            <xdr:cNvSpPr txBox="1"/>
          </xdr:nvSpPr>
          <xdr:spPr>
            <a:xfrm>
              <a:off x="4953000" y="1"/>
              <a:ext cx="825500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𝑋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4</xdr:col>
      <xdr:colOff>0</xdr:colOff>
      <xdr:row>0</xdr:row>
      <xdr:rowOff>0</xdr:rowOff>
    </xdr:from>
    <xdr:ext cx="825500" cy="203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67FAE06E-9936-D943-AA27-297FEDC587BB}"/>
                </a:ext>
              </a:extLst>
            </xdr:cNvPr>
            <xdr:cNvSpPr txBox="1"/>
          </xdr:nvSpPr>
          <xdr:spPr>
            <a:xfrm>
              <a:off x="3302000" y="0"/>
              <a:ext cx="825500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pl-PL" sz="1100" b="0" i="1">
                        <a:latin typeface="Cambria Math" panose="02040503050406030204" pitchFamily="18" charset="0"/>
                      </a:rPr>
                      <m:t>Y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67FAE06E-9936-D943-AA27-297FEDC587BB}"/>
                </a:ext>
              </a:extLst>
            </xdr:cNvPr>
            <xdr:cNvSpPr txBox="1"/>
          </xdr:nvSpPr>
          <xdr:spPr>
            <a:xfrm>
              <a:off x="3302000" y="0"/>
              <a:ext cx="825500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Y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9</xdr:col>
      <xdr:colOff>0</xdr:colOff>
      <xdr:row>0</xdr:row>
      <xdr:rowOff>8652</xdr:rowOff>
    </xdr:from>
    <xdr:ext cx="825500" cy="2031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9AE44AD-5A22-BD4C-9C09-BF39B703F6EE}"/>
                </a:ext>
              </a:extLst>
            </xdr:cNvPr>
            <xdr:cNvSpPr txBox="1"/>
          </xdr:nvSpPr>
          <xdr:spPr>
            <a:xfrm>
              <a:off x="7429500" y="8652"/>
              <a:ext cx="825500" cy="2031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</m:acc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9AE44AD-5A22-BD4C-9C09-BF39B703F6EE}"/>
                </a:ext>
              </a:extLst>
            </xdr:cNvPr>
            <xdr:cNvSpPr txBox="1"/>
          </xdr:nvSpPr>
          <xdr:spPr>
            <a:xfrm>
              <a:off x="7429500" y="8652"/>
              <a:ext cx="825500" cy="2031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𝑌 ̂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16</xdr:col>
      <xdr:colOff>0</xdr:colOff>
      <xdr:row>0</xdr:row>
      <xdr:rowOff>0</xdr:rowOff>
    </xdr:from>
    <xdr:ext cx="1041400" cy="20320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19CA6EE2-F7AB-074A-B3DA-9B02B73DF0B9}"/>
                </a:ext>
              </a:extLst>
            </xdr:cNvPr>
            <xdr:cNvSpPr txBox="1"/>
          </xdr:nvSpPr>
          <xdr:spPr>
            <a:xfrm>
              <a:off x="13411200" y="0"/>
              <a:ext cx="1041400" cy="2032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p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𝑇</m:t>
                        </m:r>
                      </m:sup>
                    </m:sSup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19CA6EE2-F7AB-074A-B3DA-9B02B73DF0B9}"/>
                </a:ext>
              </a:extLst>
            </xdr:cNvPr>
            <xdr:cNvSpPr txBox="1"/>
          </xdr:nvSpPr>
          <xdr:spPr>
            <a:xfrm>
              <a:off x="13411200" y="0"/>
              <a:ext cx="1041400" cy="2032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𝑋^𝑇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16</xdr:col>
      <xdr:colOff>1</xdr:colOff>
      <xdr:row>4</xdr:row>
      <xdr:rowOff>0</xdr:rowOff>
    </xdr:from>
    <xdr:ext cx="1041399" cy="203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8FB79D9D-61A7-5C4B-9E55-3F2C27C328D4}"/>
                </a:ext>
              </a:extLst>
            </xdr:cNvPr>
            <xdr:cNvSpPr txBox="1"/>
          </xdr:nvSpPr>
          <xdr:spPr>
            <a:xfrm>
              <a:off x="13411201" y="812800"/>
              <a:ext cx="1041399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p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𝑇</m:t>
                        </m:r>
                      </m:sup>
                    </m:sSup>
                    <m:r>
                      <a:rPr lang="pl-PL" sz="1100" b="0" i="1">
                        <a:latin typeface="Cambria Math" panose="02040503050406030204" pitchFamily="18" charset="0"/>
                      </a:rPr>
                      <m:t>𝑋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8FB79D9D-61A7-5C4B-9E55-3F2C27C328D4}"/>
                </a:ext>
              </a:extLst>
            </xdr:cNvPr>
            <xdr:cNvSpPr txBox="1"/>
          </xdr:nvSpPr>
          <xdr:spPr>
            <a:xfrm>
              <a:off x="13411201" y="812800"/>
              <a:ext cx="1041399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pl-PL" sz="1100" b="0" i="0">
                  <a:latin typeface="Cambria Math" panose="02040503050406030204" pitchFamily="18" charset="0"/>
                </a:rPr>
                <a:t>𝑋^𝑇 𝑋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18</xdr:col>
      <xdr:colOff>0</xdr:colOff>
      <xdr:row>4</xdr:row>
      <xdr:rowOff>0</xdr:rowOff>
    </xdr:from>
    <xdr:ext cx="1041399" cy="20320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0EB6239-E037-2F4C-BDD7-9DD6EA807F29}"/>
            </a:ext>
          </a:extLst>
        </xdr:cNvPr>
        <xdr:cNvSpPr txBox="1"/>
      </xdr:nvSpPr>
      <xdr:spPr>
        <a:xfrm>
          <a:off x="15278100" y="812800"/>
          <a:ext cx="1041399" cy="2032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endParaRPr lang="en-GB" sz="1100"/>
        </a:p>
      </xdr:txBody>
    </xdr:sp>
    <xdr:clientData/>
  </xdr:oneCellAnchor>
  <xdr:oneCellAnchor>
    <xdr:from>
      <xdr:col>19</xdr:col>
      <xdr:colOff>1</xdr:colOff>
      <xdr:row>4</xdr:row>
      <xdr:rowOff>0</xdr:rowOff>
    </xdr:from>
    <xdr:ext cx="825499" cy="1772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4530E8F3-CB4D-484E-A548-B21CFE7C6999}"/>
                </a:ext>
              </a:extLst>
            </xdr:cNvPr>
            <xdr:cNvSpPr txBox="1"/>
          </xdr:nvSpPr>
          <xdr:spPr>
            <a:xfrm>
              <a:off x="16205201" y="812800"/>
              <a:ext cx="825499" cy="1772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p>
                            </m:sSup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</m:d>
                      </m:e>
                      <m:sup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4530E8F3-CB4D-484E-A548-B21CFE7C6999}"/>
                </a:ext>
              </a:extLst>
            </xdr:cNvPr>
            <xdr:cNvSpPr txBox="1"/>
          </xdr:nvSpPr>
          <xdr:spPr>
            <a:xfrm>
              <a:off x="16205201" y="812800"/>
              <a:ext cx="825499" cy="1772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(𝑋^𝑇 𝑋)^(−1)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16</xdr:col>
      <xdr:colOff>0</xdr:colOff>
      <xdr:row>8</xdr:row>
      <xdr:rowOff>0</xdr:rowOff>
    </xdr:from>
    <xdr:ext cx="1041400" cy="1772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4D3DF788-6744-5C4F-89F7-B96AA163424A}"/>
                </a:ext>
              </a:extLst>
            </xdr:cNvPr>
            <xdr:cNvSpPr txBox="1"/>
          </xdr:nvSpPr>
          <xdr:spPr>
            <a:xfrm>
              <a:off x="13411200" y="1625600"/>
              <a:ext cx="1041400" cy="1772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p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𝑇</m:t>
                        </m:r>
                      </m:sup>
                    </m:sSup>
                    <m:r>
                      <a:rPr lang="pl-PL" sz="1100" b="0" i="1">
                        <a:latin typeface="Cambria Math" panose="02040503050406030204" pitchFamily="18" charset="0"/>
                      </a:rPr>
                      <m:t>𝑌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4D3DF788-6744-5C4F-89F7-B96AA163424A}"/>
                </a:ext>
              </a:extLst>
            </xdr:cNvPr>
            <xdr:cNvSpPr txBox="1"/>
          </xdr:nvSpPr>
          <xdr:spPr>
            <a:xfrm>
              <a:off x="13411200" y="1625600"/>
              <a:ext cx="1041400" cy="1772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𝑋^𝑇 𝑌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18</xdr:col>
      <xdr:colOff>0</xdr:colOff>
      <xdr:row>8</xdr:row>
      <xdr:rowOff>0</xdr:rowOff>
    </xdr:from>
    <xdr:ext cx="927100" cy="1772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400C5FB6-D05C-3849-8BEE-34CDD4383DAE}"/>
                </a:ext>
              </a:extLst>
            </xdr:cNvPr>
            <xdr:cNvSpPr txBox="1"/>
          </xdr:nvSpPr>
          <xdr:spPr>
            <a:xfrm>
              <a:off x="15278100" y="1625600"/>
              <a:ext cx="927100" cy="1772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GB" sz="110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GB" sz="110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GB" sz="11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p>
                            </m:sSup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</m:d>
                      </m:e>
                      <m:sup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  <m:d>
                      <m:d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p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sup>
                        </m:sSup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</m:d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400C5FB6-D05C-3849-8BEE-34CDD4383DAE}"/>
                </a:ext>
              </a:extLst>
            </xdr:cNvPr>
            <xdr:cNvSpPr txBox="1"/>
          </xdr:nvSpPr>
          <xdr:spPr>
            <a:xfrm>
              <a:off x="15278100" y="1625600"/>
              <a:ext cx="927100" cy="1772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/>
              <a:r>
                <a:rPr lang="en-GB" sz="1100" i="0">
                  <a:latin typeface="Cambria Math" panose="02040503050406030204" pitchFamily="18" charset="0"/>
                </a:rPr>
                <a:t>(𝑋^𝑇 𝑋)^(−1) (𝑋^𝑇 𝑌)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19</xdr:col>
      <xdr:colOff>0</xdr:colOff>
      <xdr:row>9</xdr:row>
      <xdr:rowOff>0</xdr:rowOff>
    </xdr:from>
    <xdr:ext cx="825500" cy="203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059B155F-3F7E-C244-89D3-674A399B8917}"/>
                </a:ext>
              </a:extLst>
            </xdr:cNvPr>
            <xdr:cNvSpPr txBox="1"/>
          </xdr:nvSpPr>
          <xdr:spPr>
            <a:xfrm>
              <a:off x="16205200" y="1828800"/>
              <a:ext cx="825500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pl-PL" sz="1100" b="0" i="1">
                        <a:latin typeface="Cambria Math" panose="02040503050406030204" pitchFamily="18" charset="0"/>
                      </a:rPr>
                      <m:t>←</m:t>
                    </m:r>
                    <m:sSub>
                      <m:sSub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059B155F-3F7E-C244-89D3-674A399B8917}"/>
                </a:ext>
              </a:extLst>
            </xdr:cNvPr>
            <xdr:cNvSpPr txBox="1"/>
          </xdr:nvSpPr>
          <xdr:spPr>
            <a:xfrm>
              <a:off x="16205200" y="1828800"/>
              <a:ext cx="825500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←𝛽_0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19</xdr:col>
      <xdr:colOff>0</xdr:colOff>
      <xdr:row>10</xdr:row>
      <xdr:rowOff>0</xdr:rowOff>
    </xdr:from>
    <xdr:ext cx="825500" cy="203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C558A223-3966-D042-83FC-378B5259AEC0}"/>
                </a:ext>
              </a:extLst>
            </xdr:cNvPr>
            <xdr:cNvSpPr txBox="1"/>
          </xdr:nvSpPr>
          <xdr:spPr>
            <a:xfrm>
              <a:off x="16205200" y="2032000"/>
              <a:ext cx="825500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pl-PL" sz="1100" b="0" i="1">
                        <a:latin typeface="Cambria Math" panose="02040503050406030204" pitchFamily="18" charset="0"/>
                      </a:rPr>
                      <m:t>←</m:t>
                    </m:r>
                    <m:sSub>
                      <m:sSub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C558A223-3966-D042-83FC-378B5259AEC0}"/>
                </a:ext>
              </a:extLst>
            </xdr:cNvPr>
            <xdr:cNvSpPr txBox="1"/>
          </xdr:nvSpPr>
          <xdr:spPr>
            <a:xfrm>
              <a:off x="16205200" y="2032000"/>
              <a:ext cx="825500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←𝛽_1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16</xdr:col>
      <xdr:colOff>0</xdr:colOff>
      <xdr:row>12</xdr:row>
      <xdr:rowOff>12700</xdr:rowOff>
    </xdr:from>
    <xdr:ext cx="1041400" cy="6096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91866574-A3E3-D34B-91A8-16BB9E28380D}"/>
                </a:ext>
              </a:extLst>
            </xdr:cNvPr>
            <xdr:cNvSpPr txBox="1"/>
          </xdr:nvSpPr>
          <xdr:spPr>
            <a:xfrm>
              <a:off x="13411200" y="2451100"/>
              <a:ext cx="1041400" cy="609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nary>
                      <m:naryPr>
                        <m:chr m:val="∑"/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𝑛</m:t>
                        </m:r>
                      </m:sup>
                      <m:e>
                        <m:sSub>
                          <m:sSubPr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91866574-A3E3-D34B-91A8-16BB9E28380D}"/>
                </a:ext>
              </a:extLst>
            </xdr:cNvPr>
            <xdr:cNvSpPr txBox="1"/>
          </xdr:nvSpPr>
          <xdr:spPr>
            <a:xfrm>
              <a:off x="13411200" y="2451100"/>
              <a:ext cx="1041400" cy="609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GB" sz="1100" i="0">
                  <a:latin typeface="Cambria Math" panose="02040503050406030204" pitchFamily="18" charset="0"/>
                </a:rPr>
                <a:t>∑24_(𝑡=1)^𝑛▒𝑟_𝑡 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18</xdr:col>
      <xdr:colOff>0</xdr:colOff>
      <xdr:row>12</xdr:row>
      <xdr:rowOff>12700</xdr:rowOff>
    </xdr:from>
    <xdr:ext cx="927100" cy="6096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25C5AE7B-BFCA-8042-B62C-D6FA5459FA42}"/>
                </a:ext>
              </a:extLst>
            </xdr:cNvPr>
            <xdr:cNvSpPr txBox="1"/>
          </xdr:nvSpPr>
          <xdr:spPr>
            <a:xfrm>
              <a:off x="15278100" y="2451100"/>
              <a:ext cx="927100" cy="609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𝑛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−2</m:t>
                        </m:r>
                      </m:den>
                    </m:f>
                    <m:nary>
                      <m:naryPr>
                        <m:chr m:val="∑"/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p>
                      <m:e>
                        <m:sSub>
                          <m:sSub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25C5AE7B-BFCA-8042-B62C-D6FA5459FA42}"/>
                </a:ext>
              </a:extLst>
            </xdr:cNvPr>
            <xdr:cNvSpPr txBox="1"/>
          </xdr:nvSpPr>
          <xdr:spPr>
            <a:xfrm>
              <a:off x="15278100" y="2451100"/>
              <a:ext cx="927100" cy="609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1/(𝑛−2) ∑24_(𝑡=1)^𝑛▒𝑟_𝑡 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16</xdr:col>
      <xdr:colOff>1</xdr:colOff>
      <xdr:row>17</xdr:row>
      <xdr:rowOff>0</xdr:rowOff>
    </xdr:from>
    <xdr:ext cx="1866899" cy="6096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1AA49D94-525A-CB49-B66E-0E5601796D67}"/>
                </a:ext>
              </a:extLst>
            </xdr:cNvPr>
            <xdr:cNvSpPr txBox="1"/>
          </xdr:nvSpPr>
          <xdr:spPr>
            <a:xfrm>
              <a:off x="13411201" y="3454400"/>
              <a:ext cx="1866899" cy="609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f>
                      <m:f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𝑛</m:t>
                        </m:r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−2</m:t>
                        </m:r>
                      </m:den>
                    </m:f>
                    <m:nary>
                      <m:naryPr>
                        <m:chr m:val="∑"/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𝑛</m:t>
                        </m:r>
                      </m:sup>
                      <m:e>
                        <m:sSup>
                          <m:sSupPr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sSub>
                              <m:sSubPr>
                                <m:ctrlPr>
                                  <a:rPr lang="en-GB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GB" sz="1100" i="1">
                                    <a:latin typeface="Cambria Math" panose="02040503050406030204" pitchFamily="18" charset="0"/>
                                  </a:rPr>
                                  <m:t>𝑟</m:t>
                                </m:r>
                              </m:e>
                              <m:sub>
                                <m:r>
                                  <a:rPr lang="en-GB" sz="110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  <m:d>
                              <m:dPr>
                                <m:ctrlPr>
                                  <a:rPr lang="en-GB" sz="11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p>
                                  <m:sSupPr>
                                    <m:ctrlPr>
                                      <a:rPr lang="en-GB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GB" sz="110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  <m:sup>
                                    <m:r>
                                      <a:rPr lang="en-GB" sz="1100" i="1">
                                        <a:latin typeface="Cambria Math" panose="02040503050406030204" pitchFamily="18" charset="0"/>
                                      </a:rPr>
                                      <m:t>𝑇</m:t>
                                    </m:r>
                                  </m:sup>
                                </m:sSup>
                                <m:r>
                                  <a:rPr lang="en-GB" sz="110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</m:d>
                          </m:e>
                          <m:sup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</m:e>
                    </m:nary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1AA49D94-525A-CB49-B66E-0E5601796D67}"/>
                </a:ext>
              </a:extLst>
            </xdr:cNvPr>
            <xdr:cNvSpPr txBox="1"/>
          </xdr:nvSpPr>
          <xdr:spPr>
            <a:xfrm>
              <a:off x="13411201" y="3454400"/>
              <a:ext cx="1866899" cy="609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GB" sz="1100" i="0">
                  <a:latin typeface="Cambria Math" panose="02040503050406030204" pitchFamily="18" charset="0"/>
                </a:rPr>
                <a:t>1/(𝑛−2) ∑24_(𝑡=1)^𝑛▒〖𝑟_𝑡 (𝑋^𝑇 𝑋)〗^(−1) 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16</xdr:col>
      <xdr:colOff>1</xdr:colOff>
      <xdr:row>23</xdr:row>
      <xdr:rowOff>1</xdr:rowOff>
    </xdr:from>
    <xdr:ext cx="1866900" cy="6096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AE97BA8F-F3E4-2C49-BF06-BC02E45D983A}"/>
                </a:ext>
              </a:extLst>
            </xdr:cNvPr>
            <xdr:cNvSpPr txBox="1"/>
          </xdr:nvSpPr>
          <xdr:spPr>
            <a:xfrm>
              <a:off x="13411201" y="4673601"/>
              <a:ext cx="1866900" cy="609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ad>
                      <m:radPr>
                        <m:degHide m:val="on"/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−2</m:t>
                            </m:r>
                          </m:den>
                        </m:f>
                        <m:nary>
                          <m:naryPr>
                            <m:chr m:val="∑"/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sup>
                          <m:e>
                            <m:sSup>
                              <m:sSupPr>
                                <m:ctrlPr>
                                  <a:rPr lang="en-GB" sz="110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GB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GB" sz="1100" i="1">
                                        <a:latin typeface="Cambria Math" panose="02040503050406030204" pitchFamily="18" charset="0"/>
                                      </a:rPr>
                                      <m:t>𝑟</m:t>
                                    </m:r>
                                  </m:e>
                                  <m:sub>
                                    <m:r>
                                      <a:rPr lang="en-GB" sz="110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  <m:d>
                                  <m:dPr>
                                    <m:ctrlPr>
                                      <a:rPr lang="en-GB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sSup>
                                      <m:sSupPr>
                                        <m:ctrlPr>
                                          <a:rPr lang="en-GB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pPr>
                                      <m:e>
                                        <m:r>
                                          <a:rPr lang="en-GB" sz="1100" i="1">
                                            <a:latin typeface="Cambria Math" panose="02040503050406030204" pitchFamily="18" charset="0"/>
                                          </a:rPr>
                                          <m:t>𝑋</m:t>
                                        </m:r>
                                      </m:e>
                                      <m:sup>
                                        <m:r>
                                          <a:rPr lang="en-GB" sz="1100" i="1">
                                            <a:latin typeface="Cambria Math" panose="02040503050406030204" pitchFamily="18" charset="0"/>
                                          </a:rPr>
                                          <m:t>𝑇</m:t>
                                        </m:r>
                                      </m:sup>
                                    </m:sSup>
                                    <m:r>
                                      <a:rPr lang="en-GB" sz="110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</m:d>
                              </m:e>
                              <m:sup>
                                <m:r>
                                  <a:rPr lang="en-GB" sz="1100" i="1">
                                    <a:latin typeface="Cambria Math" panose="02040503050406030204" pitchFamily="18" charset="0"/>
                                  </a:rPr>
                                  <m:t>−1</m:t>
                                </m:r>
                              </m:sup>
                            </m:sSup>
                          </m:e>
                        </m:nary>
                      </m:e>
                    </m:rad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AE97BA8F-F3E4-2C49-BF06-BC02E45D983A}"/>
                </a:ext>
              </a:extLst>
            </xdr:cNvPr>
            <xdr:cNvSpPr txBox="1"/>
          </xdr:nvSpPr>
          <xdr:spPr>
            <a:xfrm>
              <a:off x="13411201" y="4673601"/>
              <a:ext cx="1866900" cy="609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GB" sz="1100" i="0">
                  <a:latin typeface="Cambria Math" panose="02040503050406030204" pitchFamily="18" charset="0"/>
                </a:rPr>
                <a:t>√(1/(𝑛−2) ∑24_(𝑡=1)^𝑛▒〖𝑟_𝑡 (𝑋^𝑇 𝑋)〗^(−1) 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18</xdr:col>
      <xdr:colOff>1</xdr:colOff>
      <xdr:row>26</xdr:row>
      <xdr:rowOff>1</xdr:rowOff>
    </xdr:from>
    <xdr:ext cx="927099" cy="2130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DF4AA643-CEA4-1C44-AD86-0FEF716B2AA7}"/>
                </a:ext>
              </a:extLst>
            </xdr:cNvPr>
            <xdr:cNvSpPr txBox="1"/>
          </xdr:nvSpPr>
          <xdr:spPr>
            <a:xfrm>
              <a:off x="15278101" y="5295901"/>
              <a:ext cx="927099" cy="2130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pl-PL" sz="1100" b="0" i="1">
                        <a:latin typeface="Cambria Math" panose="02040503050406030204" pitchFamily="18" charset="0"/>
                      </a:rPr>
                      <m:t>←</m:t>
                    </m:r>
                    <m:sSub>
                      <m:sSub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nor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SE</m:t>
                        </m:r>
                      </m:e>
                      <m:sub>
                        <m:sSub>
                          <m:sSub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𝛽</m:t>
                            </m:r>
                          </m:e>
                          <m:sub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DF4AA643-CEA4-1C44-AD86-0FEF716B2AA7}"/>
                </a:ext>
              </a:extLst>
            </xdr:cNvPr>
            <xdr:cNvSpPr txBox="1"/>
          </xdr:nvSpPr>
          <xdr:spPr>
            <a:xfrm>
              <a:off x="15278101" y="5295901"/>
              <a:ext cx="927099" cy="2130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←〖"SE" 〗_(𝛽_0 )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18</xdr:col>
      <xdr:colOff>0</xdr:colOff>
      <xdr:row>27</xdr:row>
      <xdr:rowOff>0</xdr:rowOff>
    </xdr:from>
    <xdr:ext cx="927099" cy="2130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562EC093-2040-3343-9F5D-E82FA3202560}"/>
                </a:ext>
              </a:extLst>
            </xdr:cNvPr>
            <xdr:cNvSpPr txBox="1"/>
          </xdr:nvSpPr>
          <xdr:spPr>
            <a:xfrm>
              <a:off x="15278100" y="5499100"/>
              <a:ext cx="927099" cy="2130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pl-PL" sz="1100" b="0" i="1">
                        <a:latin typeface="Cambria Math" panose="02040503050406030204" pitchFamily="18" charset="0"/>
                      </a:rPr>
                      <m:t>←</m:t>
                    </m:r>
                    <m:sSub>
                      <m:sSub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nor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SE</m:t>
                        </m:r>
                      </m:e>
                      <m:sub>
                        <m:sSub>
                          <m:sSub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𝛽</m:t>
                            </m:r>
                          </m:e>
                          <m:sub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562EC093-2040-3343-9F5D-E82FA3202560}"/>
                </a:ext>
              </a:extLst>
            </xdr:cNvPr>
            <xdr:cNvSpPr txBox="1"/>
          </xdr:nvSpPr>
          <xdr:spPr>
            <a:xfrm>
              <a:off x="15278100" y="5499100"/>
              <a:ext cx="927099" cy="2130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←〖"SE" 〗_(𝛽_1 )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20</xdr:col>
      <xdr:colOff>0</xdr:colOff>
      <xdr:row>25</xdr:row>
      <xdr:rowOff>0</xdr:rowOff>
    </xdr:from>
    <xdr:ext cx="927100" cy="2159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65106F5F-2BC5-F64F-BA1B-AD176E9231C8}"/>
                </a:ext>
              </a:extLst>
            </xdr:cNvPr>
            <xdr:cNvSpPr txBox="1"/>
          </xdr:nvSpPr>
          <xdr:spPr>
            <a:xfrm>
              <a:off x="17030700" y="5092700"/>
              <a:ext cx="927100" cy="2159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pl-PL" sz="1100" b="0" i="1">
                        <a:latin typeface="Cambria Math" panose="02040503050406030204" pitchFamily="18" charset="0"/>
                      </a:rPr>
                      <m:t>𝑖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65106F5F-2BC5-F64F-BA1B-AD176E9231C8}"/>
                </a:ext>
              </a:extLst>
            </xdr:cNvPr>
            <xdr:cNvSpPr txBox="1"/>
          </xdr:nvSpPr>
          <xdr:spPr>
            <a:xfrm>
              <a:off x="17030700" y="5092700"/>
              <a:ext cx="927100" cy="2159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𝑖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21</xdr:col>
      <xdr:colOff>0</xdr:colOff>
      <xdr:row>25</xdr:row>
      <xdr:rowOff>0</xdr:rowOff>
    </xdr:from>
    <xdr:ext cx="850900" cy="2159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2F7FDFDA-FBBE-4843-8391-21FAEAB8BF82}"/>
                </a:ext>
              </a:extLst>
            </xdr:cNvPr>
            <xdr:cNvSpPr txBox="1"/>
          </xdr:nvSpPr>
          <xdr:spPr>
            <a:xfrm>
              <a:off x="17957800" y="5092700"/>
              <a:ext cx="850900" cy="2159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pl-PL" sz="1100" b="0"/>
            </a:p>
            <a:p>
              <a:endParaRPr lang="en-GB" sz="1100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2F7FDFDA-FBBE-4843-8391-21FAEAB8BF82}"/>
                </a:ext>
              </a:extLst>
            </xdr:cNvPr>
            <xdr:cNvSpPr txBox="1"/>
          </xdr:nvSpPr>
          <xdr:spPr>
            <a:xfrm>
              <a:off x="17957800" y="5092700"/>
              <a:ext cx="850900" cy="2159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𝛽_𝑖</a:t>
              </a:r>
              <a:endParaRPr lang="pl-PL" sz="1100" b="0"/>
            </a:p>
            <a:p>
              <a:pPr/>
              <a:endParaRPr lang="en-GB" sz="1100"/>
            </a:p>
          </xdr:txBody>
        </xdr:sp>
      </mc:Fallback>
    </mc:AlternateContent>
    <xdr:clientData/>
  </xdr:oneCellAnchor>
  <xdr:oneCellAnchor>
    <xdr:from>
      <xdr:col>23</xdr:col>
      <xdr:colOff>0</xdr:colOff>
      <xdr:row>25</xdr:row>
      <xdr:rowOff>0</xdr:rowOff>
    </xdr:from>
    <xdr:ext cx="825500" cy="2031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31903024-8C64-4049-82EB-3727559F5E48}"/>
                </a:ext>
              </a:extLst>
            </xdr:cNvPr>
            <xdr:cNvSpPr txBox="1"/>
          </xdr:nvSpPr>
          <xdr:spPr>
            <a:xfrm>
              <a:off x="19634200" y="5092700"/>
              <a:ext cx="825500" cy="2031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m:rPr>
                            <m:nor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statistics</m:t>
                        </m:r>
                      </m:sub>
                    </m:sSub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31903024-8C64-4049-82EB-3727559F5E48}"/>
                </a:ext>
              </a:extLst>
            </xdr:cNvPr>
            <xdr:cNvSpPr txBox="1"/>
          </xdr:nvSpPr>
          <xdr:spPr>
            <a:xfrm>
              <a:off x="19634200" y="5092700"/>
              <a:ext cx="825500" cy="2031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𝑡_"statistics" 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24</xdr:col>
      <xdr:colOff>0</xdr:colOff>
      <xdr:row>25</xdr:row>
      <xdr:rowOff>0</xdr:rowOff>
    </xdr:from>
    <xdr:ext cx="825500" cy="2031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E7714922-3E64-6540-AEB0-83C2C260FBB6}"/>
                </a:ext>
              </a:extLst>
            </xdr:cNvPr>
            <xdr:cNvSpPr txBox="1"/>
          </xdr:nvSpPr>
          <xdr:spPr>
            <a:xfrm>
              <a:off x="20459700" y="5092700"/>
              <a:ext cx="825500" cy="2031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pl-PL" sz="1100" b="0" i="1">
                            <a:latin typeface="Cambria Math" panose="02040503050406030204" pitchFamily="18" charset="0"/>
                          </a:rPr>
                          <m:t>p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value</m:t>
                        </m:r>
                      </m:sub>
                    </m:sSub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E7714922-3E64-6540-AEB0-83C2C260FBB6}"/>
                </a:ext>
              </a:extLst>
            </xdr:cNvPr>
            <xdr:cNvSpPr txBox="1"/>
          </xdr:nvSpPr>
          <xdr:spPr>
            <a:xfrm>
              <a:off x="20459700" y="5092700"/>
              <a:ext cx="825500" cy="2031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p_value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22</xdr:col>
      <xdr:colOff>0</xdr:colOff>
      <xdr:row>25</xdr:row>
      <xdr:rowOff>0</xdr:rowOff>
    </xdr:from>
    <xdr:ext cx="825500" cy="2159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E328A63C-1D65-0049-9B8B-CE1B87325436}"/>
                </a:ext>
              </a:extLst>
            </xdr:cNvPr>
            <xdr:cNvSpPr txBox="1"/>
          </xdr:nvSpPr>
          <xdr:spPr>
            <a:xfrm>
              <a:off x="18808700" y="5092700"/>
              <a:ext cx="825500" cy="2159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nor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SE</m:t>
                        </m:r>
                      </m:e>
                      <m:sub>
                        <m:sSub>
                          <m:sSub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𝛽</m:t>
                            </m:r>
                          </m:e>
                          <m:sub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E328A63C-1D65-0049-9B8B-CE1B87325436}"/>
                </a:ext>
              </a:extLst>
            </xdr:cNvPr>
            <xdr:cNvSpPr txBox="1"/>
          </xdr:nvSpPr>
          <xdr:spPr>
            <a:xfrm>
              <a:off x="18808700" y="5092700"/>
              <a:ext cx="825500" cy="2159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〖"SE" 〗_(𝛽_𝑖 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25</xdr:col>
      <xdr:colOff>0</xdr:colOff>
      <xdr:row>25</xdr:row>
      <xdr:rowOff>190501</xdr:rowOff>
    </xdr:from>
    <xdr:ext cx="825500" cy="2257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2093D99F-93A2-634E-91C4-C04F97C8DA4A}"/>
                </a:ext>
              </a:extLst>
            </xdr:cNvPr>
            <xdr:cNvSpPr txBox="1"/>
          </xdr:nvSpPr>
          <xdr:spPr>
            <a:xfrm>
              <a:off x="21285200" y="5283201"/>
              <a:ext cx="825500" cy="2257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pl-PL" sz="1100" b="0" i="1">
                        <a:latin typeface="Cambria Math" panose="02040503050406030204" pitchFamily="18" charset="0"/>
                      </a:rPr>
                      <m:t>⟵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2093D99F-93A2-634E-91C4-C04F97C8DA4A}"/>
                </a:ext>
              </a:extLst>
            </xdr:cNvPr>
            <xdr:cNvSpPr txBox="1"/>
          </xdr:nvSpPr>
          <xdr:spPr>
            <a:xfrm>
              <a:off x="21285200" y="5283201"/>
              <a:ext cx="825500" cy="2257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⟵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25</xdr:col>
      <xdr:colOff>0</xdr:colOff>
      <xdr:row>27</xdr:row>
      <xdr:rowOff>0</xdr:rowOff>
    </xdr:from>
    <xdr:ext cx="825500" cy="2257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CD33DD46-9F01-CF4E-8FF4-EC3768D6C516}"/>
                </a:ext>
              </a:extLst>
            </xdr:cNvPr>
            <xdr:cNvSpPr txBox="1"/>
          </xdr:nvSpPr>
          <xdr:spPr>
            <a:xfrm>
              <a:off x="21285200" y="5499100"/>
              <a:ext cx="825500" cy="2257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pl-PL" sz="1100" b="0" i="1">
                        <a:latin typeface="Cambria Math" panose="02040503050406030204" pitchFamily="18" charset="0"/>
                      </a:rPr>
                      <m:t>⟵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CD33DD46-9F01-CF4E-8FF4-EC3768D6C516}"/>
                </a:ext>
              </a:extLst>
            </xdr:cNvPr>
            <xdr:cNvSpPr txBox="1"/>
          </xdr:nvSpPr>
          <xdr:spPr>
            <a:xfrm>
              <a:off x="21285200" y="5499100"/>
              <a:ext cx="825500" cy="2257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⟵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11</xdr:col>
      <xdr:colOff>0</xdr:colOff>
      <xdr:row>0</xdr:row>
      <xdr:rowOff>0</xdr:rowOff>
    </xdr:from>
    <xdr:ext cx="825500" cy="2031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BC066151-312F-4045-ABC3-E47D55AA0398}"/>
                </a:ext>
              </a:extLst>
            </xdr:cNvPr>
            <xdr:cNvSpPr txBox="1"/>
          </xdr:nvSpPr>
          <xdr:spPr>
            <a:xfrm>
              <a:off x="9080500" y="0"/>
              <a:ext cx="825500" cy="2031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func>
                      <m:func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ln</m:t>
                        </m:r>
                      </m:fName>
                      <m:e>
                        <m:d>
                          <m:d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acc>
                              <m:accPr>
                                <m:chr m:val="̂"/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𝑌</m:t>
                                </m:r>
                              </m:e>
                            </m:acc>
                          </m:e>
                        </m:d>
                      </m:e>
                    </m:func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BC066151-312F-4045-ABC3-E47D55AA0398}"/>
                </a:ext>
              </a:extLst>
            </xdr:cNvPr>
            <xdr:cNvSpPr txBox="1"/>
          </xdr:nvSpPr>
          <xdr:spPr>
            <a:xfrm>
              <a:off x="9080500" y="0"/>
              <a:ext cx="825500" cy="2031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ln⁡(𝑌 ̂ 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13</xdr:col>
      <xdr:colOff>0</xdr:colOff>
      <xdr:row>0</xdr:row>
      <xdr:rowOff>8652</xdr:rowOff>
    </xdr:from>
    <xdr:ext cx="1028700" cy="19454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1203EDF5-DE10-2649-AF7C-3C9C8E152A8C}"/>
                </a:ext>
              </a:extLst>
            </xdr:cNvPr>
            <xdr:cNvSpPr txBox="1"/>
          </xdr:nvSpPr>
          <xdr:spPr>
            <a:xfrm>
              <a:off x="10731500" y="8652"/>
              <a:ext cx="1028700" cy="19454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pl-PL" sz="1100" b="0" i="1">
                        <a:latin typeface="Cambria Math" panose="02040503050406030204" pitchFamily="18" charset="0"/>
                      </a:rPr>
                      <m:t>𝑟</m:t>
                    </m:r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unc>
                              <m:funcPr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funcPr>
                              <m:fName>
                                <m:r>
                                  <m:rPr>
                                    <m:sty m:val="p"/>
                                  </m:rPr>
                                  <a:rPr lang="pl-PL" sz="1100" b="0" i="0">
                                    <a:latin typeface="Cambria Math" panose="02040503050406030204" pitchFamily="18" charset="0"/>
                                  </a:rPr>
                                  <m:t>ln</m:t>
                                </m:r>
                              </m:fName>
                              <m:e>
                                <m:d>
                                  <m:dPr>
                                    <m:ctrlP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acc>
                                      <m:accPr>
                                        <m:chr m:val="̂"/>
                                        <m:ctrlPr>
                                          <a:rPr lang="pl-PL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accPr>
                                      <m:e>
                                        <m:r>
                                          <a:rPr lang="pl-PL" sz="1100" b="0" i="1">
                                            <a:latin typeface="Cambria Math" panose="02040503050406030204" pitchFamily="18" charset="0"/>
                                          </a:rPr>
                                          <m:t>𝑌</m:t>
                                        </m:r>
                                      </m:e>
                                    </m:acc>
                                  </m:e>
                                </m:d>
                              </m:e>
                            </m:func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</m:d>
                      </m:e>
                      <m:sup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1203EDF5-DE10-2649-AF7C-3C9C8E152A8C}"/>
                </a:ext>
              </a:extLst>
            </xdr:cNvPr>
            <xdr:cNvSpPr txBox="1"/>
          </xdr:nvSpPr>
          <xdr:spPr>
            <a:xfrm>
              <a:off x="10731500" y="8652"/>
              <a:ext cx="1028700" cy="19454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𝑟=(ln⁡(𝑌 ̂ )−𝑌)^2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22</xdr:col>
      <xdr:colOff>0</xdr:colOff>
      <xdr:row>31</xdr:row>
      <xdr:rowOff>8786</xdr:rowOff>
    </xdr:from>
    <xdr:ext cx="1651000" cy="18562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F6E0352E-520D-2671-9A6D-8F763C39E085}"/>
                </a:ext>
              </a:extLst>
            </xdr:cNvPr>
            <xdr:cNvSpPr txBox="1"/>
          </xdr:nvSpPr>
          <xdr:spPr>
            <a:xfrm>
              <a:off x="18808700" y="6333386"/>
              <a:ext cx="1651000" cy="1856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sSub>
                          <m:sSub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𝛽</m:t>
                            </m:r>
                          </m:e>
                          <m:sub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𝛽</m:t>
                            </m:r>
                          </m:e>
                          <m:sub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p>
                    </m:sSup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F6E0352E-520D-2671-9A6D-8F763C39E085}"/>
                </a:ext>
              </a:extLst>
            </xdr:cNvPr>
            <xdr:cNvSpPr txBox="1"/>
          </xdr:nvSpPr>
          <xdr:spPr>
            <a:xfrm>
              <a:off x="18808700" y="6333386"/>
              <a:ext cx="1651000" cy="1856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𝑦 ̂=𝑒^(𝛽_0+𝛽_1 𝑡)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22</xdr:col>
      <xdr:colOff>0</xdr:colOff>
      <xdr:row>42</xdr:row>
      <xdr:rowOff>0</xdr:rowOff>
    </xdr:from>
    <xdr:ext cx="812799" cy="203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23A06BB5-5B65-CB40-AEDC-FA7C72BDCF64}"/>
                </a:ext>
              </a:extLst>
            </xdr:cNvPr>
            <xdr:cNvSpPr txBox="1"/>
          </xdr:nvSpPr>
          <xdr:spPr>
            <a:xfrm>
              <a:off x="18808700" y="8559800"/>
              <a:ext cx="812799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acc>
                          <m:accPr>
                            <m:chr m:val="̂"/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</m:acc>
                      </m:sub>
                    </m:sSub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23A06BB5-5B65-CB40-AEDC-FA7C72BDCF64}"/>
                </a:ext>
              </a:extLst>
            </xdr:cNvPr>
            <xdr:cNvSpPr txBox="1"/>
          </xdr:nvSpPr>
          <xdr:spPr>
            <a:xfrm>
              <a:off x="18808700" y="8559800"/>
              <a:ext cx="812799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𝑠_𝑦 ̂ 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22</xdr:col>
      <xdr:colOff>0</xdr:colOff>
      <xdr:row>34</xdr:row>
      <xdr:rowOff>42098</xdr:rowOff>
    </xdr:from>
    <xdr:ext cx="1651000" cy="364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30493CF1-9A5A-2999-BE95-C5465372B438}"/>
                </a:ext>
              </a:extLst>
            </xdr:cNvPr>
            <xdr:cNvSpPr txBox="1"/>
          </xdr:nvSpPr>
          <xdr:spPr>
            <a:xfrm>
              <a:off x="18808700" y="6976298"/>
              <a:ext cx="1651000" cy="364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f>
                      <m:f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𝜕</m:t>
                        </m:r>
                        <m:acc>
                          <m:accPr>
                            <m:chr m:val="̂"/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</m:acc>
                      </m:num>
                      <m:den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𝜕</m:t>
                        </m:r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𝑡</m:t>
                        </m:r>
                      </m:den>
                    </m:f>
                    <m:r>
                      <a:rPr lang="en-GB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sSup>
                      <m:sSup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sSub>
                          <m:sSubPr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𝛽</m:t>
                            </m:r>
                          </m:e>
                          <m:sub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𝛽</m:t>
                            </m:r>
                          </m:e>
                          <m:sub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r>
                          <m:rPr>
                            <m:nor/>
                          </m:rPr>
                          <a:rPr lang="en-GB" sz="1100" i="0">
                            <a:latin typeface="Cambria Math" panose="02040503050406030204" pitchFamily="18" charset="0"/>
                          </a:rPr>
                          <m:t>mean</m:t>
                        </m:r>
                        <m:d>
                          <m:dPr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e>
                        </m:d>
                      </m:sup>
                    </m:sSup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30493CF1-9A5A-2999-BE95-C5465372B438}"/>
                </a:ext>
              </a:extLst>
            </xdr:cNvPr>
            <xdr:cNvSpPr txBox="1"/>
          </xdr:nvSpPr>
          <xdr:spPr>
            <a:xfrm>
              <a:off x="18808700" y="6976298"/>
              <a:ext cx="1651000" cy="364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GB" sz="1100" i="0">
                  <a:latin typeface="Cambria Math" panose="02040503050406030204" pitchFamily="18" charset="0"/>
                </a:rPr>
                <a:t>(𝜕𝑦 ̂)/𝜕𝑡=𝛽_1 𝑒^(𝛽_0+𝛽_1 "mean" (𝑡) 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22</xdr:col>
      <xdr:colOff>1</xdr:colOff>
      <xdr:row>38</xdr:row>
      <xdr:rowOff>27606</xdr:rowOff>
    </xdr:from>
    <xdr:ext cx="2476499" cy="3787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B2BCFE3F-8AE5-FBC4-82DF-5697F44D6328}"/>
                </a:ext>
              </a:extLst>
            </xdr:cNvPr>
            <xdr:cNvSpPr txBox="1"/>
          </xdr:nvSpPr>
          <xdr:spPr>
            <a:xfrm>
              <a:off x="18808701" y="7774606"/>
              <a:ext cx="2476499" cy="3787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f>
                      <m:f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acc>
                          <m:accPr>
                            <m:chr m:val="̂"/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</m:acc>
                      </m:den>
                    </m:f>
                    <m:r>
                      <a:rPr lang="en-GB" sz="1100" i="1">
                        <a:latin typeface="Cambria Math" panose="02040503050406030204" pitchFamily="18" charset="0"/>
                      </a:rPr>
                      <m:t>⋅</m:t>
                    </m:r>
                    <m:f>
                      <m:f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𝜕</m:t>
                        </m:r>
                        <m:acc>
                          <m:accPr>
                            <m:chr m:val="̂"/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</m:acc>
                      </m:num>
                      <m:den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𝜕</m:t>
                        </m:r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𝑡</m:t>
                        </m:r>
                      </m:den>
                    </m:f>
                    <m:r>
                      <a:rPr lang="en-GB" sz="11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m:rPr>
                            <m:nor/>
                          </m:rPr>
                          <a:rPr lang="en-GB" sz="1100" i="0">
                            <a:latin typeface="Cambria Math" panose="02040503050406030204" pitchFamily="18" charset="0"/>
                          </a:rPr>
                          <m:t>mean</m:t>
                        </m:r>
                        <m:d>
                          <m:dPr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acc>
                              <m:accPr>
                                <m:chr m:val="̂"/>
                                <m:ctrlPr>
                                  <a:rPr lang="en-GB" sz="110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GB" sz="110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</m:acc>
                          </m:e>
                        </m:d>
                      </m:den>
                    </m:f>
                    <m:sSub>
                      <m:sSub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sSup>
                      <m:sSup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sSub>
                          <m:sSubPr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𝛽</m:t>
                            </m:r>
                          </m:e>
                          <m:sub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𝛽</m:t>
                            </m:r>
                          </m:e>
                          <m:sub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r>
                          <m:rPr>
                            <m:nor/>
                          </m:rPr>
                          <a:rPr lang="en-GB" sz="1100" i="0">
                            <a:latin typeface="Cambria Math" panose="02040503050406030204" pitchFamily="18" charset="0"/>
                          </a:rPr>
                          <m:t>mean</m:t>
                        </m:r>
                        <m:d>
                          <m:dPr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e>
                        </m:d>
                      </m:sup>
                    </m:sSup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B2BCFE3F-8AE5-FBC4-82DF-5697F44D6328}"/>
                </a:ext>
              </a:extLst>
            </xdr:cNvPr>
            <xdr:cNvSpPr txBox="1"/>
          </xdr:nvSpPr>
          <xdr:spPr>
            <a:xfrm>
              <a:off x="18808701" y="7774606"/>
              <a:ext cx="2476499" cy="3787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GB" sz="1100" i="0">
                  <a:latin typeface="Cambria Math" panose="02040503050406030204" pitchFamily="18" charset="0"/>
                </a:rPr>
                <a:t>1/𝑦 ̂ ⋅(𝜕𝑦 ̂)/𝜕𝑡=1/"mean" (𝑦 ̂ )  𝛽_1 𝑒^(𝛽_0+𝛽_1 "mean" (𝑡) )</a:t>
              </a:r>
              <a:endParaRPr lang="en-GB" sz="1100"/>
            </a:p>
          </xdr:txBody>
        </xdr:sp>
      </mc:Fallback>
    </mc:AlternateContent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</xdr:colOff>
      <xdr:row>35</xdr:row>
      <xdr:rowOff>19050</xdr:rowOff>
    </xdr:from>
    <xdr:to>
      <xdr:col>21</xdr:col>
      <xdr:colOff>1</xdr:colOff>
      <xdr:row>49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069DD3-A1D9-D049-A5C4-39AF8F1267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12</xdr:col>
      <xdr:colOff>869950</xdr:colOff>
      <xdr:row>16</xdr:row>
      <xdr:rowOff>133350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D23BDEE-1D90-2444-8BF5-589405159DE7}"/>
            </a:ext>
          </a:extLst>
        </xdr:cNvPr>
        <xdr:cNvSpPr txBox="1"/>
      </xdr:nvSpPr>
      <xdr:spPr>
        <a:xfrm>
          <a:off x="9950450" y="3384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12</xdr:col>
      <xdr:colOff>869950</xdr:colOff>
      <xdr:row>15</xdr:row>
      <xdr:rowOff>133350</xdr:rowOff>
    </xdr:from>
    <xdr:ext cx="1035050" cy="22288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CB8F406-B9D7-4547-8D8A-A1ED204D55CF}"/>
            </a:ext>
          </a:extLst>
        </xdr:cNvPr>
        <xdr:cNvSpPr txBox="1"/>
      </xdr:nvSpPr>
      <xdr:spPr>
        <a:xfrm>
          <a:off x="9950450" y="3181350"/>
          <a:ext cx="1035050" cy="2228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0</xdr:row>
      <xdr:rowOff>1</xdr:rowOff>
    </xdr:from>
    <xdr:ext cx="825500" cy="203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4A028FB-4F75-754D-9F14-E39F1931D62C}"/>
                </a:ext>
              </a:extLst>
            </xdr:cNvPr>
            <xdr:cNvSpPr txBox="1"/>
          </xdr:nvSpPr>
          <xdr:spPr>
            <a:xfrm>
              <a:off x="4953000" y="1"/>
              <a:ext cx="825500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pl-PL" sz="1100" b="0" i="1">
                        <a:latin typeface="Cambria Math" panose="02040503050406030204" pitchFamily="18" charset="0"/>
                      </a:rPr>
                      <m:t>𝑋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4A028FB-4F75-754D-9F14-E39F1931D62C}"/>
                </a:ext>
              </a:extLst>
            </xdr:cNvPr>
            <xdr:cNvSpPr txBox="1"/>
          </xdr:nvSpPr>
          <xdr:spPr>
            <a:xfrm>
              <a:off x="4953000" y="1"/>
              <a:ext cx="825500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𝑋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4</xdr:col>
      <xdr:colOff>0</xdr:colOff>
      <xdr:row>0</xdr:row>
      <xdr:rowOff>1</xdr:rowOff>
    </xdr:from>
    <xdr:ext cx="825500" cy="203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ADA28250-4CE8-3141-8132-DCE78C057068}"/>
                </a:ext>
              </a:extLst>
            </xdr:cNvPr>
            <xdr:cNvSpPr txBox="1"/>
          </xdr:nvSpPr>
          <xdr:spPr>
            <a:xfrm>
              <a:off x="3302000" y="1"/>
              <a:ext cx="825500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pl-PL" sz="1100" b="0" i="1">
                        <a:latin typeface="Cambria Math" panose="02040503050406030204" pitchFamily="18" charset="0"/>
                      </a:rPr>
                      <m:t>Y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ADA28250-4CE8-3141-8132-DCE78C057068}"/>
                </a:ext>
              </a:extLst>
            </xdr:cNvPr>
            <xdr:cNvSpPr txBox="1"/>
          </xdr:nvSpPr>
          <xdr:spPr>
            <a:xfrm>
              <a:off x="3302000" y="1"/>
              <a:ext cx="825500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Y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10</xdr:col>
      <xdr:colOff>0</xdr:colOff>
      <xdr:row>0</xdr:row>
      <xdr:rowOff>0</xdr:rowOff>
    </xdr:from>
    <xdr:ext cx="825500" cy="2031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E5A458A3-5C40-284F-9C1F-550E3B36859F}"/>
                </a:ext>
              </a:extLst>
            </xdr:cNvPr>
            <xdr:cNvSpPr txBox="1"/>
          </xdr:nvSpPr>
          <xdr:spPr>
            <a:xfrm>
              <a:off x="8255000" y="0"/>
              <a:ext cx="825500" cy="2031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</m:acc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E5A458A3-5C40-284F-9C1F-550E3B36859F}"/>
                </a:ext>
              </a:extLst>
            </xdr:cNvPr>
            <xdr:cNvSpPr txBox="1"/>
          </xdr:nvSpPr>
          <xdr:spPr>
            <a:xfrm>
              <a:off x="8255000" y="0"/>
              <a:ext cx="825500" cy="2031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𝑌 ̂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12</xdr:col>
      <xdr:colOff>0</xdr:colOff>
      <xdr:row>0</xdr:row>
      <xdr:rowOff>3</xdr:rowOff>
    </xdr:from>
    <xdr:ext cx="1028700" cy="2031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561C282-1F4D-2D40-8FA1-9202B543620E}"/>
                </a:ext>
              </a:extLst>
            </xdr:cNvPr>
            <xdr:cNvSpPr txBox="1"/>
          </xdr:nvSpPr>
          <xdr:spPr>
            <a:xfrm>
              <a:off x="9080500" y="3"/>
              <a:ext cx="1028700" cy="2031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en-GB" sz="1100" i="1">
                        <a:latin typeface="Cambria Math" panose="02040503050406030204" pitchFamily="18" charset="0"/>
                      </a:rPr>
                      <m:t>𝑟</m:t>
                    </m:r>
                    <m:r>
                      <a:rPr lang="en-GB" sz="110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acc>
                              <m:accPr>
                                <m:chr m:val="̂"/>
                                <m:ctrlPr>
                                  <a:rPr lang="en-GB" sz="110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GB" sz="1100" i="1">
                                    <a:latin typeface="Cambria Math" panose="02040503050406030204" pitchFamily="18" charset="0"/>
                                  </a:rPr>
                                  <m:t>𝑌</m:t>
                                </m:r>
                              </m:e>
                            </m:acc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</m:d>
                      </m:e>
                      <m:sup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561C282-1F4D-2D40-8FA1-9202B543620E}"/>
                </a:ext>
              </a:extLst>
            </xdr:cNvPr>
            <xdr:cNvSpPr txBox="1"/>
          </xdr:nvSpPr>
          <xdr:spPr>
            <a:xfrm>
              <a:off x="9080500" y="3"/>
              <a:ext cx="1028700" cy="2031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GB" sz="1100" i="0">
                  <a:latin typeface="Cambria Math" panose="02040503050406030204" pitchFamily="18" charset="0"/>
                </a:rPr>
                <a:t>𝑟=(𝑌 ̂−𝑌)^2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15</xdr:col>
      <xdr:colOff>0</xdr:colOff>
      <xdr:row>0</xdr:row>
      <xdr:rowOff>0</xdr:rowOff>
    </xdr:from>
    <xdr:ext cx="1041400" cy="20320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2F166A2D-4C61-F344-97BB-C309D9B07CCD}"/>
                </a:ext>
              </a:extLst>
            </xdr:cNvPr>
            <xdr:cNvSpPr txBox="1"/>
          </xdr:nvSpPr>
          <xdr:spPr>
            <a:xfrm>
              <a:off x="11760200" y="0"/>
              <a:ext cx="1041400" cy="2032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p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𝑇</m:t>
                        </m:r>
                      </m:sup>
                    </m:sSup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2F166A2D-4C61-F344-97BB-C309D9B07CCD}"/>
                </a:ext>
              </a:extLst>
            </xdr:cNvPr>
            <xdr:cNvSpPr txBox="1"/>
          </xdr:nvSpPr>
          <xdr:spPr>
            <a:xfrm>
              <a:off x="11760200" y="0"/>
              <a:ext cx="1041400" cy="2032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𝑋^𝑇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15</xdr:col>
      <xdr:colOff>1</xdr:colOff>
      <xdr:row>5</xdr:row>
      <xdr:rowOff>0</xdr:rowOff>
    </xdr:from>
    <xdr:ext cx="1041399" cy="203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48D1DF51-379D-B94F-9F06-E02E13C7BAA5}"/>
                </a:ext>
              </a:extLst>
            </xdr:cNvPr>
            <xdr:cNvSpPr txBox="1"/>
          </xdr:nvSpPr>
          <xdr:spPr>
            <a:xfrm>
              <a:off x="11760201" y="812800"/>
              <a:ext cx="1041399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p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𝑇</m:t>
                        </m:r>
                      </m:sup>
                    </m:sSup>
                    <m:r>
                      <a:rPr lang="pl-PL" sz="1100" b="0" i="1">
                        <a:latin typeface="Cambria Math" panose="02040503050406030204" pitchFamily="18" charset="0"/>
                      </a:rPr>
                      <m:t>𝑋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48D1DF51-379D-B94F-9F06-E02E13C7BAA5}"/>
                </a:ext>
              </a:extLst>
            </xdr:cNvPr>
            <xdr:cNvSpPr txBox="1"/>
          </xdr:nvSpPr>
          <xdr:spPr>
            <a:xfrm>
              <a:off x="11760201" y="812800"/>
              <a:ext cx="1041399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pl-PL" sz="1100" b="0" i="0">
                  <a:latin typeface="Cambria Math" panose="02040503050406030204" pitchFamily="18" charset="0"/>
                </a:rPr>
                <a:t>𝑋^𝑇 𝑋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18</xdr:col>
      <xdr:colOff>0</xdr:colOff>
      <xdr:row>5</xdr:row>
      <xdr:rowOff>0</xdr:rowOff>
    </xdr:from>
    <xdr:ext cx="1041399" cy="20320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C89193A-182C-3742-B6D8-2E811FB16F05}"/>
            </a:ext>
          </a:extLst>
        </xdr:cNvPr>
        <xdr:cNvSpPr txBox="1"/>
      </xdr:nvSpPr>
      <xdr:spPr>
        <a:xfrm>
          <a:off x="13627100" y="812800"/>
          <a:ext cx="1041399" cy="2032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endParaRPr lang="en-GB" sz="1100"/>
        </a:p>
      </xdr:txBody>
    </xdr:sp>
    <xdr:clientData/>
  </xdr:oneCellAnchor>
  <xdr:oneCellAnchor>
    <xdr:from>
      <xdr:col>19</xdr:col>
      <xdr:colOff>1</xdr:colOff>
      <xdr:row>5</xdr:row>
      <xdr:rowOff>0</xdr:rowOff>
    </xdr:from>
    <xdr:ext cx="825499" cy="1772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F211A295-081F-EF46-A192-DA147FAD8AD6}"/>
                </a:ext>
              </a:extLst>
            </xdr:cNvPr>
            <xdr:cNvSpPr txBox="1"/>
          </xdr:nvSpPr>
          <xdr:spPr>
            <a:xfrm>
              <a:off x="14554201" y="812800"/>
              <a:ext cx="825499" cy="1772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p>
                            </m:sSup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</m:d>
                      </m:e>
                      <m:sup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F211A295-081F-EF46-A192-DA147FAD8AD6}"/>
                </a:ext>
              </a:extLst>
            </xdr:cNvPr>
            <xdr:cNvSpPr txBox="1"/>
          </xdr:nvSpPr>
          <xdr:spPr>
            <a:xfrm>
              <a:off x="14554201" y="812800"/>
              <a:ext cx="825499" cy="1772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(𝑋^𝑇 𝑋)^(−1)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15</xdr:col>
      <xdr:colOff>0</xdr:colOff>
      <xdr:row>10</xdr:row>
      <xdr:rowOff>0</xdr:rowOff>
    </xdr:from>
    <xdr:ext cx="1041400" cy="1772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B1F06EFC-6418-DA49-BE2C-D010E3D991F6}"/>
                </a:ext>
              </a:extLst>
            </xdr:cNvPr>
            <xdr:cNvSpPr txBox="1"/>
          </xdr:nvSpPr>
          <xdr:spPr>
            <a:xfrm>
              <a:off x="11760200" y="1625600"/>
              <a:ext cx="1041400" cy="1772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p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𝑇</m:t>
                        </m:r>
                      </m:sup>
                    </m:sSup>
                    <m:r>
                      <a:rPr lang="pl-PL" sz="1100" b="0" i="1">
                        <a:latin typeface="Cambria Math" panose="02040503050406030204" pitchFamily="18" charset="0"/>
                      </a:rPr>
                      <m:t>𝑌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B1F06EFC-6418-DA49-BE2C-D010E3D991F6}"/>
                </a:ext>
              </a:extLst>
            </xdr:cNvPr>
            <xdr:cNvSpPr txBox="1"/>
          </xdr:nvSpPr>
          <xdr:spPr>
            <a:xfrm>
              <a:off x="11760200" y="1625600"/>
              <a:ext cx="1041400" cy="1772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𝑋^𝑇 𝑌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17</xdr:col>
      <xdr:colOff>0</xdr:colOff>
      <xdr:row>10</xdr:row>
      <xdr:rowOff>0</xdr:rowOff>
    </xdr:from>
    <xdr:ext cx="927100" cy="1772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B314565-893C-A54D-BF36-59E2CE382AA7}"/>
                </a:ext>
              </a:extLst>
            </xdr:cNvPr>
            <xdr:cNvSpPr txBox="1"/>
          </xdr:nvSpPr>
          <xdr:spPr>
            <a:xfrm>
              <a:off x="13627100" y="1625600"/>
              <a:ext cx="927100" cy="1772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GB" sz="110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GB" sz="110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GB" sz="11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p>
                            </m:sSup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</m:d>
                      </m:e>
                      <m:sup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  <m:d>
                      <m:d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p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sup>
                        </m:sSup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</m:d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B314565-893C-A54D-BF36-59E2CE382AA7}"/>
                </a:ext>
              </a:extLst>
            </xdr:cNvPr>
            <xdr:cNvSpPr txBox="1"/>
          </xdr:nvSpPr>
          <xdr:spPr>
            <a:xfrm>
              <a:off x="13627100" y="1625600"/>
              <a:ext cx="927100" cy="1772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/>
              <a:r>
                <a:rPr lang="en-GB" sz="1100" i="0">
                  <a:latin typeface="Cambria Math" panose="02040503050406030204" pitchFamily="18" charset="0"/>
                </a:rPr>
                <a:t>(𝑋^𝑇 𝑋)^(−1) (𝑋^𝑇 𝑌)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18</xdr:col>
      <xdr:colOff>0</xdr:colOff>
      <xdr:row>11</xdr:row>
      <xdr:rowOff>0</xdr:rowOff>
    </xdr:from>
    <xdr:ext cx="825500" cy="203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3C9583F7-0279-8C41-AE93-89908EFEBFA2}"/>
                </a:ext>
              </a:extLst>
            </xdr:cNvPr>
            <xdr:cNvSpPr txBox="1"/>
          </xdr:nvSpPr>
          <xdr:spPr>
            <a:xfrm>
              <a:off x="14554200" y="1828800"/>
              <a:ext cx="825500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pl-PL" sz="1100" b="0" i="1">
                        <a:latin typeface="Cambria Math" panose="02040503050406030204" pitchFamily="18" charset="0"/>
                      </a:rPr>
                      <m:t>←</m:t>
                    </m:r>
                    <m:sSub>
                      <m:sSub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3C9583F7-0279-8C41-AE93-89908EFEBFA2}"/>
                </a:ext>
              </a:extLst>
            </xdr:cNvPr>
            <xdr:cNvSpPr txBox="1"/>
          </xdr:nvSpPr>
          <xdr:spPr>
            <a:xfrm>
              <a:off x="14554200" y="1828800"/>
              <a:ext cx="825500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←𝛽_0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18</xdr:col>
      <xdr:colOff>0</xdr:colOff>
      <xdr:row>12</xdr:row>
      <xdr:rowOff>0</xdr:rowOff>
    </xdr:from>
    <xdr:ext cx="825500" cy="203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0876440A-AD72-2841-B485-F90CC5D2DB15}"/>
                </a:ext>
              </a:extLst>
            </xdr:cNvPr>
            <xdr:cNvSpPr txBox="1"/>
          </xdr:nvSpPr>
          <xdr:spPr>
            <a:xfrm>
              <a:off x="14554200" y="2032000"/>
              <a:ext cx="825500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pl-PL" sz="1100" b="0" i="1">
                        <a:latin typeface="Cambria Math" panose="02040503050406030204" pitchFamily="18" charset="0"/>
                      </a:rPr>
                      <m:t>←</m:t>
                    </m:r>
                    <m:sSub>
                      <m:sSub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0876440A-AD72-2841-B485-F90CC5D2DB15}"/>
                </a:ext>
              </a:extLst>
            </xdr:cNvPr>
            <xdr:cNvSpPr txBox="1"/>
          </xdr:nvSpPr>
          <xdr:spPr>
            <a:xfrm>
              <a:off x="14554200" y="2032000"/>
              <a:ext cx="825500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←𝛽_1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15</xdr:col>
      <xdr:colOff>0</xdr:colOff>
      <xdr:row>15</xdr:row>
      <xdr:rowOff>12700</xdr:rowOff>
    </xdr:from>
    <xdr:ext cx="1041400" cy="6096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21A22ABB-C199-B349-8921-D170024520B4}"/>
                </a:ext>
              </a:extLst>
            </xdr:cNvPr>
            <xdr:cNvSpPr txBox="1"/>
          </xdr:nvSpPr>
          <xdr:spPr>
            <a:xfrm>
              <a:off x="11760200" y="2451100"/>
              <a:ext cx="1041400" cy="609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nary>
                      <m:naryPr>
                        <m:chr m:val="∑"/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𝑛</m:t>
                        </m:r>
                      </m:sup>
                      <m:e>
                        <m:sSub>
                          <m:sSubPr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21A22ABB-C199-B349-8921-D170024520B4}"/>
                </a:ext>
              </a:extLst>
            </xdr:cNvPr>
            <xdr:cNvSpPr txBox="1"/>
          </xdr:nvSpPr>
          <xdr:spPr>
            <a:xfrm>
              <a:off x="11760200" y="2451100"/>
              <a:ext cx="1041400" cy="609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GB" sz="1100" i="0">
                  <a:latin typeface="Cambria Math" panose="02040503050406030204" pitchFamily="18" charset="0"/>
                </a:rPr>
                <a:t>∑24_(𝑡=1)^𝑛▒𝑟_𝑡 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17</xdr:col>
      <xdr:colOff>0</xdr:colOff>
      <xdr:row>15</xdr:row>
      <xdr:rowOff>12700</xdr:rowOff>
    </xdr:from>
    <xdr:ext cx="927100" cy="6096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9D0305D4-0C69-E44E-90AC-8734425F6692}"/>
                </a:ext>
              </a:extLst>
            </xdr:cNvPr>
            <xdr:cNvSpPr txBox="1"/>
          </xdr:nvSpPr>
          <xdr:spPr>
            <a:xfrm>
              <a:off x="13627100" y="2451100"/>
              <a:ext cx="927100" cy="609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𝑛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−3</m:t>
                        </m:r>
                      </m:den>
                    </m:f>
                    <m:nary>
                      <m:naryPr>
                        <m:chr m:val="∑"/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p>
                      <m:e>
                        <m:sSub>
                          <m:sSub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9D0305D4-0C69-E44E-90AC-8734425F6692}"/>
                </a:ext>
              </a:extLst>
            </xdr:cNvPr>
            <xdr:cNvSpPr txBox="1"/>
          </xdr:nvSpPr>
          <xdr:spPr>
            <a:xfrm>
              <a:off x="13627100" y="2451100"/>
              <a:ext cx="927100" cy="609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1/(𝑛−3) ∑24_(𝑡=1)^𝑛▒𝑟_𝑡 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15</xdr:col>
      <xdr:colOff>1</xdr:colOff>
      <xdr:row>20</xdr:row>
      <xdr:rowOff>0</xdr:rowOff>
    </xdr:from>
    <xdr:ext cx="1866899" cy="6096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F2B520A0-4DEF-544B-B867-42CBADB914F0}"/>
                </a:ext>
              </a:extLst>
            </xdr:cNvPr>
            <xdr:cNvSpPr txBox="1"/>
          </xdr:nvSpPr>
          <xdr:spPr>
            <a:xfrm>
              <a:off x="11760201" y="3454400"/>
              <a:ext cx="1866899" cy="609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f>
                      <m:f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𝑛</m:t>
                        </m:r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−3</m:t>
                        </m:r>
                      </m:den>
                    </m:f>
                    <m:nary>
                      <m:naryPr>
                        <m:chr m:val="∑"/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𝑛</m:t>
                        </m:r>
                      </m:sup>
                      <m:e>
                        <m:sSup>
                          <m:sSupPr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sSub>
                              <m:sSubPr>
                                <m:ctrlPr>
                                  <a:rPr lang="en-GB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GB" sz="1100" i="1">
                                    <a:latin typeface="Cambria Math" panose="02040503050406030204" pitchFamily="18" charset="0"/>
                                  </a:rPr>
                                  <m:t>𝑟</m:t>
                                </m:r>
                              </m:e>
                              <m:sub>
                                <m:r>
                                  <a:rPr lang="en-GB" sz="110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  <m:d>
                              <m:dPr>
                                <m:ctrlPr>
                                  <a:rPr lang="en-GB" sz="11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p>
                                  <m:sSupPr>
                                    <m:ctrlPr>
                                      <a:rPr lang="en-GB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GB" sz="110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  <m:sup>
                                    <m:r>
                                      <a:rPr lang="en-GB" sz="1100" i="1">
                                        <a:latin typeface="Cambria Math" panose="02040503050406030204" pitchFamily="18" charset="0"/>
                                      </a:rPr>
                                      <m:t>𝑇</m:t>
                                    </m:r>
                                  </m:sup>
                                </m:sSup>
                                <m:r>
                                  <a:rPr lang="en-GB" sz="110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</m:d>
                          </m:e>
                          <m:sup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</m:e>
                    </m:nary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F2B520A0-4DEF-544B-B867-42CBADB914F0}"/>
                </a:ext>
              </a:extLst>
            </xdr:cNvPr>
            <xdr:cNvSpPr txBox="1"/>
          </xdr:nvSpPr>
          <xdr:spPr>
            <a:xfrm>
              <a:off x="11760201" y="3454400"/>
              <a:ext cx="1866899" cy="609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GB" sz="1100" i="0">
                  <a:latin typeface="Cambria Math" panose="02040503050406030204" pitchFamily="18" charset="0"/>
                </a:rPr>
                <a:t>1/(𝑛−</a:t>
              </a:r>
              <a:r>
                <a:rPr lang="pl-PL" sz="1100" b="0" i="0">
                  <a:latin typeface="Cambria Math" panose="02040503050406030204" pitchFamily="18" charset="0"/>
                </a:rPr>
                <a:t>3</a:t>
              </a:r>
              <a:r>
                <a:rPr lang="en-GB" sz="1100" b="0" i="0">
                  <a:latin typeface="Cambria Math" panose="02040503050406030204" pitchFamily="18" charset="0"/>
                </a:rPr>
                <a:t>) </a:t>
              </a:r>
              <a:r>
                <a:rPr lang="en-GB" sz="1100" i="0">
                  <a:latin typeface="Cambria Math" panose="02040503050406030204" pitchFamily="18" charset="0"/>
                </a:rPr>
                <a:t>∑24_(𝑡=1)^𝑛▒〖𝑟_𝑡 (𝑋^𝑇 𝑋)〗^(−1) 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15</xdr:col>
      <xdr:colOff>1</xdr:colOff>
      <xdr:row>27</xdr:row>
      <xdr:rowOff>1</xdr:rowOff>
    </xdr:from>
    <xdr:ext cx="1866900" cy="6096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56197134-02A5-9E4D-A2F0-91EB9AD12C3D}"/>
                </a:ext>
              </a:extLst>
            </xdr:cNvPr>
            <xdr:cNvSpPr txBox="1"/>
          </xdr:nvSpPr>
          <xdr:spPr>
            <a:xfrm>
              <a:off x="11760201" y="4673601"/>
              <a:ext cx="1866900" cy="609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ad>
                      <m:radPr>
                        <m:degHide m:val="on"/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−3</m:t>
                            </m:r>
                          </m:den>
                        </m:f>
                        <m:nary>
                          <m:naryPr>
                            <m:chr m:val="∑"/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sup>
                          <m:e>
                            <m:sSup>
                              <m:sSupPr>
                                <m:ctrlPr>
                                  <a:rPr lang="en-GB" sz="110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GB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GB" sz="1100" i="1">
                                        <a:latin typeface="Cambria Math" panose="02040503050406030204" pitchFamily="18" charset="0"/>
                                      </a:rPr>
                                      <m:t>𝑟</m:t>
                                    </m:r>
                                  </m:e>
                                  <m:sub>
                                    <m:r>
                                      <a:rPr lang="en-GB" sz="110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  <m:d>
                                  <m:dPr>
                                    <m:ctrlPr>
                                      <a:rPr lang="en-GB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sSup>
                                      <m:sSupPr>
                                        <m:ctrlPr>
                                          <a:rPr lang="en-GB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pPr>
                                      <m:e>
                                        <m:r>
                                          <a:rPr lang="en-GB" sz="1100" i="1">
                                            <a:latin typeface="Cambria Math" panose="02040503050406030204" pitchFamily="18" charset="0"/>
                                          </a:rPr>
                                          <m:t>𝑋</m:t>
                                        </m:r>
                                      </m:e>
                                      <m:sup>
                                        <m:r>
                                          <a:rPr lang="en-GB" sz="1100" i="1">
                                            <a:latin typeface="Cambria Math" panose="02040503050406030204" pitchFamily="18" charset="0"/>
                                          </a:rPr>
                                          <m:t>𝑇</m:t>
                                        </m:r>
                                      </m:sup>
                                    </m:sSup>
                                    <m:r>
                                      <a:rPr lang="en-GB" sz="110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</m:d>
                              </m:e>
                              <m:sup>
                                <m:r>
                                  <a:rPr lang="en-GB" sz="1100" i="1">
                                    <a:latin typeface="Cambria Math" panose="02040503050406030204" pitchFamily="18" charset="0"/>
                                  </a:rPr>
                                  <m:t>−1</m:t>
                                </m:r>
                              </m:sup>
                            </m:sSup>
                          </m:e>
                        </m:nary>
                      </m:e>
                    </m:rad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56197134-02A5-9E4D-A2F0-91EB9AD12C3D}"/>
                </a:ext>
              </a:extLst>
            </xdr:cNvPr>
            <xdr:cNvSpPr txBox="1"/>
          </xdr:nvSpPr>
          <xdr:spPr>
            <a:xfrm>
              <a:off x="11760201" y="4673601"/>
              <a:ext cx="1866900" cy="609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GB" sz="1100" i="0">
                  <a:latin typeface="Cambria Math" panose="02040503050406030204" pitchFamily="18" charset="0"/>
                </a:rPr>
                <a:t>√(1/(𝑛−</a:t>
              </a:r>
              <a:r>
                <a:rPr lang="pl-PL" sz="1100" b="0" i="0">
                  <a:latin typeface="Cambria Math" panose="02040503050406030204" pitchFamily="18" charset="0"/>
                </a:rPr>
                <a:t>3</a:t>
              </a:r>
              <a:r>
                <a:rPr lang="en-GB" sz="1100" b="0" i="0">
                  <a:latin typeface="Cambria Math" panose="02040503050406030204" pitchFamily="18" charset="0"/>
                </a:rPr>
                <a:t>) ∑24_(</a:t>
              </a:r>
              <a:r>
                <a:rPr lang="en-GB" sz="1100" i="0">
                  <a:latin typeface="Cambria Math" panose="02040503050406030204" pitchFamily="18" charset="0"/>
                </a:rPr>
                <a:t>𝑡=1)^𝑛▒〖𝑟_𝑡 (𝑋^𝑇 𝑋)〗^(−1) 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17</xdr:col>
      <xdr:colOff>927099</xdr:colOff>
      <xdr:row>30</xdr:row>
      <xdr:rowOff>12700</xdr:rowOff>
    </xdr:from>
    <xdr:ext cx="825501" cy="2130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541FADF6-D719-4649-95A2-458B4FA52FF5}"/>
                </a:ext>
              </a:extLst>
            </xdr:cNvPr>
            <xdr:cNvSpPr txBox="1"/>
          </xdr:nvSpPr>
          <xdr:spPr>
            <a:xfrm>
              <a:off x="15379699" y="6121400"/>
              <a:ext cx="825501" cy="2130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pl-PL" sz="1100" b="0" i="1">
                        <a:latin typeface="Cambria Math" panose="02040503050406030204" pitchFamily="18" charset="0"/>
                      </a:rPr>
                      <m:t>←</m:t>
                    </m:r>
                    <m:sSub>
                      <m:sSub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nor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SE</m:t>
                        </m:r>
                      </m:e>
                      <m:sub>
                        <m:sSub>
                          <m:sSub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𝛽</m:t>
                            </m:r>
                          </m:e>
                          <m:sub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541FADF6-D719-4649-95A2-458B4FA52FF5}"/>
                </a:ext>
              </a:extLst>
            </xdr:cNvPr>
            <xdr:cNvSpPr txBox="1"/>
          </xdr:nvSpPr>
          <xdr:spPr>
            <a:xfrm>
              <a:off x="15379699" y="6121400"/>
              <a:ext cx="825501" cy="2130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←〖"SE" 〗_(𝛽_0 )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17</xdr:col>
      <xdr:colOff>927099</xdr:colOff>
      <xdr:row>31</xdr:row>
      <xdr:rowOff>9817</xdr:rowOff>
    </xdr:from>
    <xdr:ext cx="825501" cy="2257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4B5DBE5E-424D-6544-A6ED-1DEBDC74D926}"/>
                </a:ext>
              </a:extLst>
            </xdr:cNvPr>
            <xdr:cNvSpPr txBox="1"/>
          </xdr:nvSpPr>
          <xdr:spPr>
            <a:xfrm>
              <a:off x="15379699" y="6321717"/>
              <a:ext cx="825501" cy="2257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pl-PL" sz="1100" b="0" i="1">
                        <a:latin typeface="Cambria Math" panose="02040503050406030204" pitchFamily="18" charset="0"/>
                      </a:rPr>
                      <m:t>←</m:t>
                    </m:r>
                    <m:sSub>
                      <m:sSub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nor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SE</m:t>
                        </m:r>
                      </m:e>
                      <m:sub>
                        <m:sSub>
                          <m:sSub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𝛽</m:t>
                            </m:r>
                          </m:e>
                          <m:sub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4B5DBE5E-424D-6544-A6ED-1DEBDC74D926}"/>
                </a:ext>
              </a:extLst>
            </xdr:cNvPr>
            <xdr:cNvSpPr txBox="1"/>
          </xdr:nvSpPr>
          <xdr:spPr>
            <a:xfrm>
              <a:off x="15379699" y="6321717"/>
              <a:ext cx="825501" cy="2257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←〖"SE" 〗_(𝛽_1 )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20</xdr:col>
      <xdr:colOff>0</xdr:colOff>
      <xdr:row>29</xdr:row>
      <xdr:rowOff>0</xdr:rowOff>
    </xdr:from>
    <xdr:ext cx="927100" cy="2159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3EAF032D-0199-E846-A2A3-BD65CF249D5F}"/>
                </a:ext>
              </a:extLst>
            </xdr:cNvPr>
            <xdr:cNvSpPr txBox="1"/>
          </xdr:nvSpPr>
          <xdr:spPr>
            <a:xfrm>
              <a:off x="15379700" y="5092700"/>
              <a:ext cx="927100" cy="2159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pl-PL" sz="1100" b="0" i="1">
                        <a:latin typeface="Cambria Math" panose="02040503050406030204" pitchFamily="18" charset="0"/>
                      </a:rPr>
                      <m:t>𝑖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3EAF032D-0199-E846-A2A3-BD65CF249D5F}"/>
                </a:ext>
              </a:extLst>
            </xdr:cNvPr>
            <xdr:cNvSpPr txBox="1"/>
          </xdr:nvSpPr>
          <xdr:spPr>
            <a:xfrm>
              <a:off x="15379700" y="5092700"/>
              <a:ext cx="927100" cy="2159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𝑖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21</xdr:col>
      <xdr:colOff>0</xdr:colOff>
      <xdr:row>29</xdr:row>
      <xdr:rowOff>0</xdr:rowOff>
    </xdr:from>
    <xdr:ext cx="850900" cy="2159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B0711B5D-EF00-9642-A3E5-EB35608C5D7B}"/>
                </a:ext>
              </a:extLst>
            </xdr:cNvPr>
            <xdr:cNvSpPr txBox="1"/>
          </xdr:nvSpPr>
          <xdr:spPr>
            <a:xfrm>
              <a:off x="16306800" y="5092700"/>
              <a:ext cx="850900" cy="2159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pl-PL" sz="1100" b="0"/>
            </a:p>
            <a:p>
              <a:endParaRPr lang="en-GB" sz="1100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B0711B5D-EF00-9642-A3E5-EB35608C5D7B}"/>
                </a:ext>
              </a:extLst>
            </xdr:cNvPr>
            <xdr:cNvSpPr txBox="1"/>
          </xdr:nvSpPr>
          <xdr:spPr>
            <a:xfrm>
              <a:off x="16306800" y="5092700"/>
              <a:ext cx="850900" cy="2159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𝛽_𝑖</a:t>
              </a:r>
              <a:endParaRPr lang="pl-PL" sz="1100" b="0"/>
            </a:p>
            <a:p>
              <a:pPr/>
              <a:endParaRPr lang="en-GB" sz="1100"/>
            </a:p>
          </xdr:txBody>
        </xdr:sp>
      </mc:Fallback>
    </mc:AlternateContent>
    <xdr:clientData/>
  </xdr:oneCellAnchor>
  <xdr:oneCellAnchor>
    <xdr:from>
      <xdr:col>23</xdr:col>
      <xdr:colOff>0</xdr:colOff>
      <xdr:row>29</xdr:row>
      <xdr:rowOff>0</xdr:rowOff>
    </xdr:from>
    <xdr:ext cx="825500" cy="2031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486EE387-8D6E-314C-9D36-8F2BB64DD3BB}"/>
                </a:ext>
              </a:extLst>
            </xdr:cNvPr>
            <xdr:cNvSpPr txBox="1"/>
          </xdr:nvSpPr>
          <xdr:spPr>
            <a:xfrm>
              <a:off x="17983200" y="5092700"/>
              <a:ext cx="825500" cy="2031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m:rPr>
                            <m:nor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statistics</m:t>
                        </m:r>
                      </m:sub>
                    </m:sSub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486EE387-8D6E-314C-9D36-8F2BB64DD3BB}"/>
                </a:ext>
              </a:extLst>
            </xdr:cNvPr>
            <xdr:cNvSpPr txBox="1"/>
          </xdr:nvSpPr>
          <xdr:spPr>
            <a:xfrm>
              <a:off x="17983200" y="5092700"/>
              <a:ext cx="825500" cy="2031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𝑡_"statistics" 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24</xdr:col>
      <xdr:colOff>0</xdr:colOff>
      <xdr:row>29</xdr:row>
      <xdr:rowOff>0</xdr:rowOff>
    </xdr:from>
    <xdr:ext cx="825500" cy="2031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CA5E2CEF-09A2-084B-94A0-7EF8F8BA2F4F}"/>
                </a:ext>
              </a:extLst>
            </xdr:cNvPr>
            <xdr:cNvSpPr txBox="1"/>
          </xdr:nvSpPr>
          <xdr:spPr>
            <a:xfrm>
              <a:off x="18808700" y="5092700"/>
              <a:ext cx="825500" cy="2031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pl-PL" sz="1100" b="0" i="1">
                            <a:latin typeface="Cambria Math" panose="02040503050406030204" pitchFamily="18" charset="0"/>
                          </a:rPr>
                          <m:t>p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value</m:t>
                        </m:r>
                      </m:sub>
                    </m:sSub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CA5E2CEF-09A2-084B-94A0-7EF8F8BA2F4F}"/>
                </a:ext>
              </a:extLst>
            </xdr:cNvPr>
            <xdr:cNvSpPr txBox="1"/>
          </xdr:nvSpPr>
          <xdr:spPr>
            <a:xfrm>
              <a:off x="18808700" y="5092700"/>
              <a:ext cx="825500" cy="2031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p_value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22</xdr:col>
      <xdr:colOff>0</xdr:colOff>
      <xdr:row>29</xdr:row>
      <xdr:rowOff>0</xdr:rowOff>
    </xdr:from>
    <xdr:ext cx="825500" cy="2159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31F855B8-E340-6745-9B9B-2BC44C3D76F6}"/>
                </a:ext>
              </a:extLst>
            </xdr:cNvPr>
            <xdr:cNvSpPr txBox="1"/>
          </xdr:nvSpPr>
          <xdr:spPr>
            <a:xfrm>
              <a:off x="17157700" y="5092700"/>
              <a:ext cx="825500" cy="2159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nor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SE</m:t>
                        </m:r>
                      </m:e>
                      <m:sub>
                        <m:sSub>
                          <m:sSub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𝛽</m:t>
                            </m:r>
                          </m:e>
                          <m:sub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31F855B8-E340-6745-9B9B-2BC44C3D76F6}"/>
                </a:ext>
              </a:extLst>
            </xdr:cNvPr>
            <xdr:cNvSpPr txBox="1"/>
          </xdr:nvSpPr>
          <xdr:spPr>
            <a:xfrm>
              <a:off x="17157700" y="5092700"/>
              <a:ext cx="825500" cy="2159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〖"SE" 〗_(𝛽_𝑖 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25</xdr:col>
      <xdr:colOff>0</xdr:colOff>
      <xdr:row>29</xdr:row>
      <xdr:rowOff>190501</xdr:rowOff>
    </xdr:from>
    <xdr:ext cx="825500" cy="2257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C4B809E7-B495-DD4F-95C4-DC97CCBAD4EF}"/>
                </a:ext>
              </a:extLst>
            </xdr:cNvPr>
            <xdr:cNvSpPr txBox="1"/>
          </xdr:nvSpPr>
          <xdr:spPr>
            <a:xfrm>
              <a:off x="19659600" y="5283201"/>
              <a:ext cx="825500" cy="2257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pl-PL" sz="1100" b="0" i="1">
                        <a:latin typeface="Cambria Math" panose="02040503050406030204" pitchFamily="18" charset="0"/>
                      </a:rPr>
                      <m:t>⟵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C4B809E7-B495-DD4F-95C4-DC97CCBAD4EF}"/>
                </a:ext>
              </a:extLst>
            </xdr:cNvPr>
            <xdr:cNvSpPr txBox="1"/>
          </xdr:nvSpPr>
          <xdr:spPr>
            <a:xfrm>
              <a:off x="19659600" y="5283201"/>
              <a:ext cx="825500" cy="2257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⟵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18</xdr:col>
      <xdr:colOff>0</xdr:colOff>
      <xdr:row>13</xdr:row>
      <xdr:rowOff>0</xdr:rowOff>
    </xdr:from>
    <xdr:ext cx="825500" cy="203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0396676C-7072-3748-A117-9668942B20E8}"/>
                </a:ext>
              </a:extLst>
            </xdr:cNvPr>
            <xdr:cNvSpPr txBox="1"/>
          </xdr:nvSpPr>
          <xdr:spPr>
            <a:xfrm>
              <a:off x="15379700" y="2641600"/>
              <a:ext cx="825500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pl-PL" sz="1100" b="0" i="1">
                        <a:latin typeface="Cambria Math" panose="02040503050406030204" pitchFamily="18" charset="0"/>
                      </a:rPr>
                      <m:t>←</m:t>
                    </m:r>
                    <m:sSub>
                      <m:sSub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0396676C-7072-3748-A117-9668942B20E8}"/>
                </a:ext>
              </a:extLst>
            </xdr:cNvPr>
            <xdr:cNvSpPr txBox="1"/>
          </xdr:nvSpPr>
          <xdr:spPr>
            <a:xfrm>
              <a:off x="15379700" y="2641600"/>
              <a:ext cx="825500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←𝛽_2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17</xdr:col>
      <xdr:colOff>927099</xdr:colOff>
      <xdr:row>32</xdr:row>
      <xdr:rowOff>32332</xdr:rowOff>
    </xdr:from>
    <xdr:ext cx="825501" cy="2130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ABDB0EFF-976F-C140-B3DF-358B350A3C80}"/>
                </a:ext>
              </a:extLst>
            </xdr:cNvPr>
            <xdr:cNvSpPr txBox="1"/>
          </xdr:nvSpPr>
          <xdr:spPr>
            <a:xfrm>
              <a:off x="15379699" y="6547432"/>
              <a:ext cx="825501" cy="2130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pl-PL" sz="1100" b="0" i="1">
                        <a:latin typeface="Cambria Math" panose="02040503050406030204" pitchFamily="18" charset="0"/>
                      </a:rPr>
                      <m:t>←</m:t>
                    </m:r>
                    <m:sSub>
                      <m:sSub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nor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SE</m:t>
                        </m:r>
                      </m:e>
                      <m:sub>
                        <m:sSub>
                          <m:sSub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𝛽</m:t>
                            </m:r>
                          </m:e>
                          <m:sub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ABDB0EFF-976F-C140-B3DF-358B350A3C80}"/>
                </a:ext>
              </a:extLst>
            </xdr:cNvPr>
            <xdr:cNvSpPr txBox="1"/>
          </xdr:nvSpPr>
          <xdr:spPr>
            <a:xfrm>
              <a:off x="15379699" y="6547432"/>
              <a:ext cx="825501" cy="2130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←〖"SE" 〗_(𝛽_2 )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25</xdr:col>
      <xdr:colOff>0</xdr:colOff>
      <xdr:row>31</xdr:row>
      <xdr:rowOff>0</xdr:rowOff>
    </xdr:from>
    <xdr:ext cx="825500" cy="2257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4C9EBC44-C528-EF46-BE0C-136002C0BEE2}"/>
                </a:ext>
              </a:extLst>
            </xdr:cNvPr>
            <xdr:cNvSpPr txBox="1"/>
          </xdr:nvSpPr>
          <xdr:spPr>
            <a:xfrm>
              <a:off x="21386800" y="6311900"/>
              <a:ext cx="825500" cy="2257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pl-PL" sz="1100" b="0" i="1">
                        <a:latin typeface="Cambria Math" panose="02040503050406030204" pitchFamily="18" charset="0"/>
                      </a:rPr>
                      <m:t>⟵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4C9EBC44-C528-EF46-BE0C-136002C0BEE2}"/>
                </a:ext>
              </a:extLst>
            </xdr:cNvPr>
            <xdr:cNvSpPr txBox="1"/>
          </xdr:nvSpPr>
          <xdr:spPr>
            <a:xfrm>
              <a:off x="21386800" y="6311900"/>
              <a:ext cx="825500" cy="2257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⟵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25</xdr:col>
      <xdr:colOff>0</xdr:colOff>
      <xdr:row>32</xdr:row>
      <xdr:rowOff>0</xdr:rowOff>
    </xdr:from>
    <xdr:ext cx="825500" cy="2257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E4C4F23A-2C34-2740-90ED-6D2A66824858}"/>
                </a:ext>
              </a:extLst>
            </xdr:cNvPr>
            <xdr:cNvSpPr txBox="1"/>
          </xdr:nvSpPr>
          <xdr:spPr>
            <a:xfrm>
              <a:off x="21386800" y="6515100"/>
              <a:ext cx="825500" cy="2257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pl-PL" sz="1100" b="0" i="1">
                        <a:latin typeface="Cambria Math" panose="02040503050406030204" pitchFamily="18" charset="0"/>
                      </a:rPr>
                      <m:t>⟵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E4C4F23A-2C34-2740-90ED-6D2A66824858}"/>
                </a:ext>
              </a:extLst>
            </xdr:cNvPr>
            <xdr:cNvSpPr txBox="1"/>
          </xdr:nvSpPr>
          <xdr:spPr>
            <a:xfrm>
              <a:off x="21386800" y="6515100"/>
              <a:ext cx="825500" cy="2257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⟵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21</xdr:col>
      <xdr:colOff>0</xdr:colOff>
      <xdr:row>37</xdr:row>
      <xdr:rowOff>26544</xdr:rowOff>
    </xdr:from>
    <xdr:ext cx="1238288" cy="17722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3AF43BF8-0995-60D3-617A-73686678111E}"/>
                </a:ext>
              </a:extLst>
            </xdr:cNvPr>
            <xdr:cNvSpPr txBox="1"/>
          </xdr:nvSpPr>
          <xdr:spPr>
            <a:xfrm>
              <a:off x="17983200" y="7570344"/>
              <a:ext cx="1238288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pl-PL" sz="11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pl-PL" sz="1100" b="0" i="1">
                        <a:latin typeface="Cambria Math" panose="02040503050406030204" pitchFamily="18" charset="0"/>
                      </a:rPr>
                      <m:t>𝑡</m:t>
                    </m:r>
                    <m:r>
                      <a:rPr lang="pl-PL" sz="11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sSup>
                      <m:sSup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p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3AF43BF8-0995-60D3-617A-73686678111E}"/>
                </a:ext>
              </a:extLst>
            </xdr:cNvPr>
            <xdr:cNvSpPr txBox="1"/>
          </xdr:nvSpPr>
          <xdr:spPr>
            <a:xfrm>
              <a:off x="17983200" y="7570344"/>
              <a:ext cx="1238288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l-PL" sz="1100" b="0" i="0">
                  <a:latin typeface="Cambria Math" panose="02040503050406030204" pitchFamily="18" charset="0"/>
                </a:rPr>
                <a:t>𝑦 ̂=𝛽_0+𝛽_1 𝑡+𝛽_2 𝑡^2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23</xdr:col>
      <xdr:colOff>0</xdr:colOff>
      <xdr:row>37</xdr:row>
      <xdr:rowOff>0</xdr:rowOff>
    </xdr:from>
    <xdr:ext cx="825500" cy="2257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7E6947C2-758E-8446-AFDE-CA58F5C42FD7}"/>
                </a:ext>
              </a:extLst>
            </xdr:cNvPr>
            <xdr:cNvSpPr txBox="1"/>
          </xdr:nvSpPr>
          <xdr:spPr>
            <a:xfrm>
              <a:off x="19634200" y="7543800"/>
              <a:ext cx="825500" cy="2257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pl-PL" sz="1100" b="0" i="1">
                        <a:latin typeface="Cambria Math" panose="02040503050406030204" pitchFamily="18" charset="0"/>
                      </a:rPr>
                      <m:t>⟵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7E6947C2-758E-8446-AFDE-CA58F5C42FD7}"/>
                </a:ext>
              </a:extLst>
            </xdr:cNvPr>
            <xdr:cNvSpPr txBox="1"/>
          </xdr:nvSpPr>
          <xdr:spPr>
            <a:xfrm>
              <a:off x="19634200" y="7543800"/>
              <a:ext cx="825500" cy="2257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⟵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24</xdr:col>
      <xdr:colOff>0</xdr:colOff>
      <xdr:row>37</xdr:row>
      <xdr:rowOff>0</xdr:rowOff>
    </xdr:from>
    <xdr:ext cx="927100" cy="203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63159967-A3DA-4628-E395-80B6F1FEFC41}"/>
                </a:ext>
              </a:extLst>
            </xdr:cNvPr>
            <xdr:cNvSpPr txBox="1"/>
          </xdr:nvSpPr>
          <xdr:spPr>
            <a:xfrm>
              <a:off x="20561300" y="7543800"/>
              <a:ext cx="927100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pl-PL" sz="1100" b="0" i="1">
                        <a:latin typeface="Cambria Math" panose="02040503050406030204" pitchFamily="18" charset="0"/>
                      </a:rPr>
                      <m:t>=0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63159967-A3DA-4628-E395-80B6F1FEFC41}"/>
                </a:ext>
              </a:extLst>
            </xdr:cNvPr>
            <xdr:cNvSpPr txBox="1"/>
          </xdr:nvSpPr>
          <xdr:spPr>
            <a:xfrm>
              <a:off x="20561300" y="7543800"/>
              <a:ext cx="927100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𝛽_1=0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21</xdr:col>
      <xdr:colOff>0</xdr:colOff>
      <xdr:row>40</xdr:row>
      <xdr:rowOff>0</xdr:rowOff>
    </xdr:from>
    <xdr:ext cx="1651000" cy="4309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FBEEB196-B6A8-7E6E-F6D1-7AE801A24072}"/>
                </a:ext>
              </a:extLst>
            </xdr:cNvPr>
            <xdr:cNvSpPr txBox="1"/>
          </xdr:nvSpPr>
          <xdr:spPr>
            <a:xfrm>
              <a:off x="17983200" y="8153400"/>
              <a:ext cx="1651000" cy="4309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f>
                      <m:f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𝜕</m:t>
                        </m:r>
                        <m:acc>
                          <m:accPr>
                            <m:chr m:val="̂"/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</m:acc>
                      </m:num>
                      <m:den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𝜕</m:t>
                        </m:r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𝑡</m:t>
                        </m:r>
                      </m:den>
                    </m:f>
                    <m:r>
                      <a:rPr lang="en-GB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GB" sz="1100" i="1">
                        <a:latin typeface="Cambria Math" panose="02040503050406030204" pitchFamily="18" charset="0"/>
                      </a:rPr>
                      <m:t>+2</m:t>
                    </m:r>
                    <m:sSub>
                      <m:sSub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m:rPr>
                            <m:nor/>
                          </m:rPr>
                          <a:rPr lang="en-GB" sz="1100" i="0">
                            <a:latin typeface="Cambria Math" panose="02040503050406030204" pitchFamily="18" charset="0"/>
                          </a:rPr>
                          <m:t>mean</m:t>
                        </m:r>
                      </m:sub>
                    </m:sSub>
                    <m:d>
                      <m:d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</m:d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FBEEB196-B6A8-7E6E-F6D1-7AE801A24072}"/>
                </a:ext>
              </a:extLst>
            </xdr:cNvPr>
            <xdr:cNvSpPr txBox="1"/>
          </xdr:nvSpPr>
          <xdr:spPr>
            <a:xfrm>
              <a:off x="17983200" y="8153400"/>
              <a:ext cx="1651000" cy="4309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GB" sz="1100" i="0">
                  <a:latin typeface="Cambria Math" panose="02040503050406030204" pitchFamily="18" charset="0"/>
                </a:rPr>
                <a:t>(𝜕𝑦 ̂)/𝜕𝑡=𝛽_1+2𝛽_2"mean"  (𝑡)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21</xdr:col>
      <xdr:colOff>0</xdr:colOff>
      <xdr:row>44</xdr:row>
      <xdr:rowOff>0</xdr:rowOff>
    </xdr:from>
    <xdr:ext cx="2476500" cy="6096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E1A8879E-8AD5-260E-EB07-E58893F66111}"/>
                </a:ext>
              </a:extLst>
            </xdr:cNvPr>
            <xdr:cNvSpPr txBox="1"/>
          </xdr:nvSpPr>
          <xdr:spPr>
            <a:xfrm>
              <a:off x="17983200" y="8966200"/>
              <a:ext cx="2476500" cy="609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f>
                      <m:f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acc>
                          <m:accPr>
                            <m:chr m:val="̂"/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</m:acc>
                      </m:den>
                    </m:f>
                    <m:r>
                      <a:rPr lang="en-GB" sz="1100" i="1">
                        <a:latin typeface="Cambria Math" panose="02040503050406030204" pitchFamily="18" charset="0"/>
                      </a:rPr>
                      <m:t>⋅</m:t>
                    </m:r>
                    <m:f>
                      <m:f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𝜕</m:t>
                        </m:r>
                        <m:acc>
                          <m:accPr>
                            <m:chr m:val="̂"/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</m:acc>
                      </m:num>
                      <m:den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𝜕</m:t>
                        </m:r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𝑡</m:t>
                        </m:r>
                      </m:den>
                    </m:f>
                    <m:r>
                      <a:rPr lang="en-GB" sz="11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𝛽</m:t>
                            </m:r>
                          </m:e>
                          <m:sub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+2</m:t>
                        </m:r>
                        <m:sSub>
                          <m:sSubPr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𝛽</m:t>
                            </m:r>
                          </m:e>
                          <m:sub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m:rPr>
                                <m:nor/>
                              </m:rPr>
                              <a:rPr lang="en-GB" sz="1100" i="0">
                                <a:latin typeface="Cambria Math" panose="02040503050406030204" pitchFamily="18" charset="0"/>
                              </a:rPr>
                              <m:t>mean</m:t>
                            </m:r>
                          </m:sub>
                        </m:sSub>
                        <m:d>
                          <m:dPr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e>
                        </m:d>
                      </m:num>
                      <m:den>
                        <m:r>
                          <m:rPr>
                            <m:nor/>
                          </m:rPr>
                          <a:rPr lang="en-GB" sz="1100" i="0">
                            <a:latin typeface="Cambria Math" panose="02040503050406030204" pitchFamily="18" charset="0"/>
                          </a:rPr>
                          <m:t>mean</m:t>
                        </m:r>
                        <m:d>
                          <m:dPr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acc>
                              <m:accPr>
                                <m:chr m:val="̂"/>
                                <m:ctrlPr>
                                  <a:rPr lang="en-GB" sz="110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GB" sz="110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</m:acc>
                          </m:e>
                        </m:d>
                      </m:den>
                    </m:f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E1A8879E-8AD5-260E-EB07-E58893F66111}"/>
                </a:ext>
              </a:extLst>
            </xdr:cNvPr>
            <xdr:cNvSpPr txBox="1"/>
          </xdr:nvSpPr>
          <xdr:spPr>
            <a:xfrm>
              <a:off x="17983200" y="8966200"/>
              <a:ext cx="2476500" cy="609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GB" sz="1100" i="0">
                  <a:latin typeface="Cambria Math" panose="02040503050406030204" pitchFamily="18" charset="0"/>
                </a:rPr>
                <a:t>1/𝑦 ̂ ⋅(𝜕𝑦 ̂)/𝜕𝑡=(𝛽_1+2𝛽_2"mean"  (𝑡))/"mean" (𝑦 ̂ ) </a:t>
              </a:r>
              <a:endParaRPr lang="en-GB" sz="1100"/>
            </a:p>
          </xdr:txBody>
        </xdr:sp>
      </mc:Fallback>
    </mc:AlternateContent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7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FF1181-D4D8-CD7B-6710-DEA04787EA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10</xdr:col>
      <xdr:colOff>0</xdr:colOff>
      <xdr:row>0</xdr:row>
      <xdr:rowOff>0</xdr:rowOff>
    </xdr:from>
    <xdr:ext cx="825500" cy="203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2E31BD6-0814-5723-02B8-0B25FC8E22A8}"/>
                </a:ext>
              </a:extLst>
            </xdr:cNvPr>
            <xdr:cNvSpPr txBox="1"/>
          </xdr:nvSpPr>
          <xdr:spPr>
            <a:xfrm>
              <a:off x="8255000" y="0"/>
              <a:ext cx="825500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pl-PL" sz="1100" b="0" i="0">
                        <a:latin typeface="Cambria Math" panose="02040503050406030204" pitchFamily="18" charset="0"/>
                      </a:rPr>
                      <m:t>quartile</m:t>
                    </m:r>
                    <m:d>
                      <m:d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,1</m:t>
                        </m:r>
                      </m:e>
                    </m:d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2E31BD6-0814-5723-02B8-0B25FC8E22A8}"/>
                </a:ext>
              </a:extLst>
            </xdr:cNvPr>
            <xdr:cNvSpPr txBox="1"/>
          </xdr:nvSpPr>
          <xdr:spPr>
            <a:xfrm>
              <a:off x="8255000" y="0"/>
              <a:ext cx="825500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"quartile" (𝑡,1)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10</xdr:col>
      <xdr:colOff>0</xdr:colOff>
      <xdr:row>1</xdr:row>
      <xdr:rowOff>0</xdr:rowOff>
    </xdr:from>
    <xdr:ext cx="825500" cy="203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607CF0EC-A0E9-7844-8A22-8BD546124F20}"/>
                </a:ext>
              </a:extLst>
            </xdr:cNvPr>
            <xdr:cNvSpPr txBox="1"/>
          </xdr:nvSpPr>
          <xdr:spPr>
            <a:xfrm>
              <a:off x="8255000" y="203200"/>
              <a:ext cx="825500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pl-PL" sz="1100" b="0" i="0">
                        <a:latin typeface="Cambria Math" panose="02040503050406030204" pitchFamily="18" charset="0"/>
                      </a:rPr>
                      <m:t>quartile</m:t>
                    </m:r>
                    <m:d>
                      <m:d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,3</m:t>
                        </m:r>
                      </m:e>
                    </m:d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607CF0EC-A0E9-7844-8A22-8BD546124F20}"/>
                </a:ext>
              </a:extLst>
            </xdr:cNvPr>
            <xdr:cNvSpPr txBox="1"/>
          </xdr:nvSpPr>
          <xdr:spPr>
            <a:xfrm>
              <a:off x="8255000" y="203200"/>
              <a:ext cx="825500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"quartile" (𝑡,3)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10</xdr:col>
      <xdr:colOff>0</xdr:colOff>
      <xdr:row>3</xdr:row>
      <xdr:rowOff>0</xdr:rowOff>
    </xdr:from>
    <xdr:ext cx="825500" cy="203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50DCF156-E564-ABEA-7C21-84C31C3DB34E}"/>
                </a:ext>
              </a:extLst>
            </xdr:cNvPr>
            <xdr:cNvSpPr txBox="1"/>
          </xdr:nvSpPr>
          <xdr:spPr>
            <a:xfrm>
              <a:off x="8255000" y="609600"/>
              <a:ext cx="825500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50DCF156-E564-ABEA-7C21-84C31C3DB34E}"/>
                </a:ext>
              </a:extLst>
            </xdr:cNvPr>
            <xdr:cNvSpPr txBox="1"/>
          </xdr:nvSpPr>
          <xdr:spPr>
            <a:xfrm>
              <a:off x="8255000" y="609600"/>
              <a:ext cx="825500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𝛽_0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10</xdr:col>
      <xdr:colOff>0</xdr:colOff>
      <xdr:row>4</xdr:row>
      <xdr:rowOff>0</xdr:rowOff>
    </xdr:from>
    <xdr:ext cx="825500" cy="203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725B8912-7CAB-7A4E-BD46-1D581C7F8AFE}"/>
                </a:ext>
              </a:extLst>
            </xdr:cNvPr>
            <xdr:cNvSpPr txBox="1"/>
          </xdr:nvSpPr>
          <xdr:spPr>
            <a:xfrm>
              <a:off x="8255000" y="812800"/>
              <a:ext cx="825500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725B8912-7CAB-7A4E-BD46-1D581C7F8AFE}"/>
                </a:ext>
              </a:extLst>
            </xdr:cNvPr>
            <xdr:cNvSpPr txBox="1"/>
          </xdr:nvSpPr>
          <xdr:spPr>
            <a:xfrm>
              <a:off x="8255000" y="812800"/>
              <a:ext cx="825500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𝛽_1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10</xdr:col>
      <xdr:colOff>0</xdr:colOff>
      <xdr:row>5</xdr:row>
      <xdr:rowOff>0</xdr:rowOff>
    </xdr:from>
    <xdr:ext cx="825500" cy="203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CC3F7B84-C21F-8141-B777-263B7D7A0A6F}"/>
                </a:ext>
              </a:extLst>
            </xdr:cNvPr>
            <xdr:cNvSpPr txBox="1"/>
          </xdr:nvSpPr>
          <xdr:spPr>
            <a:xfrm>
              <a:off x="8255000" y="1016000"/>
              <a:ext cx="825500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CC3F7B84-C21F-8141-B777-263B7D7A0A6F}"/>
                </a:ext>
              </a:extLst>
            </xdr:cNvPr>
            <xdr:cNvSpPr txBox="1"/>
          </xdr:nvSpPr>
          <xdr:spPr>
            <a:xfrm>
              <a:off x="8255000" y="1016000"/>
              <a:ext cx="825500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𝛽_2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13</xdr:col>
      <xdr:colOff>1</xdr:colOff>
      <xdr:row>2</xdr:row>
      <xdr:rowOff>0</xdr:rowOff>
    </xdr:from>
    <xdr:ext cx="825499" cy="203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CDFB55F3-F607-E03F-326D-B1A67172B7BF}"/>
                </a:ext>
              </a:extLst>
            </xdr:cNvPr>
            <xdr:cNvSpPr txBox="1"/>
          </xdr:nvSpPr>
          <xdr:spPr>
            <a:xfrm>
              <a:off x="10731501" y="406400"/>
              <a:ext cx="825499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nor/>
                      </m:rPr>
                      <a:rPr lang="pl-PL" sz="1100" b="0" i="0">
                        <a:latin typeface="Cambria Math" panose="02040503050406030204" pitchFamily="18" charset="0"/>
                      </a:rPr>
                      <m:t>max</m:t>
                    </m:r>
                    <m:d>
                      <m:d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</m:d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CDFB55F3-F607-E03F-326D-B1A67172B7BF}"/>
                </a:ext>
              </a:extLst>
            </xdr:cNvPr>
            <xdr:cNvSpPr txBox="1"/>
          </xdr:nvSpPr>
          <xdr:spPr>
            <a:xfrm>
              <a:off x="10731501" y="406400"/>
              <a:ext cx="825499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𝛽_0="max" (𝑌)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14</xdr:col>
      <xdr:colOff>0</xdr:colOff>
      <xdr:row>1</xdr:row>
      <xdr:rowOff>0</xdr:rowOff>
    </xdr:from>
    <xdr:ext cx="2476500" cy="6096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8E35E64-6405-298C-8039-93A85D5A1B2C}"/>
                </a:ext>
              </a:extLst>
            </xdr:cNvPr>
            <xdr:cNvSpPr txBox="1"/>
          </xdr:nvSpPr>
          <xdr:spPr>
            <a:xfrm>
              <a:off x="11557000" y="203200"/>
              <a:ext cx="2476500" cy="609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𝛽</m:t>
                            </m:r>
                          </m:e>
                          <m:sub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nor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quartile</m:t>
                        </m:r>
                        <m:d>
                          <m:d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m:rPr>
                                <m:sty m:val="p"/>
                              </m:rPr>
                              <a:rPr lang="pl-PL" sz="1100" b="0" i="1">
                                <a:latin typeface="Cambria Math" panose="02040503050406030204" pitchFamily="18" charset="0"/>
                              </a:rPr>
                              <m:t>Y</m:t>
                            </m:r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,1</m:t>
                            </m:r>
                          </m:e>
                        </m:d>
                      </m:num>
                      <m:den>
                        <m:r>
                          <m:rPr>
                            <m:nor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quartile</m:t>
                        </m:r>
                        <m:d>
                          <m:d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m:rPr>
                                <m:sty m:val="p"/>
                              </m:rPr>
                              <a:rPr lang="pl-PL" sz="1100" b="0" i="1">
                                <a:latin typeface="Cambria Math" panose="02040503050406030204" pitchFamily="18" charset="0"/>
                              </a:rPr>
                              <m:t>Y</m:t>
                            </m:r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,1</m:t>
                            </m:r>
                          </m:e>
                        </m:d>
                      </m:den>
                    </m:f>
                    <m:r>
                      <a:rPr lang="pl-PL" sz="1100" b="0" i="1">
                        <a:latin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8E35E64-6405-298C-8039-93A85D5A1B2C}"/>
                </a:ext>
              </a:extLst>
            </xdr:cNvPr>
            <xdr:cNvSpPr txBox="1"/>
          </xdr:nvSpPr>
          <xdr:spPr>
            <a:xfrm>
              <a:off x="11557000" y="203200"/>
              <a:ext cx="2476500" cy="609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𝛽_1=(𝛽_0−"quartile" (Y,1))/"quartile" (Y,1) }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4</xdr:col>
      <xdr:colOff>0</xdr:colOff>
      <xdr:row>0</xdr:row>
      <xdr:rowOff>0</xdr:rowOff>
    </xdr:from>
    <xdr:ext cx="825500" cy="20320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E99FF638-E939-5D45-AC6B-8633F12C3552}"/>
                </a:ext>
              </a:extLst>
            </xdr:cNvPr>
            <xdr:cNvSpPr txBox="1"/>
          </xdr:nvSpPr>
          <xdr:spPr>
            <a:xfrm>
              <a:off x="3302000" y="0"/>
              <a:ext cx="825500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pl-PL" sz="1100" b="0" i="1">
                        <a:latin typeface="Cambria Math" panose="02040503050406030204" pitchFamily="18" charset="0"/>
                      </a:rPr>
                      <m:t>Y</m:t>
                    </m:r>
                  </m:oMath>
                </m:oMathPara>
              </a14:m>
              <a:endParaRPr lang="en-GB" sz="11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E99FF638-E939-5D45-AC6B-8633F12C3552}"/>
                </a:ext>
              </a:extLst>
            </xdr:cNvPr>
            <xdr:cNvSpPr txBox="1"/>
          </xdr:nvSpPr>
          <xdr:spPr>
            <a:xfrm>
              <a:off x="3302000" y="0"/>
              <a:ext cx="825500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Y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6</xdr:col>
      <xdr:colOff>0</xdr:colOff>
      <xdr:row>0</xdr:row>
      <xdr:rowOff>0</xdr:rowOff>
    </xdr:from>
    <xdr:ext cx="825500" cy="2031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D206EBB7-701A-5845-B5EE-E6F0F09D9D02}"/>
                </a:ext>
              </a:extLst>
            </xdr:cNvPr>
            <xdr:cNvSpPr txBox="1"/>
          </xdr:nvSpPr>
          <xdr:spPr>
            <a:xfrm>
              <a:off x="4953000" y="0"/>
              <a:ext cx="825500" cy="2031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</m:acc>
                  </m:oMath>
                </m:oMathPara>
              </a14:m>
              <a:endParaRPr lang="en-GB" sz="11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D206EBB7-701A-5845-B5EE-E6F0F09D9D02}"/>
                </a:ext>
              </a:extLst>
            </xdr:cNvPr>
            <xdr:cNvSpPr txBox="1"/>
          </xdr:nvSpPr>
          <xdr:spPr>
            <a:xfrm>
              <a:off x="4953000" y="0"/>
              <a:ext cx="825500" cy="2031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𝑌 ̂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8</xdr:col>
      <xdr:colOff>0</xdr:colOff>
      <xdr:row>0</xdr:row>
      <xdr:rowOff>0</xdr:rowOff>
    </xdr:from>
    <xdr:ext cx="825500" cy="20320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740A5764-43FC-704F-99CC-26A1E14D1781}"/>
                </a:ext>
              </a:extLst>
            </xdr:cNvPr>
            <xdr:cNvSpPr txBox="1"/>
          </xdr:nvSpPr>
          <xdr:spPr>
            <a:xfrm>
              <a:off x="6604000" y="0"/>
              <a:ext cx="825500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en-GB" sz="1100" i="1">
                        <a:latin typeface="Cambria Math" panose="02040503050406030204" pitchFamily="18" charset="0"/>
                      </a:rPr>
                      <m:t>𝑟</m:t>
                    </m:r>
                    <m:r>
                      <a:rPr lang="en-GB" sz="110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acc>
                              <m:accPr>
                                <m:chr m:val="̂"/>
                                <m:ctrlPr>
                                  <a:rPr lang="en-GB" sz="110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GB" sz="1100" i="1">
                                    <a:latin typeface="Cambria Math" panose="02040503050406030204" pitchFamily="18" charset="0"/>
                                  </a:rPr>
                                  <m:t>𝑌</m:t>
                                </m:r>
                              </m:e>
                            </m:acc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</m:d>
                      </m:e>
                      <m:sup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GB" sz="110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740A5764-43FC-704F-99CC-26A1E14D1781}"/>
                </a:ext>
              </a:extLst>
            </xdr:cNvPr>
            <xdr:cNvSpPr txBox="1"/>
          </xdr:nvSpPr>
          <xdr:spPr>
            <a:xfrm>
              <a:off x="6604000" y="0"/>
              <a:ext cx="825500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GB" sz="1100" i="0">
                  <a:latin typeface="Cambria Math" panose="02040503050406030204" pitchFamily="18" charset="0"/>
                </a:rPr>
                <a:t>𝑟=(𝑌 ̂−𝑌)^2</a:t>
              </a:r>
              <a:endParaRPr lang="en-GB" sz="1100"/>
            </a:p>
          </xdr:txBody>
        </xdr:sp>
      </mc:Fallback>
    </mc:AlternateContent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825500" cy="203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2892EA5-2D42-A2F4-C083-A5EAE0044CBE}"/>
                </a:ext>
              </a:extLst>
            </xdr:cNvPr>
            <xdr:cNvSpPr txBox="1"/>
          </xdr:nvSpPr>
          <xdr:spPr>
            <a:xfrm>
              <a:off x="12636500" y="812800"/>
              <a:ext cx="825500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pl-PL" sz="1100" b="0" i="1">
                        <a:latin typeface="Cambria Math" panose="02040503050406030204" pitchFamily="18" charset="0"/>
                      </a:rPr>
                      <m:t>⟵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2892EA5-2D42-A2F4-C083-A5EAE0044CBE}"/>
                </a:ext>
              </a:extLst>
            </xdr:cNvPr>
            <xdr:cNvSpPr txBox="1"/>
          </xdr:nvSpPr>
          <xdr:spPr>
            <a:xfrm>
              <a:off x="12636500" y="812800"/>
              <a:ext cx="825500" cy="203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⟵</a:t>
              </a:r>
              <a:endParaRPr lang="en-GB" sz="1100"/>
            </a:p>
          </xdr:txBody>
        </xdr:sp>
      </mc:Fallback>
    </mc:AlternateContent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11</xdr:col>
      <xdr:colOff>342900</xdr:colOff>
      <xdr:row>31</xdr:row>
      <xdr:rowOff>43686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273BFC-915C-9C5F-119D-5FBFA4588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03200"/>
          <a:ext cx="7772400" cy="59364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</xdr:row>
      <xdr:rowOff>180042</xdr:rowOff>
    </xdr:from>
    <xdr:to>
      <xdr:col>11</xdr:col>
      <xdr:colOff>342900</xdr:colOff>
      <xdr:row>62</xdr:row>
      <xdr:rowOff>96371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5BBEAEC-2A27-7EE3-C2A6-9852E50C4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6682442"/>
          <a:ext cx="7772400" cy="58091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65</xdr:row>
      <xdr:rowOff>12700</xdr:rowOff>
    </xdr:from>
    <xdr:to>
      <xdr:col>11</xdr:col>
      <xdr:colOff>342900</xdr:colOff>
      <xdr:row>93</xdr:row>
      <xdr:rowOff>132229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4B58A15-9FE3-1BB2-F9EF-095CD66BF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1000" y="13474700"/>
          <a:ext cx="7772400" cy="5809129"/>
        </a:xfrm>
        <a:prstGeom prst="rect">
          <a:avLst/>
        </a:prstGeom>
      </xdr:spPr>
    </xdr:pic>
    <xdr:clientData/>
  </xdr:twoCellAnchor>
  <xdr:oneCellAnchor>
    <xdr:from>
      <xdr:col>14</xdr:col>
      <xdr:colOff>0</xdr:colOff>
      <xdr:row>79</xdr:row>
      <xdr:rowOff>0</xdr:rowOff>
    </xdr:from>
    <xdr:ext cx="825500" cy="22571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10E7EF83-4192-B640-B521-D211A728A7E0}"/>
                </a:ext>
              </a:extLst>
            </xdr:cNvPr>
            <xdr:cNvSpPr txBox="1"/>
          </xdr:nvSpPr>
          <xdr:spPr>
            <a:xfrm>
              <a:off x="11557000" y="16929100"/>
              <a:ext cx="825500" cy="2257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pl-PL" sz="1100" b="0" i="1">
                        <a:latin typeface="Cambria Math" panose="02040503050406030204" pitchFamily="18" charset="0"/>
                      </a:rPr>
                      <m:t>⟵</m:t>
                    </m:r>
                  </m:oMath>
                </m:oMathPara>
              </a14:m>
              <a:endParaRPr lang="en-GB" sz="1100"/>
            </a:p>
          </xdr:txBody>
        </xdr:sp>
      </mc:Choice>
      <mc:Fallback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10E7EF83-4192-B640-B521-D211A728A7E0}"/>
                </a:ext>
              </a:extLst>
            </xdr:cNvPr>
            <xdr:cNvSpPr txBox="1"/>
          </xdr:nvSpPr>
          <xdr:spPr>
            <a:xfrm>
              <a:off x="11557000" y="16929100"/>
              <a:ext cx="825500" cy="2257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⟵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14</xdr:col>
      <xdr:colOff>0</xdr:colOff>
      <xdr:row>80</xdr:row>
      <xdr:rowOff>0</xdr:rowOff>
    </xdr:from>
    <xdr:ext cx="825500" cy="22571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92A40EAF-59A1-1E46-96F7-9424430D4F4F}"/>
                </a:ext>
              </a:extLst>
            </xdr:cNvPr>
            <xdr:cNvSpPr txBox="1"/>
          </xdr:nvSpPr>
          <xdr:spPr>
            <a:xfrm>
              <a:off x="11557000" y="17132300"/>
              <a:ext cx="825500" cy="2257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pl-PL" sz="1100" b="0" i="1">
                        <a:latin typeface="Cambria Math" panose="02040503050406030204" pitchFamily="18" charset="0"/>
                      </a:rPr>
                      <m:t>⟵</m:t>
                    </m:r>
                  </m:oMath>
                </m:oMathPara>
              </a14:m>
              <a:endParaRPr lang="en-GB" sz="1100"/>
            </a:p>
          </xdr:txBody>
        </xdr:sp>
      </mc:Choice>
      <mc:Fallback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92A40EAF-59A1-1E46-96F7-9424430D4F4F}"/>
                </a:ext>
              </a:extLst>
            </xdr:cNvPr>
            <xdr:cNvSpPr txBox="1"/>
          </xdr:nvSpPr>
          <xdr:spPr>
            <a:xfrm>
              <a:off x="11557000" y="17132300"/>
              <a:ext cx="825500" cy="2257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⟵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14</xdr:col>
      <xdr:colOff>0</xdr:colOff>
      <xdr:row>83</xdr:row>
      <xdr:rowOff>0</xdr:rowOff>
    </xdr:from>
    <xdr:ext cx="825500" cy="22571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16197EA6-8212-4446-948B-FAA045A8313A}"/>
                </a:ext>
              </a:extLst>
            </xdr:cNvPr>
            <xdr:cNvSpPr txBox="1"/>
          </xdr:nvSpPr>
          <xdr:spPr>
            <a:xfrm>
              <a:off x="11557000" y="17741900"/>
              <a:ext cx="825500" cy="2257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pl-PL" sz="1100" b="0" i="1">
                        <a:latin typeface="Cambria Math" panose="02040503050406030204" pitchFamily="18" charset="0"/>
                      </a:rPr>
                      <m:t>⟵</m:t>
                    </m:r>
                  </m:oMath>
                </m:oMathPara>
              </a14:m>
              <a:endParaRPr lang="en-GB" sz="1100"/>
            </a:p>
          </xdr:txBody>
        </xdr:sp>
      </mc:Choice>
      <mc:Fallback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16197EA6-8212-4446-948B-FAA045A8313A}"/>
                </a:ext>
              </a:extLst>
            </xdr:cNvPr>
            <xdr:cNvSpPr txBox="1"/>
          </xdr:nvSpPr>
          <xdr:spPr>
            <a:xfrm>
              <a:off x="11557000" y="17741900"/>
              <a:ext cx="825500" cy="2257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⟵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14</xdr:col>
      <xdr:colOff>0</xdr:colOff>
      <xdr:row>84</xdr:row>
      <xdr:rowOff>0</xdr:rowOff>
    </xdr:from>
    <xdr:ext cx="825500" cy="22571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52CA9C0D-C117-FD46-9746-14994667DC71}"/>
                </a:ext>
              </a:extLst>
            </xdr:cNvPr>
            <xdr:cNvSpPr txBox="1"/>
          </xdr:nvSpPr>
          <xdr:spPr>
            <a:xfrm>
              <a:off x="11557000" y="17945100"/>
              <a:ext cx="825500" cy="2257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pl-PL" sz="1100" b="0" i="1">
                        <a:latin typeface="Cambria Math" panose="02040503050406030204" pitchFamily="18" charset="0"/>
                      </a:rPr>
                      <m:t>⟵</m:t>
                    </m:r>
                  </m:oMath>
                </m:oMathPara>
              </a14:m>
              <a:endParaRPr lang="en-GB" sz="1100"/>
            </a:p>
          </xdr:txBody>
        </xdr:sp>
      </mc:Choice>
      <mc:Fallback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52CA9C0D-C117-FD46-9746-14994667DC71}"/>
                </a:ext>
              </a:extLst>
            </xdr:cNvPr>
            <xdr:cNvSpPr txBox="1"/>
          </xdr:nvSpPr>
          <xdr:spPr>
            <a:xfrm>
              <a:off x="11557000" y="17945100"/>
              <a:ext cx="825500" cy="2257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⟵</a:t>
              </a:r>
              <a:endParaRPr lang="en-GB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46222-3786-0C42-9D28-E193191D91D2}">
  <dimension ref="A1:J43"/>
  <sheetViews>
    <sheetView workbookViewId="0">
      <selection activeCell="Y17" sqref="Y17"/>
    </sheetView>
  </sheetViews>
  <sheetFormatPr baseColWidth="10" defaultRowHeight="16" x14ac:dyDescent="0.2"/>
  <cols>
    <col min="1" max="1" width="8.1640625" bestFit="1" customWidth="1"/>
    <col min="2" max="2" width="5.1640625" bestFit="1" customWidth="1"/>
    <col min="3" max="4" width="7.1640625" bestFit="1" customWidth="1"/>
    <col min="5" max="5" width="15.5" bestFit="1" customWidth="1"/>
    <col min="6" max="6" width="36.5" bestFit="1" customWidth="1"/>
    <col min="7" max="7" width="12.33203125" bestFit="1" customWidth="1"/>
    <col min="8" max="8" width="7.6640625" bestFit="1" customWidth="1"/>
    <col min="9" max="9" width="9.5" bestFit="1" customWidth="1"/>
    <col min="10" max="10" width="8.33203125" bestFit="1" customWidth="1"/>
  </cols>
  <sheetData>
    <row r="1" spans="1:10" x14ac:dyDescent="0.2">
      <c r="A1" s="3" t="s">
        <v>49</v>
      </c>
      <c r="B1" s="3" t="s">
        <v>43</v>
      </c>
      <c r="C1" s="3" t="s">
        <v>44</v>
      </c>
      <c r="D1" s="3" t="s">
        <v>42</v>
      </c>
      <c r="E1" s="3"/>
      <c r="F1" s="3"/>
      <c r="I1" s="3" t="s">
        <v>45</v>
      </c>
    </row>
    <row r="2" spans="1:10" x14ac:dyDescent="0.2">
      <c r="A2" t="s">
        <v>0</v>
      </c>
      <c r="B2" s="2">
        <v>2015</v>
      </c>
      <c r="C2" s="2">
        <v>1</v>
      </c>
      <c r="D2" s="2">
        <v>150816</v>
      </c>
      <c r="E2" s="2"/>
      <c r="F2" s="1"/>
      <c r="H2" s="3" t="s">
        <v>44</v>
      </c>
      <c r="I2" s="3" t="s">
        <v>46</v>
      </c>
      <c r="J2" s="3" t="s">
        <v>47</v>
      </c>
    </row>
    <row r="3" spans="1:10" x14ac:dyDescent="0.2">
      <c r="A3" t="s">
        <v>1</v>
      </c>
      <c r="B3" s="2">
        <v>2015</v>
      </c>
      <c r="C3" s="2">
        <v>2</v>
      </c>
      <c r="D3" s="2">
        <v>159663</v>
      </c>
      <c r="E3" s="2">
        <f>D3-D2</f>
        <v>8847</v>
      </c>
      <c r="F3" s="1">
        <f>E3-_xlfn.XLOOKUP(C3,$H$3:$H$6,$J$3:$J$6)</f>
        <v>1363.545454545454</v>
      </c>
      <c r="H3">
        <v>1</v>
      </c>
      <c r="I3" s="1">
        <f>AVERAGEIF($C$3:$C$43,1,$E$3:$E$43)</f>
        <v>-3870.5</v>
      </c>
      <c r="J3" s="1">
        <f>I3-$I$8</f>
        <v>-6578.318181818182</v>
      </c>
    </row>
    <row r="4" spans="1:10" x14ac:dyDescent="0.2">
      <c r="A4" t="s">
        <v>2</v>
      </c>
      <c r="B4" s="2">
        <v>2015</v>
      </c>
      <c r="C4" s="2">
        <v>3</v>
      </c>
      <c r="D4" s="2">
        <v>155573</v>
      </c>
      <c r="E4" s="2">
        <f t="shared" ref="E4:E43" si="0">D4-D3</f>
        <v>-4090</v>
      </c>
      <c r="F4" s="1">
        <f t="shared" ref="F4:F43" si="1">E4-_xlfn.XLOOKUP(C4,$H$3:$H$6,$J$3:$J$6)</f>
        <v>2603.5181818181818</v>
      </c>
      <c r="H4">
        <v>2</v>
      </c>
      <c r="I4" s="1">
        <f>AVERAGEIF($C$3:$C$43,2,$E$3:$E$43)</f>
        <v>10191.272727272728</v>
      </c>
      <c r="J4" s="1">
        <f t="shared" ref="J4:J6" si="2">I4-$I$8</f>
        <v>7483.454545454546</v>
      </c>
    </row>
    <row r="5" spans="1:10" x14ac:dyDescent="0.2">
      <c r="A5" t="s">
        <v>3</v>
      </c>
      <c r="B5" s="2">
        <v>2015</v>
      </c>
      <c r="C5" s="2">
        <v>4</v>
      </c>
      <c r="D5" s="2">
        <v>161574</v>
      </c>
      <c r="E5" s="2">
        <f t="shared" si="0"/>
        <v>6001</v>
      </c>
      <c r="F5" s="1">
        <f t="shared" si="1"/>
        <v>212.61818181818126</v>
      </c>
      <c r="H5">
        <v>3</v>
      </c>
      <c r="I5" s="1">
        <f>AVERAGEIF($C$3:$C$43,3,$E$3:$E$43)</f>
        <v>-3985.7</v>
      </c>
      <c r="J5" s="1">
        <f t="shared" si="2"/>
        <v>-6693.5181818181818</v>
      </c>
    </row>
    <row r="6" spans="1:10" x14ac:dyDescent="0.2">
      <c r="A6" t="s">
        <v>4</v>
      </c>
      <c r="B6" s="2">
        <v>2016</v>
      </c>
      <c r="C6" s="2">
        <v>1</v>
      </c>
      <c r="D6" s="2">
        <v>154922</v>
      </c>
      <c r="E6" s="2">
        <f t="shared" si="0"/>
        <v>-6652</v>
      </c>
      <c r="F6" s="1">
        <f t="shared" si="1"/>
        <v>-73.681818181818016</v>
      </c>
      <c r="H6">
        <v>4</v>
      </c>
      <c r="I6" s="1">
        <f>AVERAGEIF($C$3:$C$43,4,$E$3:$E$43)</f>
        <v>8496.2000000000007</v>
      </c>
      <c r="J6" s="1">
        <f t="shared" si="2"/>
        <v>5788.3818181818187</v>
      </c>
    </row>
    <row r="7" spans="1:10" x14ac:dyDescent="0.2">
      <c r="A7" t="s">
        <v>5</v>
      </c>
      <c r="B7" s="2">
        <v>2016</v>
      </c>
      <c r="C7" s="2">
        <v>2</v>
      </c>
      <c r="D7" s="2">
        <v>164049</v>
      </c>
      <c r="E7" s="2">
        <f t="shared" si="0"/>
        <v>9127</v>
      </c>
      <c r="F7" s="1">
        <f t="shared" si="1"/>
        <v>1643.545454545454</v>
      </c>
    </row>
    <row r="8" spans="1:10" x14ac:dyDescent="0.2">
      <c r="A8" t="s">
        <v>6</v>
      </c>
      <c r="B8" s="2">
        <v>2016</v>
      </c>
      <c r="C8" s="2">
        <v>3</v>
      </c>
      <c r="D8" s="2">
        <v>159126</v>
      </c>
      <c r="E8" s="2">
        <f t="shared" si="0"/>
        <v>-4923</v>
      </c>
      <c r="F8" s="1">
        <f t="shared" si="1"/>
        <v>1770.5181818181818</v>
      </c>
      <c r="H8" s="3" t="s">
        <v>48</v>
      </c>
      <c r="I8" s="1">
        <f>AVERAGE(I3:I6)</f>
        <v>2707.818181818182</v>
      </c>
      <c r="J8" s="1">
        <f>AVERAGE(J3:J6)</f>
        <v>0</v>
      </c>
    </row>
    <row r="9" spans="1:10" x14ac:dyDescent="0.2">
      <c r="A9" t="s">
        <v>7</v>
      </c>
      <c r="B9" s="2">
        <v>2016</v>
      </c>
      <c r="C9" s="2">
        <v>4</v>
      </c>
      <c r="D9" s="2">
        <v>166215</v>
      </c>
      <c r="E9" s="2">
        <f t="shared" si="0"/>
        <v>7089</v>
      </c>
      <c r="F9" s="1">
        <f t="shared" si="1"/>
        <v>1300.6181818181813</v>
      </c>
    </row>
    <row r="10" spans="1:10" x14ac:dyDescent="0.2">
      <c r="A10" t="s">
        <v>8</v>
      </c>
      <c r="B10" s="2">
        <v>2017</v>
      </c>
      <c r="C10" s="2">
        <v>1</v>
      </c>
      <c r="D10" s="2">
        <v>161419</v>
      </c>
      <c r="E10" s="2">
        <f t="shared" si="0"/>
        <v>-4796</v>
      </c>
      <c r="F10" s="1">
        <f t="shared" si="1"/>
        <v>1782.318181818182</v>
      </c>
    </row>
    <row r="11" spans="1:10" x14ac:dyDescent="0.2">
      <c r="A11" t="s">
        <v>9</v>
      </c>
      <c r="B11" s="2">
        <v>2017</v>
      </c>
      <c r="C11" s="2">
        <v>2</v>
      </c>
      <c r="D11" s="2">
        <v>171164</v>
      </c>
      <c r="E11" s="2">
        <f t="shared" si="0"/>
        <v>9745</v>
      </c>
      <c r="F11" s="1">
        <f t="shared" si="1"/>
        <v>2261.545454545454</v>
      </c>
    </row>
    <row r="12" spans="1:10" x14ac:dyDescent="0.2">
      <c r="A12" t="s">
        <v>10</v>
      </c>
      <c r="B12" s="2">
        <v>2017</v>
      </c>
      <c r="C12" s="2">
        <v>3</v>
      </c>
      <c r="D12" s="2">
        <v>166103</v>
      </c>
      <c r="E12" s="2">
        <f t="shared" si="0"/>
        <v>-5061</v>
      </c>
      <c r="F12" s="1">
        <f t="shared" si="1"/>
        <v>1632.5181818181818</v>
      </c>
    </row>
    <row r="13" spans="1:10" x14ac:dyDescent="0.2">
      <c r="A13" t="s">
        <v>11</v>
      </c>
      <c r="B13" s="2">
        <v>2017</v>
      </c>
      <c r="C13" s="2">
        <v>4</v>
      </c>
      <c r="D13" s="2">
        <v>173248</v>
      </c>
      <c r="E13" s="2">
        <f t="shared" si="0"/>
        <v>7145</v>
      </c>
      <c r="F13" s="1">
        <f t="shared" si="1"/>
        <v>1356.6181818181813</v>
      </c>
    </row>
    <row r="14" spans="1:10" x14ac:dyDescent="0.2">
      <c r="A14" t="s">
        <v>12</v>
      </c>
      <c r="B14" s="2">
        <v>2018</v>
      </c>
      <c r="C14" s="2">
        <v>1</v>
      </c>
      <c r="D14" s="2">
        <v>170056</v>
      </c>
      <c r="E14" s="2">
        <f t="shared" si="0"/>
        <v>-3192</v>
      </c>
      <c r="F14" s="1">
        <f t="shared" si="1"/>
        <v>3386.318181818182</v>
      </c>
    </row>
    <row r="15" spans="1:10" x14ac:dyDescent="0.2">
      <c r="A15" t="s">
        <v>13</v>
      </c>
      <c r="B15" s="2">
        <v>2018</v>
      </c>
      <c r="C15" s="2">
        <v>2</v>
      </c>
      <c r="D15" s="2">
        <v>179008</v>
      </c>
      <c r="E15" s="2">
        <f t="shared" si="0"/>
        <v>8952</v>
      </c>
      <c r="F15" s="1">
        <f t="shared" si="1"/>
        <v>1468.545454545454</v>
      </c>
    </row>
    <row r="16" spans="1:10" x14ac:dyDescent="0.2">
      <c r="A16" t="s">
        <v>14</v>
      </c>
      <c r="B16" s="2">
        <v>2018</v>
      </c>
      <c r="C16" s="2">
        <v>3</v>
      </c>
      <c r="D16" s="2">
        <v>173652</v>
      </c>
      <c r="E16" s="2">
        <f t="shared" si="0"/>
        <v>-5356</v>
      </c>
      <c r="F16" s="1">
        <f t="shared" si="1"/>
        <v>1337.5181818181818</v>
      </c>
    </row>
    <row r="17" spans="1:6" x14ac:dyDescent="0.2">
      <c r="A17" t="s">
        <v>15</v>
      </c>
      <c r="B17" s="2">
        <v>2018</v>
      </c>
      <c r="C17" s="2">
        <v>4</v>
      </c>
      <c r="D17" s="2">
        <v>180841</v>
      </c>
      <c r="E17" s="2">
        <f t="shared" si="0"/>
        <v>7189</v>
      </c>
      <c r="F17" s="1">
        <f t="shared" si="1"/>
        <v>1400.6181818181813</v>
      </c>
    </row>
    <row r="18" spans="1:6" x14ac:dyDescent="0.2">
      <c r="A18" t="s">
        <v>16</v>
      </c>
      <c r="B18" s="2">
        <v>2019</v>
      </c>
      <c r="C18" s="2">
        <v>1</v>
      </c>
      <c r="D18" s="2">
        <v>178780</v>
      </c>
      <c r="E18" s="2">
        <f t="shared" si="0"/>
        <v>-2061</v>
      </c>
      <c r="F18" s="1">
        <f t="shared" si="1"/>
        <v>4517.318181818182</v>
      </c>
    </row>
    <row r="19" spans="1:6" x14ac:dyDescent="0.2">
      <c r="A19" t="s">
        <v>17</v>
      </c>
      <c r="B19" s="2">
        <v>2019</v>
      </c>
      <c r="C19" s="2">
        <v>2</v>
      </c>
      <c r="D19" s="2">
        <v>188735</v>
      </c>
      <c r="E19" s="2">
        <f t="shared" si="0"/>
        <v>9955</v>
      </c>
      <c r="F19" s="1">
        <f t="shared" si="1"/>
        <v>2471.545454545454</v>
      </c>
    </row>
    <row r="20" spans="1:6" x14ac:dyDescent="0.2">
      <c r="A20" t="s">
        <v>18</v>
      </c>
      <c r="B20" s="2">
        <v>2019</v>
      </c>
      <c r="C20" s="2">
        <v>3</v>
      </c>
      <c r="D20" s="2">
        <v>182497</v>
      </c>
      <c r="E20" s="2">
        <f t="shared" si="0"/>
        <v>-6238</v>
      </c>
      <c r="F20" s="1">
        <f t="shared" si="1"/>
        <v>455.5181818181818</v>
      </c>
    </row>
    <row r="21" spans="1:6" x14ac:dyDescent="0.2">
      <c r="A21" t="s">
        <v>19</v>
      </c>
      <c r="B21" s="2">
        <v>2019</v>
      </c>
      <c r="C21" s="2">
        <v>4</v>
      </c>
      <c r="D21" s="2">
        <v>189496</v>
      </c>
      <c r="E21" s="2">
        <f t="shared" si="0"/>
        <v>6999</v>
      </c>
      <c r="F21" s="1">
        <f t="shared" si="1"/>
        <v>1210.6181818181813</v>
      </c>
    </row>
    <row r="22" spans="1:6" x14ac:dyDescent="0.2">
      <c r="A22" t="s">
        <v>20</v>
      </c>
      <c r="B22" s="2">
        <v>2020</v>
      </c>
      <c r="C22" s="2">
        <v>1</v>
      </c>
      <c r="D22" s="2">
        <v>182537</v>
      </c>
      <c r="E22" s="2">
        <f t="shared" si="0"/>
        <v>-6959</v>
      </c>
      <c r="F22" s="1">
        <f t="shared" si="1"/>
        <v>-380.68181818181802</v>
      </c>
    </row>
    <row r="23" spans="1:6" x14ac:dyDescent="0.2">
      <c r="A23" t="s">
        <v>21</v>
      </c>
      <c r="B23" s="2">
        <v>2020</v>
      </c>
      <c r="C23" s="2">
        <v>2</v>
      </c>
      <c r="D23" s="2">
        <v>175396</v>
      </c>
      <c r="E23" s="2">
        <f t="shared" si="0"/>
        <v>-7141</v>
      </c>
      <c r="F23" s="1">
        <f t="shared" si="1"/>
        <v>-14624.454545454546</v>
      </c>
    </row>
    <row r="24" spans="1:6" x14ac:dyDescent="0.2">
      <c r="A24" t="s">
        <v>22</v>
      </c>
      <c r="B24" s="2">
        <v>2020</v>
      </c>
      <c r="C24" s="2">
        <v>3</v>
      </c>
      <c r="D24" s="2">
        <v>179815</v>
      </c>
      <c r="E24" s="2">
        <f t="shared" si="0"/>
        <v>4419</v>
      </c>
      <c r="F24" s="1">
        <f t="shared" si="1"/>
        <v>11112.518181818181</v>
      </c>
    </row>
    <row r="25" spans="1:6" x14ac:dyDescent="0.2">
      <c r="A25" t="s">
        <v>23</v>
      </c>
      <c r="B25" s="2">
        <v>2020</v>
      </c>
      <c r="C25" s="2">
        <v>4</v>
      </c>
      <c r="D25" s="2">
        <v>188401</v>
      </c>
      <c r="E25" s="2">
        <f t="shared" si="0"/>
        <v>8586</v>
      </c>
      <c r="F25" s="1">
        <f t="shared" si="1"/>
        <v>2797.6181818181813</v>
      </c>
    </row>
    <row r="26" spans="1:6" x14ac:dyDescent="0.2">
      <c r="A26" t="s">
        <v>24</v>
      </c>
      <c r="B26" s="2">
        <v>2021</v>
      </c>
      <c r="C26" s="2">
        <v>1</v>
      </c>
      <c r="D26" s="2">
        <v>183940</v>
      </c>
      <c r="E26" s="2">
        <f t="shared" si="0"/>
        <v>-4461</v>
      </c>
      <c r="F26" s="1">
        <f t="shared" si="1"/>
        <v>2117.318181818182</v>
      </c>
    </row>
    <row r="27" spans="1:6" x14ac:dyDescent="0.2">
      <c r="A27" t="s">
        <v>25</v>
      </c>
      <c r="B27" s="2">
        <v>2021</v>
      </c>
      <c r="C27" s="2">
        <v>2</v>
      </c>
      <c r="D27" s="2">
        <v>201433</v>
      </c>
      <c r="E27" s="2">
        <f t="shared" si="0"/>
        <v>17493</v>
      </c>
      <c r="F27" s="1">
        <f t="shared" si="1"/>
        <v>10009.545454545454</v>
      </c>
    </row>
    <row r="28" spans="1:6" x14ac:dyDescent="0.2">
      <c r="A28" t="s">
        <v>26</v>
      </c>
      <c r="B28" s="2">
        <v>2021</v>
      </c>
      <c r="C28" s="2">
        <v>3</v>
      </c>
      <c r="D28" s="2">
        <v>198942</v>
      </c>
      <c r="E28" s="2">
        <f t="shared" si="0"/>
        <v>-2491</v>
      </c>
      <c r="F28" s="1">
        <f t="shared" si="1"/>
        <v>4202.5181818181818</v>
      </c>
    </row>
    <row r="29" spans="1:6" x14ac:dyDescent="0.2">
      <c r="A29" t="s">
        <v>27</v>
      </c>
      <c r="B29" s="2">
        <v>2021</v>
      </c>
      <c r="C29" s="2">
        <v>4</v>
      </c>
      <c r="D29" s="2">
        <v>207415</v>
      </c>
      <c r="E29" s="2">
        <f t="shared" si="0"/>
        <v>8473</v>
      </c>
      <c r="F29" s="1">
        <f t="shared" si="1"/>
        <v>2684.6181818181813</v>
      </c>
    </row>
    <row r="30" spans="1:6" x14ac:dyDescent="0.2">
      <c r="A30" t="s">
        <v>28</v>
      </c>
      <c r="B30" s="2">
        <v>2022</v>
      </c>
      <c r="C30" s="2">
        <v>1</v>
      </c>
      <c r="D30" s="2">
        <v>209214</v>
      </c>
      <c r="E30" s="2">
        <f t="shared" si="0"/>
        <v>1799</v>
      </c>
      <c r="F30" s="1">
        <f t="shared" si="1"/>
        <v>8377.318181818182</v>
      </c>
    </row>
    <row r="31" spans="1:6" x14ac:dyDescent="0.2">
      <c r="A31" t="s">
        <v>29</v>
      </c>
      <c r="B31" s="2">
        <v>2022</v>
      </c>
      <c r="C31" s="2">
        <v>2</v>
      </c>
      <c r="D31" s="2">
        <v>224204</v>
      </c>
      <c r="E31" s="2">
        <f t="shared" si="0"/>
        <v>14990</v>
      </c>
      <c r="F31" s="1">
        <f t="shared" si="1"/>
        <v>7506.545454545454</v>
      </c>
    </row>
    <row r="32" spans="1:6" x14ac:dyDescent="0.2">
      <c r="A32" t="s">
        <v>30</v>
      </c>
      <c r="B32" s="2">
        <v>2022</v>
      </c>
      <c r="C32" s="2">
        <v>3</v>
      </c>
      <c r="D32" s="2">
        <v>221953</v>
      </c>
      <c r="E32" s="2">
        <f t="shared" si="0"/>
        <v>-2251</v>
      </c>
      <c r="F32" s="1">
        <f t="shared" si="1"/>
        <v>4442.5181818181818</v>
      </c>
    </row>
    <row r="33" spans="1:6" x14ac:dyDescent="0.2">
      <c r="A33" t="s">
        <v>31</v>
      </c>
      <c r="B33" s="2">
        <v>2022</v>
      </c>
      <c r="C33" s="2">
        <v>4</v>
      </c>
      <c r="D33" s="2">
        <v>232803</v>
      </c>
      <c r="E33" s="2">
        <f t="shared" si="0"/>
        <v>10850</v>
      </c>
      <c r="F33" s="1">
        <f t="shared" si="1"/>
        <v>5061.6181818181813</v>
      </c>
    </row>
    <row r="34" spans="1:6" x14ac:dyDescent="0.2">
      <c r="A34" t="s">
        <v>32</v>
      </c>
      <c r="B34" s="2">
        <v>2023</v>
      </c>
      <c r="C34" s="2">
        <v>1</v>
      </c>
      <c r="D34" s="2">
        <v>228660</v>
      </c>
      <c r="E34" s="2">
        <f t="shared" si="0"/>
        <v>-4143</v>
      </c>
      <c r="F34" s="1">
        <f t="shared" si="1"/>
        <v>2435.318181818182</v>
      </c>
    </row>
    <row r="35" spans="1:6" x14ac:dyDescent="0.2">
      <c r="A35" t="s">
        <v>33</v>
      </c>
      <c r="B35" s="2">
        <v>2023</v>
      </c>
      <c r="C35" s="2">
        <v>2</v>
      </c>
      <c r="D35" s="2">
        <v>239816</v>
      </c>
      <c r="E35" s="2">
        <f t="shared" si="0"/>
        <v>11156</v>
      </c>
      <c r="F35" s="1">
        <f t="shared" si="1"/>
        <v>3672.545454545454</v>
      </c>
    </row>
    <row r="36" spans="1:6" x14ac:dyDescent="0.2">
      <c r="A36" t="s">
        <v>34</v>
      </c>
      <c r="B36" s="2">
        <v>2023</v>
      </c>
      <c r="C36" s="2">
        <v>3</v>
      </c>
      <c r="D36" s="2">
        <v>233082</v>
      </c>
      <c r="E36" s="2">
        <f t="shared" si="0"/>
        <v>-6734</v>
      </c>
      <c r="F36" s="1">
        <f t="shared" si="1"/>
        <v>-40.481818181818198</v>
      </c>
    </row>
    <row r="37" spans="1:6" x14ac:dyDescent="0.2">
      <c r="A37" t="s">
        <v>35</v>
      </c>
      <c r="B37" s="2">
        <v>2023</v>
      </c>
      <c r="C37" s="2">
        <v>4</v>
      </c>
      <c r="D37" s="2">
        <v>243243</v>
      </c>
      <c r="E37" s="2">
        <f t="shared" si="0"/>
        <v>10161</v>
      </c>
      <c r="F37" s="1">
        <f t="shared" si="1"/>
        <v>4372.6181818181813</v>
      </c>
    </row>
    <row r="38" spans="1:6" x14ac:dyDescent="0.2">
      <c r="A38" t="s">
        <v>36</v>
      </c>
      <c r="B38" s="2">
        <v>2024</v>
      </c>
      <c r="C38" s="2">
        <v>1</v>
      </c>
      <c r="D38" s="2">
        <v>241862</v>
      </c>
      <c r="E38" s="2">
        <f t="shared" si="0"/>
        <v>-1381</v>
      </c>
      <c r="F38" s="1">
        <f t="shared" si="1"/>
        <v>5197.318181818182</v>
      </c>
    </row>
    <row r="39" spans="1:6" x14ac:dyDescent="0.2">
      <c r="A39" t="s">
        <v>37</v>
      </c>
      <c r="B39" s="2">
        <v>2024</v>
      </c>
      <c r="C39" s="2">
        <v>2</v>
      </c>
      <c r="D39" s="2">
        <v>255757</v>
      </c>
      <c r="E39" s="2">
        <f t="shared" si="0"/>
        <v>13895</v>
      </c>
      <c r="F39" s="1">
        <f t="shared" si="1"/>
        <v>6411.545454545454</v>
      </c>
    </row>
    <row r="40" spans="1:6" x14ac:dyDescent="0.2">
      <c r="A40" t="s">
        <v>38</v>
      </c>
      <c r="B40" s="2">
        <v>2024</v>
      </c>
      <c r="C40" s="2">
        <v>3</v>
      </c>
      <c r="D40" s="2">
        <v>248625</v>
      </c>
      <c r="E40" s="2">
        <f t="shared" si="0"/>
        <v>-7132</v>
      </c>
      <c r="F40" s="1">
        <f t="shared" si="1"/>
        <v>-438.4818181818182</v>
      </c>
    </row>
    <row r="41" spans="1:6" x14ac:dyDescent="0.2">
      <c r="A41" t="s">
        <v>39</v>
      </c>
      <c r="B41" s="2">
        <v>2024</v>
      </c>
      <c r="C41" s="2">
        <v>4</v>
      </c>
      <c r="D41" s="2">
        <v>261094</v>
      </c>
      <c r="E41" s="2">
        <f t="shared" si="0"/>
        <v>12469</v>
      </c>
      <c r="F41" s="1">
        <f t="shared" si="1"/>
        <v>6680.6181818181813</v>
      </c>
    </row>
    <row r="42" spans="1:6" x14ac:dyDescent="0.2">
      <c r="A42" t="s">
        <v>40</v>
      </c>
      <c r="B42" s="2">
        <v>2025</v>
      </c>
      <c r="C42" s="2">
        <v>1</v>
      </c>
      <c r="D42" s="2">
        <v>254235</v>
      </c>
      <c r="E42" s="2">
        <f t="shared" si="0"/>
        <v>-6859</v>
      </c>
      <c r="F42" s="1">
        <f t="shared" si="1"/>
        <v>-280.68181818181802</v>
      </c>
    </row>
    <row r="43" spans="1:6" x14ac:dyDescent="0.2">
      <c r="A43" t="s">
        <v>41</v>
      </c>
      <c r="B43" s="2">
        <v>2025</v>
      </c>
      <c r="C43" s="2">
        <v>2</v>
      </c>
      <c r="D43" s="2">
        <v>269320</v>
      </c>
      <c r="E43" s="2">
        <f t="shared" si="0"/>
        <v>15085</v>
      </c>
      <c r="F43" s="1">
        <f t="shared" si="1"/>
        <v>7601.545454545454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526ED-E8A7-8E40-A3AC-3D98D99B61D1}">
  <dimension ref="A1:K43"/>
  <sheetViews>
    <sheetView workbookViewId="0">
      <selection activeCell="G2" sqref="G2:G43"/>
    </sheetView>
  </sheetViews>
  <sheetFormatPr baseColWidth="10" defaultRowHeight="16" x14ac:dyDescent="0.2"/>
  <cols>
    <col min="1" max="1" width="8.1640625" bestFit="1" customWidth="1"/>
    <col min="2" max="2" width="5.1640625" bestFit="1" customWidth="1"/>
    <col min="3" max="3" width="7.1640625" bestFit="1" customWidth="1"/>
    <col min="4" max="4" width="13" bestFit="1" customWidth="1"/>
    <col min="5" max="5" width="10" bestFit="1" customWidth="1"/>
    <col min="6" max="7" width="23.83203125" bestFit="1" customWidth="1"/>
    <col min="10" max="10" width="64.83203125" bestFit="1" customWidth="1"/>
    <col min="11" max="11" width="8.1640625" bestFit="1" customWidth="1"/>
    <col min="13" max="13" width="23.33203125" bestFit="1" customWidth="1"/>
    <col min="14" max="14" width="9.33203125" bestFit="1" customWidth="1"/>
    <col min="15" max="15" width="7.6640625" bestFit="1" customWidth="1"/>
    <col min="17" max="17" width="23.33203125" bestFit="1" customWidth="1"/>
    <col min="18" max="18" width="9.33203125" bestFit="1" customWidth="1"/>
    <col min="19" max="19" width="7.6640625" bestFit="1" customWidth="1"/>
  </cols>
  <sheetData>
    <row r="1" spans="1:11" x14ac:dyDescent="0.2">
      <c r="A1" s="3" t="s">
        <v>49</v>
      </c>
      <c r="B1" s="3" t="s">
        <v>43</v>
      </c>
      <c r="C1" s="3" t="s">
        <v>44</v>
      </c>
      <c r="D1" s="3" t="s">
        <v>51</v>
      </c>
      <c r="E1" s="3" t="s">
        <v>50</v>
      </c>
      <c r="F1" s="3" t="s">
        <v>54</v>
      </c>
      <c r="G1" s="3" t="s">
        <v>55</v>
      </c>
    </row>
    <row r="2" spans="1:11" x14ac:dyDescent="0.2">
      <c r="A2" t="s">
        <v>0</v>
      </c>
      <c r="B2">
        <v>2015</v>
      </c>
      <c r="C2">
        <v>1</v>
      </c>
      <c r="D2">
        <v>166342.20000000001</v>
      </c>
      <c r="F2" s="1">
        <f t="shared" ref="F2:F4" si="0">F3/E3</f>
        <v>152367.13305746697</v>
      </c>
      <c r="G2" s="1">
        <f t="shared" ref="G2:G36" si="1">G3/E3</f>
        <v>203587.31108216554</v>
      </c>
      <c r="J2" s="3" t="s">
        <v>53</v>
      </c>
      <c r="K2" s="2">
        <f>SUM('01 Removing Trend and Season'!D6:D9)</f>
        <v>644312</v>
      </c>
    </row>
    <row r="3" spans="1:11" x14ac:dyDescent="0.2">
      <c r="A3" t="s">
        <v>1</v>
      </c>
      <c r="B3">
        <v>2015</v>
      </c>
      <c r="C3">
        <v>2</v>
      </c>
      <c r="D3">
        <v>176327.2</v>
      </c>
      <c r="E3" s="1">
        <f>D3/D2</f>
        <v>1.0600268602916156</v>
      </c>
      <c r="F3" s="1">
        <f t="shared" si="0"/>
        <v>161513.25366654154</v>
      </c>
      <c r="G3" s="1">
        <f t="shared" si="1"/>
        <v>215808.01816164039</v>
      </c>
      <c r="K3" s="2">
        <f>SUM(F6:F9)-K2</f>
        <v>0</v>
      </c>
    </row>
    <row r="4" spans="1:11" x14ac:dyDescent="0.2">
      <c r="A4" t="s">
        <v>2</v>
      </c>
      <c r="B4">
        <v>2015</v>
      </c>
      <c r="C4">
        <v>3</v>
      </c>
      <c r="D4">
        <v>169955.9</v>
      </c>
      <c r="E4" s="1">
        <f t="shared" ref="E4:E43" si="2">D4/D3</f>
        <v>0.963866607080473</v>
      </c>
      <c r="F4" s="1">
        <f t="shared" si="0"/>
        <v>155677.23181009715</v>
      </c>
      <c r="G4" s="1">
        <f t="shared" si="1"/>
        <v>208010.14224622143</v>
      </c>
    </row>
    <row r="5" spans="1:11" x14ac:dyDescent="0.2">
      <c r="A5" t="s">
        <v>3</v>
      </c>
      <c r="B5">
        <v>2015</v>
      </c>
      <c r="C5">
        <v>4</v>
      </c>
      <c r="D5">
        <v>175336.9</v>
      </c>
      <c r="E5" s="1">
        <f t="shared" si="2"/>
        <v>1.0316611544524197</v>
      </c>
      <c r="F5" s="1">
        <f>F6/E6</f>
        <v>160606.15269116178</v>
      </c>
      <c r="G5" s="1">
        <f t="shared" si="1"/>
        <v>214595.98348754883</v>
      </c>
    </row>
    <row r="6" spans="1:11" x14ac:dyDescent="0.2">
      <c r="A6" t="s">
        <v>4</v>
      </c>
      <c r="B6">
        <v>2016</v>
      </c>
      <c r="C6">
        <v>1</v>
      </c>
      <c r="D6">
        <v>169865.60000000001</v>
      </c>
      <c r="E6" s="1">
        <f t="shared" si="2"/>
        <v>0.96879550168846384</v>
      </c>
      <c r="F6" s="4">
        <v>155594.5182706881</v>
      </c>
      <c r="G6" s="1">
        <f t="shared" si="1"/>
        <v>207899.62348314916</v>
      </c>
    </row>
    <row r="7" spans="1:11" x14ac:dyDescent="0.2">
      <c r="A7" t="s">
        <v>5</v>
      </c>
      <c r="B7">
        <v>2016</v>
      </c>
      <c r="C7">
        <v>2</v>
      </c>
      <c r="D7">
        <v>180668.9</v>
      </c>
      <c r="E7" s="1">
        <f t="shared" si="2"/>
        <v>1.0635991042329935</v>
      </c>
      <c r="F7" s="1">
        <f>F6*E7</f>
        <v>165490.19025626802</v>
      </c>
      <c r="G7" s="1">
        <f t="shared" si="1"/>
        <v>221121.85330705406</v>
      </c>
      <c r="J7" s="3" t="s">
        <v>52</v>
      </c>
      <c r="K7" s="2">
        <f>SUM('01 Removing Trend and Season'!D38:D41)</f>
        <v>1007338</v>
      </c>
    </row>
    <row r="8" spans="1:11" x14ac:dyDescent="0.2">
      <c r="A8" t="s">
        <v>6</v>
      </c>
      <c r="B8">
        <v>2016</v>
      </c>
      <c r="C8">
        <v>3</v>
      </c>
      <c r="D8">
        <v>173693.6</v>
      </c>
      <c r="E8" s="1">
        <f t="shared" si="2"/>
        <v>0.961391805673251</v>
      </c>
      <c r="F8" s="1">
        <f t="shared" ref="F8:F43" si="3">F7*E8</f>
        <v>159100.91283168335</v>
      </c>
      <c r="G8" s="1">
        <f t="shared" si="1"/>
        <v>212584.73782468442</v>
      </c>
      <c r="J8" s="3"/>
      <c r="K8" s="2">
        <f>SUM(G38:G41)-K7</f>
        <v>0.38126828405074775</v>
      </c>
    </row>
    <row r="9" spans="1:11" x14ac:dyDescent="0.2">
      <c r="A9" t="s">
        <v>7</v>
      </c>
      <c r="B9">
        <v>2016</v>
      </c>
      <c r="C9">
        <v>4</v>
      </c>
      <c r="D9">
        <v>179180</v>
      </c>
      <c r="E9" s="1">
        <f t="shared" si="2"/>
        <v>1.0315866560425946</v>
      </c>
      <c r="F9" s="1">
        <f t="shared" si="3"/>
        <v>164126.37864136056</v>
      </c>
      <c r="G9" s="1">
        <f t="shared" si="1"/>
        <v>219299.57881825787</v>
      </c>
    </row>
    <row r="10" spans="1:11" x14ac:dyDescent="0.2">
      <c r="A10" t="s">
        <v>8</v>
      </c>
      <c r="B10">
        <v>2017</v>
      </c>
      <c r="C10">
        <v>1</v>
      </c>
      <c r="D10">
        <v>175078</v>
      </c>
      <c r="E10" s="1">
        <f t="shared" si="2"/>
        <v>0.97710681995758453</v>
      </c>
      <c r="F10" s="1">
        <f t="shared" si="3"/>
        <v>160369.00390541423</v>
      </c>
      <c r="G10" s="1">
        <f t="shared" si="1"/>
        <v>214279.11407714561</v>
      </c>
    </row>
    <row r="11" spans="1:11" x14ac:dyDescent="0.2">
      <c r="A11" t="s">
        <v>9</v>
      </c>
      <c r="B11">
        <v>2017</v>
      </c>
      <c r="C11">
        <v>2</v>
      </c>
      <c r="D11">
        <v>185815.2</v>
      </c>
      <c r="E11" s="1">
        <f t="shared" si="2"/>
        <v>1.0613280937639225</v>
      </c>
      <c r="F11" s="1">
        <f t="shared" si="3"/>
        <v>170204.12921375231</v>
      </c>
      <c r="G11" s="1">
        <f t="shared" si="1"/>
        <v>227420.44367691904</v>
      </c>
    </row>
    <row r="12" spans="1:11" x14ac:dyDescent="0.2">
      <c r="A12" t="s">
        <v>10</v>
      </c>
      <c r="B12">
        <v>2017</v>
      </c>
      <c r="C12">
        <v>3</v>
      </c>
      <c r="D12">
        <v>178391.6</v>
      </c>
      <c r="E12" s="1">
        <f t="shared" si="2"/>
        <v>0.96004847827303685</v>
      </c>
      <c r="F12" s="1">
        <f t="shared" si="3"/>
        <v>163404.21524745025</v>
      </c>
      <c r="G12" s="1">
        <f t="shared" si="1"/>
        <v>218334.65088020501</v>
      </c>
    </row>
    <row r="13" spans="1:11" x14ac:dyDescent="0.2">
      <c r="A13" t="s">
        <v>11</v>
      </c>
      <c r="B13">
        <v>2017</v>
      </c>
      <c r="C13">
        <v>4</v>
      </c>
      <c r="D13">
        <v>183728.6</v>
      </c>
      <c r="E13" s="1">
        <f t="shared" si="2"/>
        <v>1.0299173279459346</v>
      </c>
      <c r="F13" s="1">
        <f t="shared" si="3"/>
        <v>168292.83274275632</v>
      </c>
      <c r="G13" s="1">
        <f t="shared" si="1"/>
        <v>224866.64023254925</v>
      </c>
    </row>
    <row r="14" spans="1:11" x14ac:dyDescent="0.2">
      <c r="A14" t="s">
        <v>12</v>
      </c>
      <c r="B14">
        <v>2018</v>
      </c>
      <c r="C14">
        <v>1</v>
      </c>
      <c r="D14">
        <v>179164.1</v>
      </c>
      <c r="E14" s="1">
        <f t="shared" si="2"/>
        <v>0.97515629031081719</v>
      </c>
      <c r="F14" s="1">
        <f t="shared" si="3"/>
        <v>164111.81446332508</v>
      </c>
      <c r="G14" s="1">
        <f t="shared" si="1"/>
        <v>219280.11870382988</v>
      </c>
    </row>
    <row r="15" spans="1:11" x14ac:dyDescent="0.2">
      <c r="A15" t="s">
        <v>13</v>
      </c>
      <c r="B15">
        <v>2018</v>
      </c>
      <c r="C15">
        <v>2</v>
      </c>
      <c r="D15">
        <v>190645.2</v>
      </c>
      <c r="E15" s="1">
        <f t="shared" si="2"/>
        <v>1.0640814761439374</v>
      </c>
      <c r="F15" s="1">
        <f t="shared" si="3"/>
        <v>174628.34178679492</v>
      </c>
      <c r="G15" s="1">
        <f t="shared" si="1"/>
        <v>233331.91239938911</v>
      </c>
    </row>
    <row r="16" spans="1:11" x14ac:dyDescent="0.2">
      <c r="A16" t="s">
        <v>14</v>
      </c>
      <c r="B16">
        <v>2018</v>
      </c>
      <c r="C16">
        <v>3</v>
      </c>
      <c r="D16">
        <v>182038.1</v>
      </c>
      <c r="E16" s="1">
        <f t="shared" si="2"/>
        <v>0.95485278412464614</v>
      </c>
      <c r="F16" s="1">
        <f t="shared" si="3"/>
        <v>166744.35834219141</v>
      </c>
      <c r="G16" s="1">
        <f t="shared" si="1"/>
        <v>222797.62617968474</v>
      </c>
    </row>
    <row r="17" spans="1:7" x14ac:dyDescent="0.2">
      <c r="A17" t="s">
        <v>15</v>
      </c>
      <c r="B17">
        <v>2018</v>
      </c>
      <c r="C17">
        <v>4</v>
      </c>
      <c r="D17">
        <v>187167.2</v>
      </c>
      <c r="E17" s="1">
        <f t="shared" si="2"/>
        <v>1.028175969755782</v>
      </c>
      <c r="F17" s="1">
        <f t="shared" si="3"/>
        <v>171442.54233978826</v>
      </c>
      <c r="G17" s="1">
        <f t="shared" si="1"/>
        <v>229075.16535658354</v>
      </c>
    </row>
    <row r="18" spans="1:7" x14ac:dyDescent="0.2">
      <c r="A18" t="s">
        <v>16</v>
      </c>
      <c r="B18">
        <v>2019</v>
      </c>
      <c r="C18">
        <v>1</v>
      </c>
      <c r="D18">
        <v>183519.5</v>
      </c>
      <c r="E18" s="1">
        <f t="shared" si="2"/>
        <v>0.9805110083390679</v>
      </c>
      <c r="F18" s="1">
        <f t="shared" si="3"/>
        <v>168101.30006179912</v>
      </c>
      <c r="G18" s="1">
        <f t="shared" si="1"/>
        <v>224610.72136922245</v>
      </c>
    </row>
    <row r="19" spans="1:7" x14ac:dyDescent="0.2">
      <c r="A19" t="s">
        <v>17</v>
      </c>
      <c r="B19">
        <v>2019</v>
      </c>
      <c r="C19">
        <v>2</v>
      </c>
      <c r="D19">
        <v>194996.4</v>
      </c>
      <c r="E19" s="1">
        <f t="shared" si="2"/>
        <v>1.0625377684660213</v>
      </c>
      <c r="F19" s="1">
        <f t="shared" si="3"/>
        <v>178613.98024390108</v>
      </c>
      <c r="G19" s="1">
        <f t="shared" si="1"/>
        <v>238657.37465719692</v>
      </c>
    </row>
    <row r="20" spans="1:7" x14ac:dyDescent="0.2">
      <c r="A20" t="s">
        <v>18</v>
      </c>
      <c r="B20">
        <v>2019</v>
      </c>
      <c r="C20">
        <v>3</v>
      </c>
      <c r="D20">
        <v>186582.5</v>
      </c>
      <c r="E20" s="1">
        <f t="shared" si="2"/>
        <v>0.95685099827483999</v>
      </c>
      <c r="F20" s="1">
        <f t="shared" si="3"/>
        <v>170906.96530221929</v>
      </c>
      <c r="G20" s="1">
        <f t="shared" si="1"/>
        <v>228359.54718639137</v>
      </c>
    </row>
    <row r="21" spans="1:7" x14ac:dyDescent="0.2">
      <c r="A21" t="s">
        <v>19</v>
      </c>
      <c r="B21">
        <v>2019</v>
      </c>
      <c r="C21">
        <v>4</v>
      </c>
      <c r="D21">
        <v>191583.3</v>
      </c>
      <c r="E21" s="1">
        <f t="shared" si="2"/>
        <v>1.0268020848686237</v>
      </c>
      <c r="F21" s="1">
        <f t="shared" si="3"/>
        <v>175487.6282908883</v>
      </c>
      <c r="G21" s="1">
        <f t="shared" si="1"/>
        <v>234480.05915064149</v>
      </c>
    </row>
    <row r="22" spans="1:7" x14ac:dyDescent="0.2">
      <c r="A22" t="s">
        <v>20</v>
      </c>
      <c r="B22">
        <v>2020</v>
      </c>
      <c r="C22">
        <v>1</v>
      </c>
      <c r="D22">
        <v>183062.5</v>
      </c>
      <c r="E22" s="1">
        <f t="shared" si="2"/>
        <v>0.95552430718126269</v>
      </c>
      <c r="F22" s="1">
        <f t="shared" si="3"/>
        <v>167682.694441534</v>
      </c>
      <c r="G22" s="1">
        <f t="shared" si="1"/>
        <v>224051.39606773821</v>
      </c>
    </row>
    <row r="23" spans="1:7" x14ac:dyDescent="0.2">
      <c r="A23" t="s">
        <v>21</v>
      </c>
      <c r="B23">
        <v>2020</v>
      </c>
      <c r="C23">
        <v>2</v>
      </c>
      <c r="D23">
        <v>177634.1</v>
      </c>
      <c r="E23" s="1">
        <f t="shared" si="2"/>
        <v>0.97034673950153638</v>
      </c>
      <c r="F23" s="1">
        <f t="shared" si="3"/>
        <v>162710.3558221749</v>
      </c>
      <c r="G23" s="1">
        <f t="shared" si="1"/>
        <v>217407.54165509713</v>
      </c>
    </row>
    <row r="24" spans="1:7" x14ac:dyDescent="0.2">
      <c r="A24" t="s">
        <v>22</v>
      </c>
      <c r="B24">
        <v>2020</v>
      </c>
      <c r="C24">
        <v>3</v>
      </c>
      <c r="D24">
        <v>179525.1</v>
      </c>
      <c r="E24" s="1">
        <f t="shared" si="2"/>
        <v>1.0106454785426897</v>
      </c>
      <c r="F24" s="1">
        <f t="shared" si="3"/>
        <v>164442.48542375327</v>
      </c>
      <c r="G24" s="1">
        <f t="shared" si="1"/>
        <v>219721.94897480539</v>
      </c>
    </row>
    <row r="25" spans="1:7" x14ac:dyDescent="0.2">
      <c r="A25" t="s">
        <v>23</v>
      </c>
      <c r="B25">
        <v>2020</v>
      </c>
      <c r="C25">
        <v>4</v>
      </c>
      <c r="D25">
        <v>185927.3</v>
      </c>
      <c r="E25" s="1">
        <f t="shared" si="2"/>
        <v>1.0356618656666949</v>
      </c>
      <c r="F25" s="1">
        <f t="shared" si="3"/>
        <v>170306.81124883259</v>
      </c>
      <c r="G25" s="1">
        <f t="shared" si="1"/>
        <v>227557.6436031693</v>
      </c>
    </row>
    <row r="26" spans="1:7" x14ac:dyDescent="0.2">
      <c r="A26" t="s">
        <v>24</v>
      </c>
      <c r="B26">
        <v>2021</v>
      </c>
      <c r="C26">
        <v>1</v>
      </c>
      <c r="D26">
        <v>181050.5</v>
      </c>
      <c r="E26" s="1">
        <f t="shared" si="2"/>
        <v>0.97377039305147772</v>
      </c>
      <c r="F26" s="1">
        <f t="shared" si="3"/>
        <v>165839.73052911952</v>
      </c>
      <c r="G26" s="1">
        <f t="shared" si="1"/>
        <v>221588.89605332626</v>
      </c>
    </row>
    <row r="27" spans="1:7" x14ac:dyDescent="0.2">
      <c r="A27" t="s">
        <v>25</v>
      </c>
      <c r="B27">
        <v>2021</v>
      </c>
      <c r="C27">
        <v>2</v>
      </c>
      <c r="D27">
        <v>199255.4</v>
      </c>
      <c r="E27" s="1">
        <f t="shared" si="2"/>
        <v>1.1005515035860161</v>
      </c>
      <c r="F27" s="1">
        <f t="shared" si="3"/>
        <v>182515.16478812223</v>
      </c>
      <c r="G27" s="1">
        <f t="shared" si="1"/>
        <v>243869.99272945363</v>
      </c>
    </row>
    <row r="28" spans="1:7" x14ac:dyDescent="0.2">
      <c r="A28" t="s">
        <v>26</v>
      </c>
      <c r="B28">
        <v>2021</v>
      </c>
      <c r="C28">
        <v>3</v>
      </c>
      <c r="D28">
        <v>193488.2</v>
      </c>
      <c r="E28" s="1">
        <f t="shared" si="2"/>
        <v>0.97105624239041965</v>
      </c>
      <c r="F28" s="1">
        <f t="shared" si="3"/>
        <v>177232.49009842222</v>
      </c>
      <c r="G28" s="1">
        <f t="shared" si="1"/>
        <v>236811.4787716422</v>
      </c>
    </row>
    <row r="29" spans="1:7" x14ac:dyDescent="0.2">
      <c r="A29" t="s">
        <v>27</v>
      </c>
      <c r="B29">
        <v>2021</v>
      </c>
      <c r="C29">
        <v>4</v>
      </c>
      <c r="D29">
        <v>200908.1</v>
      </c>
      <c r="E29" s="1">
        <f t="shared" si="2"/>
        <v>1.0383480749730474</v>
      </c>
      <c r="F29" s="1">
        <f t="shared" si="3"/>
        <v>184029.01491637639</v>
      </c>
      <c r="G29" s="1">
        <f t="shared" si="1"/>
        <v>245892.74311405534</v>
      </c>
    </row>
    <row r="30" spans="1:7" x14ac:dyDescent="0.2">
      <c r="A30" t="s">
        <v>28</v>
      </c>
      <c r="B30">
        <v>2022</v>
      </c>
      <c r="C30">
        <v>1</v>
      </c>
      <c r="D30">
        <v>195179</v>
      </c>
      <c r="E30" s="1">
        <f t="shared" si="2"/>
        <v>0.97148397700242051</v>
      </c>
      <c r="F30" s="1">
        <f t="shared" si="3"/>
        <v>178781.2392947991</v>
      </c>
      <c r="G30" s="1">
        <f t="shared" si="1"/>
        <v>238880.85999647703</v>
      </c>
    </row>
    <row r="31" spans="1:7" x14ac:dyDescent="0.2">
      <c r="A31" t="s">
        <v>29</v>
      </c>
      <c r="B31">
        <v>2022</v>
      </c>
      <c r="C31">
        <v>2</v>
      </c>
      <c r="D31">
        <v>211448.4</v>
      </c>
      <c r="E31" s="1">
        <f t="shared" si="2"/>
        <v>1.0833563037007055</v>
      </c>
      <c r="F31" s="1">
        <f t="shared" si="3"/>
        <v>193683.78257344489</v>
      </c>
      <c r="G31" s="1">
        <f t="shared" si="1"/>
        <v>258793.08551062905</v>
      </c>
    </row>
    <row r="32" spans="1:7" x14ac:dyDescent="0.2">
      <c r="A32" t="s">
        <v>30</v>
      </c>
      <c r="B32">
        <v>2022</v>
      </c>
      <c r="C32">
        <v>3</v>
      </c>
      <c r="D32">
        <v>201785.8</v>
      </c>
      <c r="E32" s="1">
        <f t="shared" si="2"/>
        <v>0.95430279916991567</v>
      </c>
      <c r="F32" s="1">
        <f t="shared" si="3"/>
        <v>184832.9758636558</v>
      </c>
      <c r="G32" s="1">
        <f t="shared" si="1"/>
        <v>246966.96590861265</v>
      </c>
    </row>
    <row r="33" spans="1:7" x14ac:dyDescent="0.2">
      <c r="A33" t="s">
        <v>31</v>
      </c>
      <c r="B33">
        <v>2022</v>
      </c>
      <c r="C33">
        <v>4</v>
      </c>
      <c r="D33">
        <v>210287.9</v>
      </c>
      <c r="E33" s="1">
        <f t="shared" si="2"/>
        <v>1.0421342829872073</v>
      </c>
      <c r="F33" s="1">
        <f t="shared" si="3"/>
        <v>192620.78077406273</v>
      </c>
      <c r="G33" s="1">
        <f t="shared" si="1"/>
        <v>257372.74193869813</v>
      </c>
    </row>
    <row r="34" spans="1:7" x14ac:dyDescent="0.2">
      <c r="A34" t="s">
        <v>32</v>
      </c>
      <c r="B34">
        <v>2023</v>
      </c>
      <c r="C34">
        <v>1</v>
      </c>
      <c r="D34">
        <v>197680.1</v>
      </c>
      <c r="E34" s="1">
        <f t="shared" si="2"/>
        <v>0.94004505252085357</v>
      </c>
      <c r="F34" s="1">
        <f t="shared" si="3"/>
        <v>181072.21197936163</v>
      </c>
      <c r="G34" s="1">
        <f t="shared" si="1"/>
        <v>241941.97271319959</v>
      </c>
    </row>
    <row r="35" spans="1:7" x14ac:dyDescent="0.2">
      <c r="A35" t="s">
        <v>33</v>
      </c>
      <c r="B35">
        <v>2023</v>
      </c>
      <c r="C35">
        <v>2</v>
      </c>
      <c r="D35">
        <v>209833.60000000001</v>
      </c>
      <c r="E35" s="1">
        <f t="shared" si="2"/>
        <v>1.061480644738646</v>
      </c>
      <c r="F35" s="1">
        <f t="shared" si="3"/>
        <v>192204.64831610557</v>
      </c>
      <c r="G35" s="1">
        <f t="shared" si="1"/>
        <v>256816.721184947</v>
      </c>
    </row>
    <row r="36" spans="1:7" x14ac:dyDescent="0.2">
      <c r="A36" t="s">
        <v>34</v>
      </c>
      <c r="B36">
        <v>2023</v>
      </c>
      <c r="C36">
        <v>3</v>
      </c>
      <c r="D36">
        <v>198819.4</v>
      </c>
      <c r="E36" s="1">
        <f t="shared" si="2"/>
        <v>0.94750983636557728</v>
      </c>
      <c r="F36" s="1">
        <f t="shared" si="3"/>
        <v>182115.79487469653</v>
      </c>
      <c r="G36" s="1">
        <f t="shared" si="1"/>
        <v>243336.36946589322</v>
      </c>
    </row>
    <row r="37" spans="1:7" x14ac:dyDescent="0.2">
      <c r="A37" t="s">
        <v>35</v>
      </c>
      <c r="B37">
        <v>2023</v>
      </c>
      <c r="C37">
        <v>4</v>
      </c>
      <c r="D37">
        <v>207795</v>
      </c>
      <c r="E37" s="1">
        <f t="shared" si="2"/>
        <v>1.0451444879121454</v>
      </c>
      <c r="F37" s="1">
        <f t="shared" si="3"/>
        <v>190337.31917502801</v>
      </c>
      <c r="G37" s="1">
        <f>G38/E38</f>
        <v>254321.66525583158</v>
      </c>
    </row>
    <row r="38" spans="1:7" x14ac:dyDescent="0.2">
      <c r="A38" t="s">
        <v>36</v>
      </c>
      <c r="B38">
        <v>2024</v>
      </c>
      <c r="C38">
        <v>1</v>
      </c>
      <c r="D38">
        <v>197194.9</v>
      </c>
      <c r="E38" s="1">
        <f t="shared" si="2"/>
        <v>0.94898770422772438</v>
      </c>
      <c r="F38" s="1">
        <f t="shared" si="3"/>
        <v>180627.77555276945</v>
      </c>
      <c r="G38" s="4">
        <v>241348.13324650342</v>
      </c>
    </row>
    <row r="39" spans="1:7" x14ac:dyDescent="0.2">
      <c r="A39" t="s">
        <v>37</v>
      </c>
      <c r="B39">
        <v>2024</v>
      </c>
      <c r="C39">
        <v>2</v>
      </c>
      <c r="D39">
        <v>211997.6</v>
      </c>
      <c r="E39" s="1">
        <f t="shared" si="2"/>
        <v>1.0750663429936576</v>
      </c>
      <c r="F39" s="1">
        <f t="shared" si="3"/>
        <v>194186.84210659502</v>
      </c>
      <c r="G39" s="1">
        <f>G38*E39</f>
        <v>259465.25499766442</v>
      </c>
    </row>
    <row r="40" spans="1:7" x14ac:dyDescent="0.2">
      <c r="A40" t="s">
        <v>38</v>
      </c>
      <c r="B40">
        <v>2024</v>
      </c>
      <c r="C40">
        <v>3</v>
      </c>
      <c r="D40">
        <v>202171.4</v>
      </c>
      <c r="E40" s="1">
        <f t="shared" si="2"/>
        <v>0.95364947527707855</v>
      </c>
      <c r="F40" s="1">
        <f t="shared" si="3"/>
        <v>185186.18008066725</v>
      </c>
      <c r="G40" s="1">
        <f t="shared" ref="G40:G43" si="4">G39*E40</f>
        <v>247438.90428115605</v>
      </c>
    </row>
    <row r="41" spans="1:7" x14ac:dyDescent="0.2">
      <c r="A41" t="s">
        <v>39</v>
      </c>
      <c r="B41">
        <v>2024</v>
      </c>
      <c r="C41">
        <v>4</v>
      </c>
      <c r="D41">
        <v>211687.8</v>
      </c>
      <c r="E41" s="1">
        <f t="shared" si="2"/>
        <v>1.0470709506883762</v>
      </c>
      <c r="F41" s="1">
        <f t="shared" si="3"/>
        <v>193903.06963141309</v>
      </c>
      <c r="G41" s="1">
        <f t="shared" si="4"/>
        <v>259086.08874296019</v>
      </c>
    </row>
    <row r="42" spans="1:7" x14ac:dyDescent="0.2">
      <c r="A42" t="s">
        <v>40</v>
      </c>
      <c r="B42">
        <v>2025</v>
      </c>
      <c r="C42">
        <v>1</v>
      </c>
      <c r="D42">
        <v>201634.6</v>
      </c>
      <c r="E42" s="1">
        <f t="shared" si="2"/>
        <v>0.95250930851943294</v>
      </c>
      <c r="F42" s="1">
        <f t="shared" si="3"/>
        <v>184694.47877441274</v>
      </c>
      <c r="G42" s="1">
        <f t="shared" si="4"/>
        <v>246781.91123556145</v>
      </c>
    </row>
    <row r="43" spans="1:7" x14ac:dyDescent="0.2">
      <c r="A43" t="s">
        <v>41</v>
      </c>
      <c r="B43">
        <v>2025</v>
      </c>
      <c r="C43">
        <v>2</v>
      </c>
      <c r="D43">
        <v>215735.1</v>
      </c>
      <c r="E43" s="1">
        <f t="shared" si="2"/>
        <v>1.069930954310421</v>
      </c>
      <c r="F43" s="1">
        <f t="shared" si="3"/>
        <v>197610.33993097322</v>
      </c>
      <c r="G43" s="1">
        <f t="shared" si="4"/>
        <v>264039.60579481383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FA500-742D-F94A-B1A4-A3C2FB28C225}">
  <dimension ref="A1:L43"/>
  <sheetViews>
    <sheetView workbookViewId="0">
      <selection activeCell="M6" sqref="M6"/>
    </sheetView>
  </sheetViews>
  <sheetFormatPr baseColWidth="10" defaultRowHeight="16" x14ac:dyDescent="0.2"/>
  <cols>
    <col min="1" max="1" width="8.1640625" bestFit="1" customWidth="1"/>
    <col min="2" max="2" width="5.1640625" bestFit="1" customWidth="1"/>
    <col min="3" max="4" width="7.1640625" bestFit="1" customWidth="1"/>
    <col min="5" max="5" width="15.5" bestFit="1" customWidth="1"/>
    <col min="6" max="6" width="36.5" bestFit="1" customWidth="1"/>
    <col min="7" max="7" width="12.33203125" bestFit="1" customWidth="1"/>
    <col min="8" max="8" width="7.6640625" bestFit="1" customWidth="1"/>
    <col min="9" max="9" width="9.5" bestFit="1" customWidth="1"/>
    <col min="10" max="10" width="8.33203125" bestFit="1" customWidth="1"/>
  </cols>
  <sheetData>
    <row r="1" spans="1:12" x14ac:dyDescent="0.2">
      <c r="A1" s="3" t="s">
        <v>49</v>
      </c>
      <c r="B1" s="3" t="s">
        <v>43</v>
      </c>
      <c r="C1" s="3" t="s">
        <v>44</v>
      </c>
      <c r="D1" s="3" t="s">
        <v>42</v>
      </c>
      <c r="E1" s="3"/>
      <c r="F1" s="3"/>
      <c r="I1" s="3" t="s">
        <v>45</v>
      </c>
    </row>
    <row r="2" spans="1:12" x14ac:dyDescent="0.2">
      <c r="A2" t="s">
        <v>0</v>
      </c>
      <c r="B2" s="2">
        <v>2015</v>
      </c>
      <c r="C2" s="2">
        <v>1</v>
      </c>
      <c r="D2" s="2">
        <v>152367.13305746697</v>
      </c>
      <c r="E2" s="2"/>
      <c r="F2" s="1"/>
      <c r="H2" s="3" t="s">
        <v>44</v>
      </c>
      <c r="I2" s="3" t="s">
        <v>46</v>
      </c>
      <c r="J2" s="3" t="s">
        <v>47</v>
      </c>
    </row>
    <row r="3" spans="1:12" x14ac:dyDescent="0.2">
      <c r="A3" t="s">
        <v>1</v>
      </c>
      <c r="B3" s="2">
        <v>2015</v>
      </c>
      <c r="C3" s="2">
        <v>2</v>
      </c>
      <c r="D3" s="2">
        <v>161513.25366654154</v>
      </c>
      <c r="E3" s="2">
        <f>D3-D2</f>
        <v>9146.1206090745691</v>
      </c>
      <c r="F3" s="1">
        <f>E3-_xlfn.XLOOKUP(C3,$H$3:$H$6,$J$3:$J$6)</f>
        <v>-356.62709029989674</v>
      </c>
      <c r="H3">
        <v>1</v>
      </c>
      <c r="I3" s="1">
        <f>AVERAGEIF($C$3:$C$43,1,$E$3:$E$43)</f>
        <v>-6427.7763178445048</v>
      </c>
      <c r="J3" s="1">
        <f>I3-$I$8</f>
        <v>-7299.4948342867428</v>
      </c>
    </row>
    <row r="4" spans="1:12" x14ac:dyDescent="0.2">
      <c r="A4" t="s">
        <v>2</v>
      </c>
      <c r="B4" s="2">
        <v>2015</v>
      </c>
      <c r="C4" s="2">
        <v>3</v>
      </c>
      <c r="D4" s="2">
        <v>155677.23181009715</v>
      </c>
      <c r="E4" s="2">
        <f t="shared" ref="E4:E43" si="0">D4-D3</f>
        <v>-5836.0218564443931</v>
      </c>
      <c r="F4" s="1">
        <f t="shared" ref="F4:F43" si="1">E4-_xlfn.XLOOKUP(C4,$H$3:$H$6,$J$3:$J$6)</f>
        <v>1646.4045498842406</v>
      </c>
      <c r="H4">
        <v>2</v>
      </c>
      <c r="I4" s="1">
        <f>AVERAGEIF($C$3:$C$43,2,$E$3:$E$43)</f>
        <v>10374.466215816705</v>
      </c>
      <c r="J4" s="1">
        <f t="shared" ref="J4:J6" si="2">I4-$I$8</f>
        <v>9502.7476993744658</v>
      </c>
    </row>
    <row r="5" spans="1:12" x14ac:dyDescent="0.2">
      <c r="A5" t="s">
        <v>3</v>
      </c>
      <c r="B5" s="2">
        <v>2015</v>
      </c>
      <c r="C5" s="2">
        <v>4</v>
      </c>
      <c r="D5" s="2">
        <v>160606.15269116178</v>
      </c>
      <c r="E5" s="2">
        <f t="shared" si="0"/>
        <v>4928.9208810646378</v>
      </c>
      <c r="F5" s="1">
        <f t="shared" si="1"/>
        <v>-350.25266017627291</v>
      </c>
      <c r="H5">
        <v>3</v>
      </c>
      <c r="I5" s="1">
        <f>AVERAGEIF($C$3:$C$43,3,$E$3:$E$43)</f>
        <v>-6610.7078898863956</v>
      </c>
      <c r="J5" s="1">
        <f t="shared" si="2"/>
        <v>-7482.4264063286337</v>
      </c>
    </row>
    <row r="6" spans="1:12" x14ac:dyDescent="0.2">
      <c r="A6" t="s">
        <v>4</v>
      </c>
      <c r="B6" s="2">
        <v>2016</v>
      </c>
      <c r="C6" s="2">
        <v>1</v>
      </c>
      <c r="D6" s="2">
        <v>155594.5182706881</v>
      </c>
      <c r="E6" s="2">
        <f t="shared" si="0"/>
        <v>-5011.6344204736815</v>
      </c>
      <c r="F6" s="1">
        <f t="shared" si="1"/>
        <v>2287.8604138130613</v>
      </c>
      <c r="H6">
        <v>4</v>
      </c>
      <c r="I6" s="1">
        <f>AVERAGEIF($C$3:$C$43,4,$E$3:$E$43)</f>
        <v>6150.8920576831497</v>
      </c>
      <c r="J6" s="1">
        <f t="shared" si="2"/>
        <v>5279.1735412409107</v>
      </c>
    </row>
    <row r="7" spans="1:12" x14ac:dyDescent="0.2">
      <c r="A7" t="s">
        <v>5</v>
      </c>
      <c r="B7" s="2">
        <v>2016</v>
      </c>
      <c r="C7" s="2">
        <v>2</v>
      </c>
      <c r="D7" s="2">
        <v>165490.19025626802</v>
      </c>
      <c r="E7" s="2">
        <f t="shared" si="0"/>
        <v>9895.6719855799165</v>
      </c>
      <c r="F7" s="1">
        <f t="shared" si="1"/>
        <v>392.9242862054507</v>
      </c>
    </row>
    <row r="8" spans="1:12" x14ac:dyDescent="0.2">
      <c r="A8" t="s">
        <v>6</v>
      </c>
      <c r="B8" s="2">
        <v>2016</v>
      </c>
      <c r="C8" s="2">
        <v>3</v>
      </c>
      <c r="D8" s="2">
        <v>159100.91283168335</v>
      </c>
      <c r="E8" s="2">
        <f t="shared" si="0"/>
        <v>-6389.2774245846667</v>
      </c>
      <c r="F8" s="1">
        <f t="shared" si="1"/>
        <v>1093.1489817439669</v>
      </c>
      <c r="H8" s="3" t="s">
        <v>48</v>
      </c>
      <c r="I8" s="1">
        <f>AVERAGE(I3:I6)</f>
        <v>871.71851644223852</v>
      </c>
      <c r="J8" s="1">
        <f>AVERAGE(J3:J6)</f>
        <v>0</v>
      </c>
      <c r="L8" t="s">
        <v>109</v>
      </c>
    </row>
    <row r="9" spans="1:12" x14ac:dyDescent="0.2">
      <c r="A9" t="s">
        <v>7</v>
      </c>
      <c r="B9" s="2">
        <v>2016</v>
      </c>
      <c r="C9" s="2">
        <v>4</v>
      </c>
      <c r="D9" s="2">
        <v>164126.37864136056</v>
      </c>
      <c r="E9" s="2">
        <f t="shared" si="0"/>
        <v>5025.4658096772037</v>
      </c>
      <c r="F9" s="1">
        <f t="shared" si="1"/>
        <v>-253.70773156370706</v>
      </c>
    </row>
    <row r="10" spans="1:12" x14ac:dyDescent="0.2">
      <c r="A10" t="s">
        <v>8</v>
      </c>
      <c r="B10" s="2">
        <v>2017</v>
      </c>
      <c r="C10" s="2">
        <v>1</v>
      </c>
      <c r="D10" s="2">
        <v>160369.00390541423</v>
      </c>
      <c r="E10" s="2">
        <f t="shared" si="0"/>
        <v>-3757.3747359463305</v>
      </c>
      <c r="F10" s="1">
        <f t="shared" si="1"/>
        <v>3542.1200983404124</v>
      </c>
    </row>
    <row r="11" spans="1:12" x14ac:dyDescent="0.2">
      <c r="A11" t="s">
        <v>9</v>
      </c>
      <c r="B11" s="2">
        <v>2017</v>
      </c>
      <c r="C11" s="2">
        <v>2</v>
      </c>
      <c r="D11" s="2">
        <v>170204.12921375231</v>
      </c>
      <c r="E11" s="2">
        <f t="shared" si="0"/>
        <v>9835.1253083380871</v>
      </c>
      <c r="F11" s="1">
        <f t="shared" si="1"/>
        <v>332.37760896362124</v>
      </c>
    </row>
    <row r="12" spans="1:12" x14ac:dyDescent="0.2">
      <c r="A12" t="s">
        <v>10</v>
      </c>
      <c r="B12" s="2">
        <v>2017</v>
      </c>
      <c r="C12" s="2">
        <v>3</v>
      </c>
      <c r="D12" s="2">
        <v>163404.21524745025</v>
      </c>
      <c r="E12" s="2">
        <f t="shared" si="0"/>
        <v>-6799.9139663020615</v>
      </c>
      <c r="F12" s="1">
        <f t="shared" si="1"/>
        <v>682.51244002657222</v>
      </c>
    </row>
    <row r="13" spans="1:12" x14ac:dyDescent="0.2">
      <c r="A13" t="s">
        <v>11</v>
      </c>
      <c r="B13" s="2">
        <v>2017</v>
      </c>
      <c r="C13" s="2">
        <v>4</v>
      </c>
      <c r="D13" s="2">
        <v>168292.83274275632</v>
      </c>
      <c r="E13" s="2">
        <f t="shared" si="0"/>
        <v>4888.617495306069</v>
      </c>
      <c r="F13" s="1">
        <f t="shared" si="1"/>
        <v>-390.55604593484168</v>
      </c>
    </row>
    <row r="14" spans="1:12" x14ac:dyDescent="0.2">
      <c r="A14" t="s">
        <v>12</v>
      </c>
      <c r="B14" s="2">
        <v>2018</v>
      </c>
      <c r="C14" s="2">
        <v>1</v>
      </c>
      <c r="D14" s="2">
        <v>164111.81446332508</v>
      </c>
      <c r="E14" s="2">
        <f t="shared" si="0"/>
        <v>-4181.0182794312423</v>
      </c>
      <c r="F14" s="1">
        <f t="shared" si="1"/>
        <v>3118.4765548555006</v>
      </c>
    </row>
    <row r="15" spans="1:12" x14ac:dyDescent="0.2">
      <c r="A15" t="s">
        <v>13</v>
      </c>
      <c r="B15" s="2">
        <v>2018</v>
      </c>
      <c r="C15" s="2">
        <v>2</v>
      </c>
      <c r="D15" s="2">
        <v>174628.34178679492</v>
      </c>
      <c r="E15" s="2">
        <f t="shared" si="0"/>
        <v>10516.52732346984</v>
      </c>
      <c r="F15" s="1">
        <f t="shared" si="1"/>
        <v>1013.7796240953739</v>
      </c>
    </row>
    <row r="16" spans="1:12" x14ac:dyDescent="0.2">
      <c r="A16" t="s">
        <v>14</v>
      </c>
      <c r="B16" s="2">
        <v>2018</v>
      </c>
      <c r="C16" s="2">
        <v>3</v>
      </c>
      <c r="D16" s="2">
        <v>166744.35834219141</v>
      </c>
      <c r="E16" s="2">
        <f t="shared" si="0"/>
        <v>-7883.9834446035093</v>
      </c>
      <c r="F16" s="1">
        <f t="shared" si="1"/>
        <v>-401.55703827487559</v>
      </c>
    </row>
    <row r="17" spans="1:6" x14ac:dyDescent="0.2">
      <c r="A17" t="s">
        <v>15</v>
      </c>
      <c r="B17" s="2">
        <v>2018</v>
      </c>
      <c r="C17" s="2">
        <v>4</v>
      </c>
      <c r="D17" s="2">
        <v>171442.54233978826</v>
      </c>
      <c r="E17" s="2">
        <f t="shared" si="0"/>
        <v>4698.1839975968469</v>
      </c>
      <c r="F17" s="1">
        <f t="shared" si="1"/>
        <v>-580.98954364406382</v>
      </c>
    </row>
    <row r="18" spans="1:6" x14ac:dyDescent="0.2">
      <c r="A18" t="s">
        <v>16</v>
      </c>
      <c r="B18" s="2">
        <v>2019</v>
      </c>
      <c r="C18" s="2">
        <v>1</v>
      </c>
      <c r="D18" s="2">
        <v>168101.30006179912</v>
      </c>
      <c r="E18" s="2">
        <f t="shared" si="0"/>
        <v>-3341.2422779891349</v>
      </c>
      <c r="F18" s="1">
        <f t="shared" si="1"/>
        <v>3958.252556297608</v>
      </c>
    </row>
    <row r="19" spans="1:6" x14ac:dyDescent="0.2">
      <c r="A19" t="s">
        <v>17</v>
      </c>
      <c r="B19" s="2">
        <v>2019</v>
      </c>
      <c r="C19" s="2">
        <v>2</v>
      </c>
      <c r="D19" s="2">
        <v>178613.98024390108</v>
      </c>
      <c r="E19" s="2">
        <f t="shared" si="0"/>
        <v>10512.680182101962</v>
      </c>
      <c r="F19" s="1">
        <f t="shared" si="1"/>
        <v>1009.9324827274959</v>
      </c>
    </row>
    <row r="20" spans="1:6" x14ac:dyDescent="0.2">
      <c r="A20" t="s">
        <v>18</v>
      </c>
      <c r="B20" s="2">
        <v>2019</v>
      </c>
      <c r="C20" s="2">
        <v>3</v>
      </c>
      <c r="D20" s="2">
        <v>170906.96530221929</v>
      </c>
      <c r="E20" s="2">
        <f t="shared" si="0"/>
        <v>-7707.0149416817876</v>
      </c>
      <c r="F20" s="1">
        <f t="shared" si="1"/>
        <v>-224.58853535315393</v>
      </c>
    </row>
    <row r="21" spans="1:6" x14ac:dyDescent="0.2">
      <c r="A21" t="s">
        <v>19</v>
      </c>
      <c r="B21" s="2">
        <v>2019</v>
      </c>
      <c r="C21" s="2">
        <v>4</v>
      </c>
      <c r="D21" s="2">
        <v>175487.6282908883</v>
      </c>
      <c r="E21" s="2">
        <f t="shared" si="0"/>
        <v>4580.6629886690062</v>
      </c>
      <c r="F21" s="1">
        <f t="shared" si="1"/>
        <v>-698.51055257190455</v>
      </c>
    </row>
    <row r="22" spans="1:6" x14ac:dyDescent="0.2">
      <c r="A22" t="s">
        <v>20</v>
      </c>
      <c r="B22" s="2">
        <v>2020</v>
      </c>
      <c r="C22" s="2">
        <v>1</v>
      </c>
      <c r="D22" s="2">
        <v>167682.694441534</v>
      </c>
      <c r="E22" s="2">
        <f t="shared" si="0"/>
        <v>-7804.9338493543037</v>
      </c>
      <c r="F22" s="1">
        <f t="shared" si="1"/>
        <v>-505.43901506756083</v>
      </c>
    </row>
    <row r="23" spans="1:6" x14ac:dyDescent="0.2">
      <c r="A23" t="s">
        <v>21</v>
      </c>
      <c r="B23" s="2">
        <v>2020</v>
      </c>
      <c r="C23" s="2">
        <v>2</v>
      </c>
      <c r="D23" s="2">
        <v>162710.3558221749</v>
      </c>
      <c r="E23" s="2">
        <f t="shared" si="0"/>
        <v>-4972.3386193590995</v>
      </c>
      <c r="F23" s="1">
        <f t="shared" si="1"/>
        <v>-14475.086318733565</v>
      </c>
    </row>
    <row r="24" spans="1:6" x14ac:dyDescent="0.2">
      <c r="A24" t="s">
        <v>22</v>
      </c>
      <c r="B24" s="2">
        <v>2020</v>
      </c>
      <c r="C24" s="2">
        <v>3</v>
      </c>
      <c r="D24" s="2">
        <v>164442.48542375327</v>
      </c>
      <c r="E24" s="2">
        <f t="shared" si="0"/>
        <v>1732.1296015783737</v>
      </c>
      <c r="F24" s="1">
        <f t="shared" si="1"/>
        <v>9214.5560079070074</v>
      </c>
    </row>
    <row r="25" spans="1:6" x14ac:dyDescent="0.2">
      <c r="A25" t="s">
        <v>23</v>
      </c>
      <c r="B25" s="2">
        <v>2020</v>
      </c>
      <c r="C25" s="2">
        <v>4</v>
      </c>
      <c r="D25" s="2">
        <v>170306.81124883259</v>
      </c>
      <c r="E25" s="2">
        <f t="shared" si="0"/>
        <v>5864.3258250793151</v>
      </c>
      <c r="F25" s="1">
        <f t="shared" si="1"/>
        <v>585.1522838384044</v>
      </c>
    </row>
    <row r="26" spans="1:6" x14ac:dyDescent="0.2">
      <c r="A26" t="s">
        <v>24</v>
      </c>
      <c r="B26" s="2">
        <v>2021</v>
      </c>
      <c r="C26" s="2">
        <v>1</v>
      </c>
      <c r="D26" s="2">
        <v>165839.73052911952</v>
      </c>
      <c r="E26" s="2">
        <f t="shared" si="0"/>
        <v>-4467.0807197130634</v>
      </c>
      <c r="F26" s="1">
        <f t="shared" si="1"/>
        <v>2832.4141145736794</v>
      </c>
    </row>
    <row r="27" spans="1:6" x14ac:dyDescent="0.2">
      <c r="A27" t="s">
        <v>25</v>
      </c>
      <c r="B27" s="2">
        <v>2021</v>
      </c>
      <c r="C27" s="2">
        <v>2</v>
      </c>
      <c r="D27" s="2">
        <v>182515.16478812223</v>
      </c>
      <c r="E27" s="2">
        <f t="shared" si="0"/>
        <v>16675.434259002708</v>
      </c>
      <c r="F27" s="1">
        <f t="shared" si="1"/>
        <v>7172.6865596282423</v>
      </c>
    </row>
    <row r="28" spans="1:6" x14ac:dyDescent="0.2">
      <c r="A28" t="s">
        <v>26</v>
      </c>
      <c r="B28" s="2">
        <v>2021</v>
      </c>
      <c r="C28" s="2">
        <v>3</v>
      </c>
      <c r="D28" s="2">
        <v>177232.49009842222</v>
      </c>
      <c r="E28" s="2">
        <f t="shared" si="0"/>
        <v>-5282.6746897000121</v>
      </c>
      <c r="F28" s="1">
        <f t="shared" si="1"/>
        <v>2199.7517166286216</v>
      </c>
    </row>
    <row r="29" spans="1:6" x14ac:dyDescent="0.2">
      <c r="A29" t="s">
        <v>27</v>
      </c>
      <c r="B29" s="2">
        <v>2021</v>
      </c>
      <c r="C29" s="2">
        <v>4</v>
      </c>
      <c r="D29" s="2">
        <v>184029.01491637639</v>
      </c>
      <c r="E29" s="2">
        <f t="shared" si="0"/>
        <v>6796.5248179541668</v>
      </c>
      <c r="F29" s="1">
        <f t="shared" si="1"/>
        <v>1517.3512767132561</v>
      </c>
    </row>
    <row r="30" spans="1:6" x14ac:dyDescent="0.2">
      <c r="A30" t="s">
        <v>28</v>
      </c>
      <c r="B30" s="2">
        <v>2022</v>
      </c>
      <c r="C30" s="2">
        <v>1</v>
      </c>
      <c r="D30" s="2">
        <v>178781.2392947991</v>
      </c>
      <c r="E30" s="2">
        <f t="shared" si="0"/>
        <v>-5247.7756215772824</v>
      </c>
      <c r="F30" s="1">
        <f t="shared" si="1"/>
        <v>2051.7192127094604</v>
      </c>
    </row>
    <row r="31" spans="1:6" x14ac:dyDescent="0.2">
      <c r="A31" t="s">
        <v>29</v>
      </c>
      <c r="B31" s="2">
        <v>2022</v>
      </c>
      <c r="C31" s="2">
        <v>2</v>
      </c>
      <c r="D31" s="2">
        <v>193683.78257344489</v>
      </c>
      <c r="E31" s="2">
        <f t="shared" si="0"/>
        <v>14902.543278645782</v>
      </c>
      <c r="F31" s="1">
        <f t="shared" si="1"/>
        <v>5399.7955792713165</v>
      </c>
    </row>
    <row r="32" spans="1:6" x14ac:dyDescent="0.2">
      <c r="A32" t="s">
        <v>30</v>
      </c>
      <c r="B32" s="2">
        <v>2022</v>
      </c>
      <c r="C32" s="2">
        <v>3</v>
      </c>
      <c r="D32" s="2">
        <v>184832.9758636558</v>
      </c>
      <c r="E32" s="2">
        <f t="shared" si="0"/>
        <v>-8850.8067097890889</v>
      </c>
      <c r="F32" s="1">
        <f t="shared" si="1"/>
        <v>-1368.3803034604553</v>
      </c>
    </row>
    <row r="33" spans="1:6" x14ac:dyDescent="0.2">
      <c r="A33" t="s">
        <v>31</v>
      </c>
      <c r="B33" s="2">
        <v>2022</v>
      </c>
      <c r="C33" s="2">
        <v>4</v>
      </c>
      <c r="D33" s="2">
        <v>192620.78077406273</v>
      </c>
      <c r="E33" s="2">
        <f t="shared" si="0"/>
        <v>7787.804910406936</v>
      </c>
      <c r="F33" s="1">
        <f t="shared" si="1"/>
        <v>2508.6313691660253</v>
      </c>
    </row>
    <row r="34" spans="1:6" x14ac:dyDescent="0.2">
      <c r="A34" t="s">
        <v>32</v>
      </c>
      <c r="B34" s="2">
        <v>2023</v>
      </c>
      <c r="C34" s="2">
        <v>1</v>
      </c>
      <c r="D34" s="2">
        <v>181072.21197936163</v>
      </c>
      <c r="E34" s="2">
        <f t="shared" si="0"/>
        <v>-11548.568794701103</v>
      </c>
      <c r="F34" s="1">
        <f t="shared" si="1"/>
        <v>-4249.07396041436</v>
      </c>
    </row>
    <row r="35" spans="1:6" x14ac:dyDescent="0.2">
      <c r="A35" t="s">
        <v>33</v>
      </c>
      <c r="B35" s="2">
        <v>2023</v>
      </c>
      <c r="C35" s="2">
        <v>2</v>
      </c>
      <c r="D35" s="2">
        <v>192204.64831610557</v>
      </c>
      <c r="E35" s="2">
        <f t="shared" si="0"/>
        <v>11132.436336743936</v>
      </c>
      <c r="F35" s="1">
        <f t="shared" si="1"/>
        <v>1629.6886373694706</v>
      </c>
    </row>
    <row r="36" spans="1:6" x14ac:dyDescent="0.2">
      <c r="A36" t="s">
        <v>34</v>
      </c>
      <c r="B36" s="2">
        <v>2023</v>
      </c>
      <c r="C36" s="2">
        <v>3</v>
      </c>
      <c r="D36" s="2">
        <v>182115.79487469653</v>
      </c>
      <c r="E36" s="2">
        <f t="shared" si="0"/>
        <v>-10088.853441409039</v>
      </c>
      <c r="F36" s="1">
        <f t="shared" si="1"/>
        <v>-2606.4270350804054</v>
      </c>
    </row>
    <row r="37" spans="1:6" x14ac:dyDescent="0.2">
      <c r="A37" t="s">
        <v>35</v>
      </c>
      <c r="B37" s="2">
        <v>2023</v>
      </c>
      <c r="C37" s="2">
        <v>4</v>
      </c>
      <c r="D37" s="2">
        <v>190337.31917502801</v>
      </c>
      <c r="E37" s="2">
        <f t="shared" si="0"/>
        <v>8221.5243003314827</v>
      </c>
      <c r="F37" s="1">
        <f t="shared" si="1"/>
        <v>2942.350759090572</v>
      </c>
    </row>
    <row r="38" spans="1:6" x14ac:dyDescent="0.2">
      <c r="A38" t="s">
        <v>36</v>
      </c>
      <c r="B38" s="2">
        <v>2024</v>
      </c>
      <c r="C38" s="2">
        <v>1</v>
      </c>
      <c r="D38" s="2">
        <v>180627.77555276945</v>
      </c>
      <c r="E38" s="2">
        <f t="shared" si="0"/>
        <v>-9709.5436222585558</v>
      </c>
      <c r="F38" s="1">
        <f t="shared" si="1"/>
        <v>-2410.048787971813</v>
      </c>
    </row>
    <row r="39" spans="1:6" x14ac:dyDescent="0.2">
      <c r="A39" t="s">
        <v>37</v>
      </c>
      <c r="B39" s="2">
        <v>2024</v>
      </c>
      <c r="C39" s="2">
        <v>2</v>
      </c>
      <c r="D39" s="2">
        <v>194186.84210659502</v>
      </c>
      <c r="E39" s="2">
        <f t="shared" si="0"/>
        <v>13559.066553825571</v>
      </c>
      <c r="F39" s="1">
        <f t="shared" si="1"/>
        <v>4056.3188544511049</v>
      </c>
    </row>
    <row r="40" spans="1:6" x14ac:dyDescent="0.2">
      <c r="A40" t="s">
        <v>38</v>
      </c>
      <c r="B40" s="2">
        <v>2024</v>
      </c>
      <c r="C40" s="2">
        <v>3</v>
      </c>
      <c r="D40" s="2">
        <v>185186.18008066725</v>
      </c>
      <c r="E40" s="2">
        <f t="shared" si="0"/>
        <v>-9000.6620259277697</v>
      </c>
      <c r="F40" s="1">
        <f t="shared" si="1"/>
        <v>-1518.235619599136</v>
      </c>
    </row>
    <row r="41" spans="1:6" x14ac:dyDescent="0.2">
      <c r="A41" t="s">
        <v>39</v>
      </c>
      <c r="B41" s="2">
        <v>2024</v>
      </c>
      <c r="C41" s="2">
        <v>4</v>
      </c>
      <c r="D41" s="2">
        <v>193903.06963141309</v>
      </c>
      <c r="E41" s="2">
        <f t="shared" si="0"/>
        <v>8716.8895507458365</v>
      </c>
      <c r="F41" s="1">
        <f t="shared" si="1"/>
        <v>3437.7160095049258</v>
      </c>
    </row>
    <row r="42" spans="1:6" x14ac:dyDescent="0.2">
      <c r="A42" t="s">
        <v>40</v>
      </c>
      <c r="B42" s="2">
        <v>2025</v>
      </c>
      <c r="C42" s="2">
        <v>1</v>
      </c>
      <c r="D42" s="2">
        <v>184694.47877441274</v>
      </c>
      <c r="E42" s="2">
        <f t="shared" si="0"/>
        <v>-9208.5908570003521</v>
      </c>
      <c r="F42" s="1">
        <f t="shared" si="1"/>
        <v>-1909.0960227136093</v>
      </c>
    </row>
    <row r="43" spans="1:6" x14ac:dyDescent="0.2">
      <c r="A43" t="s">
        <v>41</v>
      </c>
      <c r="B43" s="2">
        <v>2025</v>
      </c>
      <c r="C43" s="2">
        <v>2</v>
      </c>
      <c r="D43" s="2">
        <v>197610.33993097322</v>
      </c>
      <c r="E43" s="2">
        <f t="shared" si="0"/>
        <v>12915.861156560481</v>
      </c>
      <c r="F43" s="1">
        <f t="shared" si="1"/>
        <v>3413.1134571860148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902EF-83B3-044B-999C-9C63C322453F}">
  <dimension ref="A1:L43"/>
  <sheetViews>
    <sheetView workbookViewId="0">
      <selection activeCell="N6" sqref="N6"/>
    </sheetView>
  </sheetViews>
  <sheetFormatPr baseColWidth="10" defaultRowHeight="16" x14ac:dyDescent="0.2"/>
  <cols>
    <col min="1" max="1" width="8.1640625" bestFit="1" customWidth="1"/>
    <col min="2" max="2" width="5.1640625" bestFit="1" customWidth="1"/>
    <col min="3" max="4" width="7.1640625" bestFit="1" customWidth="1"/>
    <col min="5" max="5" width="15.5" bestFit="1" customWidth="1"/>
    <col min="6" max="6" width="36.5" bestFit="1" customWidth="1"/>
    <col min="7" max="7" width="12.33203125" bestFit="1" customWidth="1"/>
    <col min="8" max="8" width="7.6640625" bestFit="1" customWidth="1"/>
    <col min="9" max="9" width="9.5" bestFit="1" customWidth="1"/>
    <col min="10" max="10" width="8.33203125" bestFit="1" customWidth="1"/>
  </cols>
  <sheetData>
    <row r="1" spans="1:12" x14ac:dyDescent="0.2">
      <c r="A1" s="3" t="s">
        <v>49</v>
      </c>
      <c r="B1" s="3" t="s">
        <v>43</v>
      </c>
      <c r="C1" s="3" t="s">
        <v>44</v>
      </c>
      <c r="D1" s="3" t="s">
        <v>42</v>
      </c>
      <c r="E1" s="3"/>
      <c r="F1" s="3"/>
      <c r="I1" s="3" t="s">
        <v>45</v>
      </c>
    </row>
    <row r="2" spans="1:12" x14ac:dyDescent="0.2">
      <c r="A2" t="s">
        <v>0</v>
      </c>
      <c r="B2" s="2">
        <v>2015</v>
      </c>
      <c r="C2" s="2">
        <v>1</v>
      </c>
      <c r="D2" s="2">
        <v>203587.31108216554</v>
      </c>
      <c r="E2" s="2"/>
      <c r="F2" s="1"/>
      <c r="H2" s="3" t="s">
        <v>44</v>
      </c>
      <c r="I2" s="3" t="s">
        <v>46</v>
      </c>
      <c r="J2" s="3" t="s">
        <v>47</v>
      </c>
    </row>
    <row r="3" spans="1:12" x14ac:dyDescent="0.2">
      <c r="A3" t="s">
        <v>1</v>
      </c>
      <c r="B3" s="2">
        <v>2015</v>
      </c>
      <c r="C3" s="2">
        <v>2</v>
      </c>
      <c r="D3" s="2">
        <v>215808.01816164039</v>
      </c>
      <c r="E3" s="2">
        <f>D3-D2</f>
        <v>12220.707079474843</v>
      </c>
      <c r="F3" s="1">
        <f>E3-_xlfn.XLOOKUP(C3,$H$3:$H$6,$J$3:$J$6)</f>
        <v>-476.51188885878037</v>
      </c>
      <c r="H3">
        <v>1</v>
      </c>
      <c r="I3" s="1">
        <f>AVERAGEIF($C$3:$C$43,1,$E$3:$E$43)</f>
        <v>-8588.5562754142484</v>
      </c>
      <c r="J3" s="1">
        <f>I3-$I$8</f>
        <v>-9753.3142203975331</v>
      </c>
    </row>
    <row r="4" spans="1:12" x14ac:dyDescent="0.2">
      <c r="A4" t="s">
        <v>2</v>
      </c>
      <c r="B4" s="2">
        <v>2015</v>
      </c>
      <c r="C4" s="2">
        <v>3</v>
      </c>
      <c r="D4" s="2">
        <v>208010.14224622143</v>
      </c>
      <c r="E4" s="2">
        <f t="shared" ref="E4:E43" si="0">D4-D3</f>
        <v>-7797.8759154189611</v>
      </c>
      <c r="F4" s="1">
        <f t="shared" ref="F4:F43" si="1">E4-_xlfn.XLOOKUP(C4,$H$3:$H$6,$J$3:$J$6)</f>
        <v>2199.8646856337527</v>
      </c>
      <c r="H4">
        <v>2</v>
      </c>
      <c r="I4" s="1">
        <f>AVERAGEIF($C$3:$C$43,2,$E$3:$E$43)</f>
        <v>13861.976913316908</v>
      </c>
      <c r="J4" s="1">
        <f t="shared" ref="J4:J6" si="2">I4-$I$8</f>
        <v>12697.218968333624</v>
      </c>
    </row>
    <row r="5" spans="1:12" x14ac:dyDescent="0.2">
      <c r="A5" t="s">
        <v>3</v>
      </c>
      <c r="B5" s="2">
        <v>2015</v>
      </c>
      <c r="C5" s="2">
        <v>4</v>
      </c>
      <c r="D5" s="2">
        <v>214595.98348754883</v>
      </c>
      <c r="E5" s="2">
        <f t="shared" si="0"/>
        <v>6585.8412413274054</v>
      </c>
      <c r="F5" s="1">
        <f t="shared" si="1"/>
        <v>-467.99461178921592</v>
      </c>
      <c r="H5">
        <v>3</v>
      </c>
      <c r="I5" s="1">
        <f>AVERAGEIF($C$3:$C$43,3,$E$3:$E$43)</f>
        <v>-8832.9826560694291</v>
      </c>
      <c r="J5" s="1">
        <f t="shared" si="2"/>
        <v>-9997.7406010527138</v>
      </c>
    </row>
    <row r="6" spans="1:12" x14ac:dyDescent="0.2">
      <c r="A6" t="s">
        <v>4</v>
      </c>
      <c r="B6" s="2">
        <v>2016</v>
      </c>
      <c r="C6" s="2">
        <v>1</v>
      </c>
      <c r="D6" s="2">
        <v>207899.62348314916</v>
      </c>
      <c r="E6" s="2">
        <f t="shared" si="0"/>
        <v>-6696.3600043996703</v>
      </c>
      <c r="F6" s="1">
        <f t="shared" si="1"/>
        <v>3056.9542159978628</v>
      </c>
      <c r="H6">
        <v>4</v>
      </c>
      <c r="I6" s="1">
        <f>AVERAGEIF($C$3:$C$43,4,$E$3:$E$43)</f>
        <v>8218.5937980999061</v>
      </c>
      <c r="J6" s="1">
        <f t="shared" si="2"/>
        <v>7053.8358531166214</v>
      </c>
    </row>
    <row r="7" spans="1:12" x14ac:dyDescent="0.2">
      <c r="A7" t="s">
        <v>5</v>
      </c>
      <c r="B7" s="2">
        <v>2016</v>
      </c>
      <c r="C7" s="2">
        <v>2</v>
      </c>
      <c r="D7" s="2">
        <v>221121.85330705406</v>
      </c>
      <c r="E7" s="2">
        <f t="shared" si="0"/>
        <v>13222.229823904898</v>
      </c>
      <c r="F7" s="1">
        <f t="shared" si="1"/>
        <v>525.01085557127408</v>
      </c>
    </row>
    <row r="8" spans="1:12" x14ac:dyDescent="0.2">
      <c r="A8" t="s">
        <v>6</v>
      </c>
      <c r="B8" s="2">
        <v>2016</v>
      </c>
      <c r="C8" s="2">
        <v>3</v>
      </c>
      <c r="D8" s="2">
        <v>212584.73782468442</v>
      </c>
      <c r="E8" s="2">
        <f t="shared" si="0"/>
        <v>-8537.1154823696415</v>
      </c>
      <c r="F8" s="1">
        <f t="shared" si="1"/>
        <v>1460.6251186830723</v>
      </c>
      <c r="H8" s="3" t="s">
        <v>48</v>
      </c>
      <c r="I8" s="1">
        <f>AVERAGE(I3:I6)</f>
        <v>1164.7579449832842</v>
      </c>
      <c r="J8" s="1">
        <f>AVERAGE(J3:J6)</f>
        <v>0</v>
      </c>
      <c r="L8" t="s">
        <v>109</v>
      </c>
    </row>
    <row r="9" spans="1:12" x14ac:dyDescent="0.2">
      <c r="A9" t="s">
        <v>7</v>
      </c>
      <c r="B9" s="2">
        <v>2016</v>
      </c>
      <c r="C9" s="2">
        <v>4</v>
      </c>
      <c r="D9" s="2">
        <v>219299.57881825787</v>
      </c>
      <c r="E9" s="2">
        <f t="shared" si="0"/>
        <v>6714.8409935734526</v>
      </c>
      <c r="F9" s="1">
        <f t="shared" si="1"/>
        <v>-338.99485954316879</v>
      </c>
    </row>
    <row r="10" spans="1:12" x14ac:dyDescent="0.2">
      <c r="A10" t="s">
        <v>8</v>
      </c>
      <c r="B10" s="2">
        <v>2017</v>
      </c>
      <c r="C10" s="2">
        <v>1</v>
      </c>
      <c r="D10" s="2">
        <v>214279.11407714561</v>
      </c>
      <c r="E10" s="2">
        <f t="shared" si="0"/>
        <v>-5020.4647411122569</v>
      </c>
      <c r="F10" s="1">
        <f t="shared" si="1"/>
        <v>4732.8494792852762</v>
      </c>
    </row>
    <row r="11" spans="1:12" x14ac:dyDescent="0.2">
      <c r="A11" t="s">
        <v>9</v>
      </c>
      <c r="B11" s="2">
        <v>2017</v>
      </c>
      <c r="C11" s="2">
        <v>2</v>
      </c>
      <c r="D11" s="2">
        <v>227420.44367691904</v>
      </c>
      <c r="E11" s="2">
        <f t="shared" si="0"/>
        <v>13141.329599773424</v>
      </c>
      <c r="F11" s="1">
        <f t="shared" si="1"/>
        <v>444.11063143980027</v>
      </c>
    </row>
    <row r="12" spans="1:12" x14ac:dyDescent="0.2">
      <c r="A12" t="s">
        <v>10</v>
      </c>
      <c r="B12" s="2">
        <v>2017</v>
      </c>
      <c r="C12" s="2">
        <v>3</v>
      </c>
      <c r="D12" s="2">
        <v>218334.65088020501</v>
      </c>
      <c r="E12" s="2">
        <f t="shared" si="0"/>
        <v>-9085.7927967140276</v>
      </c>
      <c r="F12" s="1">
        <f t="shared" si="1"/>
        <v>911.94780433868618</v>
      </c>
    </row>
    <row r="13" spans="1:12" x14ac:dyDescent="0.2">
      <c r="A13" t="s">
        <v>11</v>
      </c>
      <c r="B13" s="2">
        <v>2017</v>
      </c>
      <c r="C13" s="2">
        <v>4</v>
      </c>
      <c r="D13" s="2">
        <v>224866.64023254925</v>
      </c>
      <c r="E13" s="2">
        <f t="shared" si="0"/>
        <v>6531.9893523442443</v>
      </c>
      <c r="F13" s="1">
        <f t="shared" si="1"/>
        <v>-521.84650077237711</v>
      </c>
    </row>
    <row r="14" spans="1:12" x14ac:dyDescent="0.2">
      <c r="A14" t="s">
        <v>12</v>
      </c>
      <c r="B14" s="2">
        <v>2018</v>
      </c>
      <c r="C14" s="2">
        <v>1</v>
      </c>
      <c r="D14" s="2">
        <v>219280.11870382988</v>
      </c>
      <c r="E14" s="2">
        <f t="shared" si="0"/>
        <v>-5586.5215287193714</v>
      </c>
      <c r="F14" s="1">
        <f t="shared" si="1"/>
        <v>4166.7926916781616</v>
      </c>
    </row>
    <row r="15" spans="1:12" x14ac:dyDescent="0.2">
      <c r="A15" t="s">
        <v>13</v>
      </c>
      <c r="B15" s="2">
        <v>2018</v>
      </c>
      <c r="C15" s="2">
        <v>2</v>
      </c>
      <c r="D15" s="2">
        <v>233331.91239938911</v>
      </c>
      <c r="E15" s="2">
        <f t="shared" si="0"/>
        <v>14051.79369555923</v>
      </c>
      <c r="F15" s="1">
        <f t="shared" si="1"/>
        <v>1354.5747272256067</v>
      </c>
    </row>
    <row r="16" spans="1:12" x14ac:dyDescent="0.2">
      <c r="A16" t="s">
        <v>14</v>
      </c>
      <c r="B16" s="2">
        <v>2018</v>
      </c>
      <c r="C16" s="2">
        <v>3</v>
      </c>
      <c r="D16" s="2">
        <v>222797.62617968474</v>
      </c>
      <c r="E16" s="2">
        <f t="shared" si="0"/>
        <v>-10534.286219704372</v>
      </c>
      <c r="F16" s="1">
        <f t="shared" si="1"/>
        <v>-536.54561865165851</v>
      </c>
    </row>
    <row r="17" spans="1:6" x14ac:dyDescent="0.2">
      <c r="A17" t="s">
        <v>15</v>
      </c>
      <c r="B17" s="2">
        <v>2018</v>
      </c>
      <c r="C17" s="2">
        <v>4</v>
      </c>
      <c r="D17" s="2">
        <v>229075.16535658354</v>
      </c>
      <c r="E17" s="2">
        <f t="shared" si="0"/>
        <v>6277.5391768988047</v>
      </c>
      <c r="F17" s="1">
        <f t="shared" si="1"/>
        <v>-776.29667621781664</v>
      </c>
    </row>
    <row r="18" spans="1:6" x14ac:dyDescent="0.2">
      <c r="A18" t="s">
        <v>16</v>
      </c>
      <c r="B18" s="2">
        <v>2019</v>
      </c>
      <c r="C18" s="2">
        <v>1</v>
      </c>
      <c r="D18" s="2">
        <v>224610.72136922245</v>
      </c>
      <c r="E18" s="2">
        <f t="shared" si="0"/>
        <v>-4464.4439873610972</v>
      </c>
      <c r="F18" s="1">
        <f t="shared" si="1"/>
        <v>5288.8702330364358</v>
      </c>
    </row>
    <row r="19" spans="1:6" x14ac:dyDescent="0.2">
      <c r="A19" t="s">
        <v>17</v>
      </c>
      <c r="B19" s="2">
        <v>2019</v>
      </c>
      <c r="C19" s="2">
        <v>2</v>
      </c>
      <c r="D19" s="2">
        <v>238657.37465719692</v>
      </c>
      <c r="E19" s="2">
        <f t="shared" si="0"/>
        <v>14046.653287974477</v>
      </c>
      <c r="F19" s="1">
        <f t="shared" si="1"/>
        <v>1349.4343196408536</v>
      </c>
    </row>
    <row r="20" spans="1:6" x14ac:dyDescent="0.2">
      <c r="A20" t="s">
        <v>18</v>
      </c>
      <c r="B20" s="2">
        <v>2019</v>
      </c>
      <c r="C20" s="2">
        <v>3</v>
      </c>
      <c r="D20" s="2">
        <v>228359.54718639137</v>
      </c>
      <c r="E20" s="2">
        <f t="shared" si="0"/>
        <v>-10297.827470805554</v>
      </c>
      <c r="F20" s="1">
        <f t="shared" si="1"/>
        <v>-300.08686975284036</v>
      </c>
    </row>
    <row r="21" spans="1:6" x14ac:dyDescent="0.2">
      <c r="A21" t="s">
        <v>19</v>
      </c>
      <c r="B21" s="2">
        <v>2019</v>
      </c>
      <c r="C21" s="2">
        <v>4</v>
      </c>
      <c r="D21" s="2">
        <v>234480.05915064149</v>
      </c>
      <c r="E21" s="2">
        <f t="shared" si="0"/>
        <v>6120.5119642501231</v>
      </c>
      <c r="F21" s="1">
        <f t="shared" si="1"/>
        <v>-933.32388886649824</v>
      </c>
    </row>
    <row r="22" spans="1:6" x14ac:dyDescent="0.2">
      <c r="A22" t="s">
        <v>20</v>
      </c>
      <c r="B22" s="2">
        <v>2020</v>
      </c>
      <c r="C22" s="2">
        <v>1</v>
      </c>
      <c r="D22" s="2">
        <v>224051.39606773821</v>
      </c>
      <c r="E22" s="2">
        <f t="shared" si="0"/>
        <v>-10428.66308290328</v>
      </c>
      <c r="F22" s="1">
        <f t="shared" si="1"/>
        <v>-675.34886250574709</v>
      </c>
    </row>
    <row r="23" spans="1:6" x14ac:dyDescent="0.2">
      <c r="A23" t="s">
        <v>21</v>
      </c>
      <c r="B23" s="2">
        <v>2020</v>
      </c>
      <c r="C23" s="2">
        <v>2</v>
      </c>
      <c r="D23" s="2">
        <v>217407.54165509713</v>
      </c>
      <c r="E23" s="2">
        <f t="shared" si="0"/>
        <v>-6643.8544126410852</v>
      </c>
      <c r="F23" s="1">
        <f t="shared" si="1"/>
        <v>-19341.073380974711</v>
      </c>
    </row>
    <row r="24" spans="1:6" x14ac:dyDescent="0.2">
      <c r="A24" t="s">
        <v>22</v>
      </c>
      <c r="B24" s="2">
        <v>2020</v>
      </c>
      <c r="C24" s="2">
        <v>3</v>
      </c>
      <c r="D24" s="2">
        <v>219721.94897480539</v>
      </c>
      <c r="E24" s="2">
        <f t="shared" si="0"/>
        <v>2314.4073197082616</v>
      </c>
      <c r="F24" s="1">
        <f t="shared" si="1"/>
        <v>12312.147920760975</v>
      </c>
    </row>
    <row r="25" spans="1:6" x14ac:dyDescent="0.2">
      <c r="A25" t="s">
        <v>23</v>
      </c>
      <c r="B25" s="2">
        <v>2020</v>
      </c>
      <c r="C25" s="2">
        <v>4</v>
      </c>
      <c r="D25" s="2">
        <v>227557.6436031693</v>
      </c>
      <c r="E25" s="2">
        <f t="shared" si="0"/>
        <v>7835.6946283639118</v>
      </c>
      <c r="F25" s="1">
        <f t="shared" si="1"/>
        <v>781.8587752472904</v>
      </c>
    </row>
    <row r="26" spans="1:6" x14ac:dyDescent="0.2">
      <c r="A26" t="s">
        <v>24</v>
      </c>
      <c r="B26" s="2">
        <v>2021</v>
      </c>
      <c r="C26" s="2">
        <v>1</v>
      </c>
      <c r="D26" s="2">
        <v>221588.89605332626</v>
      </c>
      <c r="E26" s="2">
        <f t="shared" si="0"/>
        <v>-5968.7475498430431</v>
      </c>
      <c r="F26" s="1">
        <f t="shared" si="1"/>
        <v>3784.56667055449</v>
      </c>
    </row>
    <row r="27" spans="1:6" x14ac:dyDescent="0.2">
      <c r="A27" t="s">
        <v>25</v>
      </c>
      <c r="B27" s="2">
        <v>2021</v>
      </c>
      <c r="C27" s="2">
        <v>2</v>
      </c>
      <c r="D27" s="2">
        <v>243869.99272945363</v>
      </c>
      <c r="E27" s="2">
        <f t="shared" si="0"/>
        <v>22281.096676127374</v>
      </c>
      <c r="F27" s="1">
        <f t="shared" si="1"/>
        <v>9583.8777077937502</v>
      </c>
    </row>
    <row r="28" spans="1:6" x14ac:dyDescent="0.2">
      <c r="A28" t="s">
        <v>26</v>
      </c>
      <c r="B28" s="2">
        <v>2021</v>
      </c>
      <c r="C28" s="2">
        <v>3</v>
      </c>
      <c r="D28" s="2">
        <v>236811.4787716422</v>
      </c>
      <c r="E28" s="2">
        <f t="shared" si="0"/>
        <v>-7058.5139578114322</v>
      </c>
      <c r="F28" s="1">
        <f t="shared" si="1"/>
        <v>2939.2266432412816</v>
      </c>
    </row>
    <row r="29" spans="1:6" x14ac:dyDescent="0.2">
      <c r="A29" t="s">
        <v>27</v>
      </c>
      <c r="B29" s="2">
        <v>2021</v>
      </c>
      <c r="C29" s="2">
        <v>4</v>
      </c>
      <c r="D29" s="2">
        <v>245892.74311405534</v>
      </c>
      <c r="E29" s="2">
        <f t="shared" si="0"/>
        <v>9081.2643424131384</v>
      </c>
      <c r="F29" s="1">
        <f t="shared" si="1"/>
        <v>2027.428489296517</v>
      </c>
    </row>
    <row r="30" spans="1:6" x14ac:dyDescent="0.2">
      <c r="A30" t="s">
        <v>28</v>
      </c>
      <c r="B30" s="2">
        <v>2022</v>
      </c>
      <c r="C30" s="2">
        <v>1</v>
      </c>
      <c r="D30" s="2">
        <v>238880.85999647703</v>
      </c>
      <c r="E30" s="2">
        <f t="shared" si="0"/>
        <v>-7011.8831175783125</v>
      </c>
      <c r="F30" s="1">
        <f t="shared" si="1"/>
        <v>2741.4311028192205</v>
      </c>
    </row>
    <row r="31" spans="1:6" x14ac:dyDescent="0.2">
      <c r="A31" t="s">
        <v>29</v>
      </c>
      <c r="B31" s="2">
        <v>2022</v>
      </c>
      <c r="C31" s="2">
        <v>2</v>
      </c>
      <c r="D31" s="2">
        <v>258793.08551062905</v>
      </c>
      <c r="E31" s="2">
        <f t="shared" si="0"/>
        <v>19912.225514152029</v>
      </c>
      <c r="F31" s="1">
        <f t="shared" si="1"/>
        <v>7215.0065458184054</v>
      </c>
    </row>
    <row r="32" spans="1:6" x14ac:dyDescent="0.2">
      <c r="A32" t="s">
        <v>30</v>
      </c>
      <c r="B32" s="2">
        <v>2022</v>
      </c>
      <c r="C32" s="2">
        <v>3</v>
      </c>
      <c r="D32" s="2">
        <v>246966.96590861265</v>
      </c>
      <c r="E32" s="2">
        <f t="shared" si="0"/>
        <v>-11826.119602016406</v>
      </c>
      <c r="F32" s="1">
        <f t="shared" si="1"/>
        <v>-1828.3790009636923</v>
      </c>
    </row>
    <row r="33" spans="1:6" x14ac:dyDescent="0.2">
      <c r="A33" t="s">
        <v>31</v>
      </c>
      <c r="B33" s="2">
        <v>2022</v>
      </c>
      <c r="C33" s="2">
        <v>4</v>
      </c>
      <c r="D33" s="2">
        <v>257372.74193869813</v>
      </c>
      <c r="E33" s="2">
        <f t="shared" si="0"/>
        <v>10405.776030085486</v>
      </c>
      <c r="F33" s="1">
        <f t="shared" si="1"/>
        <v>3351.9401769688648</v>
      </c>
    </row>
    <row r="34" spans="1:6" x14ac:dyDescent="0.2">
      <c r="A34" t="s">
        <v>32</v>
      </c>
      <c r="B34" s="2">
        <v>2023</v>
      </c>
      <c r="C34" s="2">
        <v>1</v>
      </c>
      <c r="D34" s="2">
        <v>241941.97271319959</v>
      </c>
      <c r="E34" s="2">
        <f t="shared" si="0"/>
        <v>-15430.769225498545</v>
      </c>
      <c r="F34" s="1">
        <f t="shared" si="1"/>
        <v>-5677.4550051010119</v>
      </c>
    </row>
    <row r="35" spans="1:6" x14ac:dyDescent="0.2">
      <c r="A35" t="s">
        <v>33</v>
      </c>
      <c r="B35" s="2">
        <v>2023</v>
      </c>
      <c r="C35" s="2">
        <v>2</v>
      </c>
      <c r="D35" s="2">
        <v>256816.721184947</v>
      </c>
      <c r="E35" s="2">
        <f t="shared" si="0"/>
        <v>14874.748471747414</v>
      </c>
      <c r="F35" s="1">
        <f t="shared" si="1"/>
        <v>2177.5295034137907</v>
      </c>
    </row>
    <row r="36" spans="1:6" x14ac:dyDescent="0.2">
      <c r="A36" t="s">
        <v>34</v>
      </c>
      <c r="B36" s="2">
        <v>2023</v>
      </c>
      <c r="C36" s="2">
        <v>3</v>
      </c>
      <c r="D36" s="2">
        <v>243336.36946589322</v>
      </c>
      <c r="E36" s="2">
        <f t="shared" si="0"/>
        <v>-13480.351719053782</v>
      </c>
      <c r="F36" s="1">
        <f t="shared" si="1"/>
        <v>-3482.6111180010685</v>
      </c>
    </row>
    <row r="37" spans="1:6" x14ac:dyDescent="0.2">
      <c r="A37" t="s">
        <v>35</v>
      </c>
      <c r="B37" s="2">
        <v>2023</v>
      </c>
      <c r="C37" s="2">
        <v>4</v>
      </c>
      <c r="D37" s="2">
        <v>254321.66525583158</v>
      </c>
      <c r="E37" s="2">
        <f t="shared" si="0"/>
        <v>10985.295789938362</v>
      </c>
      <c r="F37" s="1">
        <f t="shared" si="1"/>
        <v>3931.4599368217405</v>
      </c>
    </row>
    <row r="38" spans="1:6" x14ac:dyDescent="0.2">
      <c r="A38" t="s">
        <v>36</v>
      </c>
      <c r="B38" s="2">
        <v>2024</v>
      </c>
      <c r="C38" s="2">
        <v>1</v>
      </c>
      <c r="D38" s="2">
        <v>241348.13324650342</v>
      </c>
      <c r="E38" s="2">
        <f t="shared" si="0"/>
        <v>-12973.532009328163</v>
      </c>
      <c r="F38" s="1">
        <f t="shared" si="1"/>
        <v>-3220.2177889306295</v>
      </c>
    </row>
    <row r="39" spans="1:6" x14ac:dyDescent="0.2">
      <c r="A39" t="s">
        <v>37</v>
      </c>
      <c r="B39" s="2">
        <v>2024</v>
      </c>
      <c r="C39" s="2">
        <v>2</v>
      </c>
      <c r="D39" s="2">
        <v>259465.25499766442</v>
      </c>
      <c r="E39" s="2">
        <f t="shared" si="0"/>
        <v>18117.121751161001</v>
      </c>
      <c r="F39" s="1">
        <f t="shared" si="1"/>
        <v>5419.9027828273775</v>
      </c>
    </row>
    <row r="40" spans="1:6" x14ac:dyDescent="0.2">
      <c r="A40" t="s">
        <v>38</v>
      </c>
      <c r="B40" s="2">
        <v>2024</v>
      </c>
      <c r="C40" s="2">
        <v>3</v>
      </c>
      <c r="D40" s="2">
        <v>247438.90428115605</v>
      </c>
      <c r="E40" s="2">
        <f t="shared" si="0"/>
        <v>-12026.350716508372</v>
      </c>
      <c r="F40" s="1">
        <f t="shared" si="1"/>
        <v>-2028.6101154556582</v>
      </c>
    </row>
    <row r="41" spans="1:6" x14ac:dyDescent="0.2">
      <c r="A41" t="s">
        <v>39</v>
      </c>
      <c r="B41" s="2">
        <v>2024</v>
      </c>
      <c r="C41" s="2">
        <v>4</v>
      </c>
      <c r="D41" s="2">
        <v>259086.08874296019</v>
      </c>
      <c r="E41" s="2">
        <f t="shared" si="0"/>
        <v>11647.184461804136</v>
      </c>
      <c r="F41" s="1">
        <f t="shared" si="1"/>
        <v>4593.3486086875146</v>
      </c>
    </row>
    <row r="42" spans="1:6" x14ac:dyDescent="0.2">
      <c r="A42" t="s">
        <v>40</v>
      </c>
      <c r="B42" s="2">
        <v>2025</v>
      </c>
      <c r="C42" s="2">
        <v>1</v>
      </c>
      <c r="D42" s="2">
        <v>246781.91123556145</v>
      </c>
      <c r="E42" s="2">
        <f t="shared" si="0"/>
        <v>-12304.177507398737</v>
      </c>
      <c r="F42" s="1">
        <f t="shared" si="1"/>
        <v>-2550.8632870012043</v>
      </c>
    </row>
    <row r="43" spans="1:6" x14ac:dyDescent="0.2">
      <c r="A43" t="s">
        <v>41</v>
      </c>
      <c r="B43" s="2">
        <v>2025</v>
      </c>
      <c r="C43" s="2">
        <v>2</v>
      </c>
      <c r="D43" s="2">
        <v>264039.60579481383</v>
      </c>
      <c r="E43" s="2">
        <f t="shared" si="0"/>
        <v>17257.694559252384</v>
      </c>
      <c r="F43" s="1">
        <f t="shared" si="1"/>
        <v>4560.4755909187606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62212-6F14-F741-A779-47529EAC8A0A}">
  <dimension ref="A1:BD43"/>
  <sheetViews>
    <sheetView topLeftCell="C1" zoomScaleNormal="100" workbookViewId="0">
      <selection activeCell="W36" sqref="W36"/>
    </sheetView>
  </sheetViews>
  <sheetFormatPr baseColWidth="10" defaultRowHeight="16" x14ac:dyDescent="0.2"/>
  <cols>
    <col min="12" max="12" width="13.5" customWidth="1"/>
    <col min="15" max="15" width="13.6640625" bestFit="1" customWidth="1"/>
    <col min="17" max="17" width="12.1640625" bestFit="1" customWidth="1"/>
    <col min="19" max="19" width="12.1640625" bestFit="1" customWidth="1"/>
    <col min="20" max="20" width="11.1640625" bestFit="1" customWidth="1"/>
    <col min="23" max="23" width="11.1640625" bestFit="1" customWidth="1"/>
  </cols>
  <sheetData>
    <row r="1" spans="1:56" x14ac:dyDescent="0.2">
      <c r="A1" s="3" t="s">
        <v>81</v>
      </c>
      <c r="B1" s="3"/>
      <c r="C1" s="3" t="s">
        <v>82</v>
      </c>
      <c r="E1" s="3"/>
      <c r="G1" s="3"/>
      <c r="J1" s="3"/>
      <c r="L1" s="3"/>
      <c r="O1" s="3"/>
    </row>
    <row r="2" spans="1:56" x14ac:dyDescent="0.2">
      <c r="A2">
        <v>150816</v>
      </c>
      <c r="C2">
        <v>1</v>
      </c>
      <c r="E2">
        <f>A2</f>
        <v>150816</v>
      </c>
      <c r="G2">
        <v>1</v>
      </c>
      <c r="H2">
        <f>C2</f>
        <v>1</v>
      </c>
      <c r="J2" s="1">
        <f>$Q$10+$Q$11*H2</f>
        <v>141613.78405315607</v>
      </c>
      <c r="K2" s="1"/>
      <c r="L2" s="1">
        <f>(J2-A2)^2</f>
        <v>84680778.332348824</v>
      </c>
      <c r="M2" s="1"/>
      <c r="O2" cm="1">
        <f t="array" ref="O2:BD3">TRANSPOSE(G2:H43)</f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</row>
    <row r="3" spans="1:56" x14ac:dyDescent="0.2">
      <c r="A3">
        <v>159663</v>
      </c>
      <c r="C3">
        <v>2</v>
      </c>
      <c r="E3">
        <f t="shared" ref="E3:E43" si="0">A3</f>
        <v>159663</v>
      </c>
      <c r="G3">
        <v>1</v>
      </c>
      <c r="H3">
        <f t="shared" ref="H3:H43" si="1">C3</f>
        <v>2</v>
      </c>
      <c r="J3" s="1">
        <f t="shared" ref="J3:J42" si="2">$Q$10+$Q$11*H3</f>
        <v>144309.37646868156</v>
      </c>
      <c r="K3" s="1"/>
      <c r="L3" s="1">
        <f t="shared" ref="L3:L43" si="3">(J3-A3)^2</f>
        <v>235733755.54145545</v>
      </c>
      <c r="M3" s="1"/>
      <c r="O3">
        <v>1</v>
      </c>
      <c r="P3">
        <v>2</v>
      </c>
      <c r="Q3">
        <v>3</v>
      </c>
      <c r="R3">
        <v>4</v>
      </c>
      <c r="S3">
        <v>5</v>
      </c>
      <c r="T3">
        <v>6</v>
      </c>
      <c r="U3">
        <v>7</v>
      </c>
      <c r="V3">
        <v>8</v>
      </c>
      <c r="W3">
        <v>9</v>
      </c>
      <c r="X3">
        <v>10</v>
      </c>
      <c r="Y3">
        <v>11</v>
      </c>
      <c r="Z3">
        <v>12</v>
      </c>
      <c r="AA3">
        <v>13</v>
      </c>
      <c r="AB3">
        <v>14</v>
      </c>
      <c r="AC3">
        <v>15</v>
      </c>
      <c r="AD3">
        <v>16</v>
      </c>
      <c r="AE3">
        <v>17</v>
      </c>
      <c r="AF3">
        <v>18</v>
      </c>
      <c r="AG3">
        <v>19</v>
      </c>
      <c r="AH3">
        <v>20</v>
      </c>
      <c r="AI3">
        <v>21</v>
      </c>
      <c r="AJ3">
        <v>22</v>
      </c>
      <c r="AK3">
        <v>23</v>
      </c>
      <c r="AL3">
        <v>24</v>
      </c>
      <c r="AM3">
        <v>25</v>
      </c>
      <c r="AN3">
        <v>26</v>
      </c>
      <c r="AO3">
        <v>27</v>
      </c>
      <c r="AP3">
        <v>28</v>
      </c>
      <c r="AQ3">
        <v>29</v>
      </c>
      <c r="AR3">
        <v>30</v>
      </c>
      <c r="AS3">
        <v>31</v>
      </c>
      <c r="AT3">
        <v>32</v>
      </c>
      <c r="AU3">
        <v>33</v>
      </c>
      <c r="AV3">
        <v>34</v>
      </c>
      <c r="AW3">
        <v>35</v>
      </c>
      <c r="AX3">
        <v>36</v>
      </c>
      <c r="AY3">
        <v>37</v>
      </c>
      <c r="AZ3">
        <v>38</v>
      </c>
      <c r="BA3">
        <v>39</v>
      </c>
      <c r="BB3">
        <v>40</v>
      </c>
      <c r="BC3">
        <v>41</v>
      </c>
      <c r="BD3">
        <v>42</v>
      </c>
    </row>
    <row r="4" spans="1:56" x14ac:dyDescent="0.2">
      <c r="A4">
        <v>155573</v>
      </c>
      <c r="C4">
        <v>3</v>
      </c>
      <c r="E4">
        <f t="shared" si="0"/>
        <v>155573</v>
      </c>
      <c r="G4">
        <v>1</v>
      </c>
      <c r="H4">
        <f t="shared" si="1"/>
        <v>3</v>
      </c>
      <c r="J4" s="1">
        <f t="shared" si="2"/>
        <v>147004.96888420702</v>
      </c>
      <c r="K4" s="1"/>
      <c r="L4" s="1">
        <f t="shared" si="3"/>
        <v>73411157.201196745</v>
      </c>
      <c r="M4" s="1"/>
    </row>
    <row r="5" spans="1:56" x14ac:dyDescent="0.2">
      <c r="A5">
        <v>161574</v>
      </c>
      <c r="C5">
        <v>4</v>
      </c>
      <c r="E5">
        <f t="shared" si="0"/>
        <v>161574</v>
      </c>
      <c r="G5">
        <v>1</v>
      </c>
      <c r="H5">
        <f t="shared" si="1"/>
        <v>4</v>
      </c>
      <c r="J5" s="1">
        <f t="shared" si="2"/>
        <v>149700.56129973251</v>
      </c>
      <c r="K5" s="1"/>
      <c r="L5" s="1">
        <f t="shared" si="3"/>
        <v>140978546.56900978</v>
      </c>
      <c r="M5" s="1"/>
      <c r="O5" s="3"/>
      <c r="R5" s="3"/>
    </row>
    <row r="6" spans="1:56" x14ac:dyDescent="0.2">
      <c r="A6">
        <v>154922</v>
      </c>
      <c r="C6">
        <v>5</v>
      </c>
      <c r="E6">
        <f t="shared" si="0"/>
        <v>154922</v>
      </c>
      <c r="G6">
        <v>1</v>
      </c>
      <c r="H6">
        <f t="shared" si="1"/>
        <v>5</v>
      </c>
      <c r="J6" s="1">
        <f t="shared" si="2"/>
        <v>152396.153715258</v>
      </c>
      <c r="K6" s="1"/>
      <c r="L6" s="1">
        <f t="shared" si="3"/>
        <v>6379899.4541449714</v>
      </c>
      <c r="M6" s="1"/>
      <c r="O6" cm="1">
        <f t="array" ref="O6:P7">MMULT(_xlfn.ANCHORARRAY(O2),G2:H43)</f>
        <v>42</v>
      </c>
      <c r="P6">
        <v>903</v>
      </c>
      <c r="R6" cm="1">
        <f t="array" ref="R6:S7">MINVERSE(_xlfn.ANCHORARRAY(O6))</f>
        <v>9.8722415795586521E-2</v>
      </c>
      <c r="S6">
        <v>-3.4843205574912892E-3</v>
      </c>
    </row>
    <row r="7" spans="1:56" x14ac:dyDescent="0.2">
      <c r="A7">
        <v>164049</v>
      </c>
      <c r="C7">
        <v>6</v>
      </c>
      <c r="E7">
        <f t="shared" si="0"/>
        <v>164049</v>
      </c>
      <c r="G7">
        <v>1</v>
      </c>
      <c r="H7">
        <f t="shared" si="1"/>
        <v>6</v>
      </c>
      <c r="J7" s="1">
        <f t="shared" si="2"/>
        <v>155091.74613078346</v>
      </c>
      <c r="K7" s="1"/>
      <c r="L7" s="1">
        <f t="shared" si="3"/>
        <v>80232396.87759468</v>
      </c>
      <c r="M7" s="1"/>
      <c r="O7">
        <v>903</v>
      </c>
      <c r="P7">
        <v>25585</v>
      </c>
      <c r="R7">
        <v>-3.4843205574912892E-3</v>
      </c>
      <c r="S7">
        <v>1.6206142127866461E-4</v>
      </c>
    </row>
    <row r="8" spans="1:56" x14ac:dyDescent="0.2">
      <c r="A8">
        <v>159126</v>
      </c>
      <c r="C8">
        <v>7</v>
      </c>
      <c r="E8">
        <f t="shared" si="0"/>
        <v>159126</v>
      </c>
      <c r="G8">
        <v>1</v>
      </c>
      <c r="H8">
        <f t="shared" si="1"/>
        <v>7</v>
      </c>
      <c r="J8" s="1">
        <f t="shared" si="2"/>
        <v>157787.33854630895</v>
      </c>
      <c r="K8" s="1"/>
      <c r="L8" s="1">
        <f t="shared" si="3"/>
        <v>1792014.4875982332</v>
      </c>
      <c r="M8" s="1"/>
    </row>
    <row r="9" spans="1:56" x14ac:dyDescent="0.2">
      <c r="A9">
        <v>166215</v>
      </c>
      <c r="C9">
        <v>8</v>
      </c>
      <c r="E9">
        <f t="shared" si="0"/>
        <v>166215</v>
      </c>
      <c r="G9">
        <v>1</v>
      </c>
      <c r="H9">
        <f t="shared" si="1"/>
        <v>8</v>
      </c>
      <c r="J9" s="1">
        <f t="shared" si="2"/>
        <v>160482.93096183444</v>
      </c>
      <c r="K9" s="1"/>
      <c r="L9" s="1">
        <f t="shared" si="3"/>
        <v>32856615.458296232</v>
      </c>
      <c r="M9" s="1"/>
      <c r="O9" s="3"/>
      <c r="Q9" s="3"/>
    </row>
    <row r="10" spans="1:56" x14ac:dyDescent="0.2">
      <c r="A10">
        <v>161419</v>
      </c>
      <c r="C10">
        <v>9</v>
      </c>
      <c r="E10">
        <f t="shared" si="0"/>
        <v>161419</v>
      </c>
      <c r="G10">
        <v>1</v>
      </c>
      <c r="H10">
        <f t="shared" si="1"/>
        <v>9</v>
      </c>
      <c r="J10" s="1">
        <f t="shared" si="2"/>
        <v>163178.52337735993</v>
      </c>
      <c r="K10" s="1"/>
      <c r="L10" s="1">
        <f t="shared" si="3"/>
        <v>3095922.515476102</v>
      </c>
      <c r="M10" s="1"/>
      <c r="O10" cm="1">
        <f t="array" ref="O10:O11">MMULT(_xlfn.ANCHORARRAY(O2),E2:E43)</f>
        <v>8268684</v>
      </c>
      <c r="Q10" cm="1">
        <f t="array" ref="Q10:Q11">MMULT(_xlfn.ANCHORARRAY(R6),_xlfn.ANCHORARRAY(O10))</f>
        <v>138918.19163763057</v>
      </c>
      <c r="R10" s="14"/>
    </row>
    <row r="11" spans="1:56" x14ac:dyDescent="0.2">
      <c r="A11">
        <v>171164</v>
      </c>
      <c r="C11">
        <v>10</v>
      </c>
      <c r="E11">
        <f t="shared" si="0"/>
        <v>171164</v>
      </c>
      <c r="G11">
        <v>1</v>
      </c>
      <c r="H11">
        <f t="shared" si="1"/>
        <v>10</v>
      </c>
      <c r="J11" s="1">
        <f t="shared" si="2"/>
        <v>165874.11579288542</v>
      </c>
      <c r="K11" s="1"/>
      <c r="L11" s="1">
        <f t="shared" si="3"/>
        <v>27982874.924680222</v>
      </c>
      <c r="M11" s="1"/>
      <c r="O11">
        <v>194409859</v>
      </c>
      <c r="Q11">
        <v>2695.5924155254834</v>
      </c>
    </row>
    <row r="12" spans="1:56" x14ac:dyDescent="0.2">
      <c r="A12">
        <v>166103</v>
      </c>
      <c r="C12">
        <v>11</v>
      </c>
      <c r="E12">
        <f t="shared" si="0"/>
        <v>166103</v>
      </c>
      <c r="G12">
        <v>1</v>
      </c>
      <c r="H12">
        <f t="shared" si="1"/>
        <v>11</v>
      </c>
      <c r="J12" s="1">
        <f t="shared" si="2"/>
        <v>168569.70820841088</v>
      </c>
      <c r="K12" s="1"/>
      <c r="L12" s="1">
        <f t="shared" si="3"/>
        <v>6084649.3854416348</v>
      </c>
      <c r="M12" s="1"/>
    </row>
    <row r="13" spans="1:56" x14ac:dyDescent="0.2">
      <c r="A13">
        <v>173248</v>
      </c>
      <c r="C13">
        <v>12</v>
      </c>
      <c r="E13">
        <f t="shared" si="0"/>
        <v>173248</v>
      </c>
      <c r="G13">
        <v>1</v>
      </c>
      <c r="H13">
        <f t="shared" si="1"/>
        <v>12</v>
      </c>
      <c r="J13" s="1">
        <f t="shared" si="2"/>
        <v>171265.30062393637</v>
      </c>
      <c r="K13" s="1"/>
      <c r="L13" s="1">
        <f t="shared" si="3"/>
        <v>3931096.8158430881</v>
      </c>
      <c r="M13" s="1"/>
    </row>
    <row r="14" spans="1:56" x14ac:dyDescent="0.2">
      <c r="A14">
        <v>170056</v>
      </c>
      <c r="C14">
        <v>13</v>
      </c>
      <c r="E14">
        <f t="shared" si="0"/>
        <v>170056</v>
      </c>
      <c r="G14">
        <v>1</v>
      </c>
      <c r="H14">
        <f t="shared" si="1"/>
        <v>13</v>
      </c>
      <c r="J14" s="1">
        <f t="shared" si="2"/>
        <v>173960.89303946187</v>
      </c>
      <c r="K14" s="1"/>
      <c r="L14" s="1">
        <f t="shared" si="3"/>
        <v>15248189.649637727</v>
      </c>
      <c r="M14" s="1"/>
    </row>
    <row r="15" spans="1:56" x14ac:dyDescent="0.2">
      <c r="A15">
        <v>179008</v>
      </c>
      <c r="C15">
        <v>14</v>
      </c>
      <c r="E15">
        <f t="shared" si="0"/>
        <v>179008</v>
      </c>
      <c r="G15">
        <v>1</v>
      </c>
      <c r="H15">
        <f t="shared" si="1"/>
        <v>14</v>
      </c>
      <c r="J15" s="1">
        <f t="shared" si="2"/>
        <v>176656.48545498733</v>
      </c>
      <c r="K15" s="1"/>
      <c r="L15" s="1">
        <f t="shared" si="3"/>
        <v>5529620.6554061584</v>
      </c>
      <c r="M15" s="1"/>
      <c r="O15" s="3"/>
      <c r="Q15" s="3"/>
      <c r="T15" s="3"/>
    </row>
    <row r="16" spans="1:56" x14ac:dyDescent="0.2">
      <c r="A16">
        <v>173652</v>
      </c>
      <c r="C16">
        <v>15</v>
      </c>
      <c r="E16">
        <f t="shared" si="0"/>
        <v>173652</v>
      </c>
      <c r="G16">
        <v>1</v>
      </c>
      <c r="H16">
        <f t="shared" si="1"/>
        <v>15</v>
      </c>
      <c r="J16" s="1">
        <f t="shared" si="2"/>
        <v>179352.07787051282</v>
      </c>
      <c r="K16" s="1"/>
      <c r="L16" s="1">
        <f t="shared" si="3"/>
        <v>32490887.729909938</v>
      </c>
      <c r="M16" s="1"/>
      <c r="O16" s="1">
        <f>SUM(L2:L43)</f>
        <v>4036435421.2107601</v>
      </c>
      <c r="Q16">
        <f>O16/(COUNT(J2:J43)-2)</f>
        <v>100910885.530269</v>
      </c>
    </row>
    <row r="17" spans="1:25" x14ac:dyDescent="0.2">
      <c r="A17">
        <v>180841</v>
      </c>
      <c r="C17">
        <v>16</v>
      </c>
      <c r="E17">
        <f t="shared" si="0"/>
        <v>180841</v>
      </c>
      <c r="G17">
        <v>1</v>
      </c>
      <c r="H17">
        <f t="shared" si="1"/>
        <v>16</v>
      </c>
      <c r="J17" s="1">
        <f t="shared" si="2"/>
        <v>182047.67028603831</v>
      </c>
      <c r="K17" s="1"/>
      <c r="L17" s="1">
        <f t="shared" si="3"/>
        <v>1456053.1792077729</v>
      </c>
      <c r="M17" s="1"/>
    </row>
    <row r="18" spans="1:25" x14ac:dyDescent="0.2">
      <c r="A18">
        <v>178780</v>
      </c>
      <c r="C18">
        <v>17</v>
      </c>
      <c r="E18">
        <f t="shared" si="0"/>
        <v>178780</v>
      </c>
      <c r="G18">
        <v>1</v>
      </c>
      <c r="H18">
        <f t="shared" si="1"/>
        <v>17</v>
      </c>
      <c r="J18" s="1">
        <f t="shared" si="2"/>
        <v>184743.2627015638</v>
      </c>
      <c r="K18" s="1"/>
      <c r="L18" s="1">
        <f t="shared" si="3"/>
        <v>35560502.047861978</v>
      </c>
      <c r="M18" s="1"/>
      <c r="O18" s="3"/>
    </row>
    <row r="19" spans="1:25" x14ac:dyDescent="0.2">
      <c r="A19">
        <v>188735</v>
      </c>
      <c r="C19">
        <v>18</v>
      </c>
      <c r="E19">
        <f t="shared" si="0"/>
        <v>188735</v>
      </c>
      <c r="G19">
        <v>1</v>
      </c>
      <c r="H19">
        <f t="shared" si="1"/>
        <v>18</v>
      </c>
      <c r="J19" s="1">
        <f t="shared" si="2"/>
        <v>187438.85511708929</v>
      </c>
      <c r="K19" s="1"/>
      <c r="L19" s="1">
        <f t="shared" si="3"/>
        <v>1679991.5574956189</v>
      </c>
      <c r="M19" s="1"/>
    </row>
    <row r="20" spans="1:25" x14ac:dyDescent="0.2">
      <c r="A20">
        <v>182497</v>
      </c>
      <c r="C20">
        <v>19</v>
      </c>
      <c r="E20">
        <f t="shared" si="0"/>
        <v>182497</v>
      </c>
      <c r="G20">
        <v>1</v>
      </c>
      <c r="H20">
        <f t="shared" si="1"/>
        <v>19</v>
      </c>
      <c r="J20" s="1">
        <f t="shared" si="2"/>
        <v>190134.44753261475</v>
      </c>
      <c r="K20" s="1"/>
      <c r="L20" s="1">
        <f t="shared" si="3"/>
        <v>58330604.813443154</v>
      </c>
      <c r="M20" s="1"/>
    </row>
    <row r="21" spans="1:25" x14ac:dyDescent="0.2">
      <c r="A21">
        <v>189496</v>
      </c>
      <c r="C21">
        <v>20</v>
      </c>
      <c r="E21">
        <f t="shared" si="0"/>
        <v>189496</v>
      </c>
      <c r="G21">
        <v>1</v>
      </c>
      <c r="H21">
        <f t="shared" si="1"/>
        <v>20</v>
      </c>
      <c r="J21" s="1">
        <f t="shared" si="2"/>
        <v>192830.03994814024</v>
      </c>
      <c r="K21" s="1"/>
      <c r="L21" s="1">
        <f t="shared" si="3"/>
        <v>11115822.375794986</v>
      </c>
      <c r="M21" s="1"/>
      <c r="O21" s="13">
        <f>$Q$16*R6</f>
        <v>9962166.3996200506</v>
      </c>
      <c r="P21" s="13">
        <f>$Q$16*S6</f>
        <v>-351605.87292776653</v>
      </c>
      <c r="Q21" s="3"/>
      <c r="R21" s="3"/>
      <c r="S21" s="3"/>
    </row>
    <row r="22" spans="1:25" x14ac:dyDescent="0.2">
      <c r="A22">
        <v>182537</v>
      </c>
      <c r="C22">
        <v>21</v>
      </c>
      <c r="E22">
        <f t="shared" si="0"/>
        <v>182537</v>
      </c>
      <c r="G22">
        <v>1</v>
      </c>
      <c r="H22">
        <f t="shared" si="1"/>
        <v>21</v>
      </c>
      <c r="J22" s="1">
        <f t="shared" si="2"/>
        <v>195525.63236366573</v>
      </c>
      <c r="K22" s="1"/>
      <c r="L22" s="1">
        <f t="shared" si="3"/>
        <v>168704570.67846486</v>
      </c>
      <c r="M22" s="1"/>
      <c r="O22" s="13">
        <f>$Q$16*R7</f>
        <v>-351605.87292776653</v>
      </c>
      <c r="P22" s="13">
        <f>$Q$16*S7</f>
        <v>16353.761531524025</v>
      </c>
    </row>
    <row r="23" spans="1:25" x14ac:dyDescent="0.2">
      <c r="A23">
        <v>175396</v>
      </c>
      <c r="C23">
        <v>22</v>
      </c>
      <c r="E23">
        <f t="shared" si="0"/>
        <v>175396</v>
      </c>
      <c r="G23">
        <v>1</v>
      </c>
      <c r="H23">
        <f t="shared" si="1"/>
        <v>22</v>
      </c>
      <c r="J23" s="1">
        <f t="shared" si="2"/>
        <v>198221.22477919119</v>
      </c>
      <c r="K23" s="1"/>
      <c r="L23" s="1">
        <f t="shared" si="3"/>
        <v>520990886.2206037</v>
      </c>
      <c r="M23" s="1"/>
    </row>
    <row r="24" spans="1:25" x14ac:dyDescent="0.2">
      <c r="A24">
        <v>179815</v>
      </c>
      <c r="C24">
        <v>23</v>
      </c>
      <c r="E24">
        <f t="shared" si="0"/>
        <v>179815</v>
      </c>
      <c r="G24">
        <v>1</v>
      </c>
      <c r="H24">
        <f t="shared" si="1"/>
        <v>23</v>
      </c>
      <c r="J24" s="1">
        <f t="shared" si="2"/>
        <v>200916.81719471668</v>
      </c>
      <c r="K24" s="1"/>
      <c r="L24" s="1">
        <f t="shared" si="3"/>
        <v>445286688.91924071</v>
      </c>
      <c r="M24" s="1"/>
      <c r="O24" s="3"/>
    </row>
    <row r="25" spans="1:25" ht="17" thickBot="1" x14ac:dyDescent="0.25">
      <c r="A25">
        <v>188401</v>
      </c>
      <c r="C25">
        <v>24</v>
      </c>
      <c r="E25">
        <f t="shared" si="0"/>
        <v>188401</v>
      </c>
      <c r="G25">
        <v>1</v>
      </c>
      <c r="H25">
        <f t="shared" si="1"/>
        <v>24</v>
      </c>
      <c r="J25" s="1">
        <f t="shared" si="2"/>
        <v>203612.40961024218</v>
      </c>
      <c r="K25" s="1"/>
      <c r="L25" s="1">
        <f t="shared" si="3"/>
        <v>231386982.33056802</v>
      </c>
      <c r="M25" s="1"/>
    </row>
    <row r="26" spans="1:25" x14ac:dyDescent="0.2">
      <c r="A26">
        <v>183940</v>
      </c>
      <c r="C26">
        <v>25</v>
      </c>
      <c r="E26">
        <f t="shared" si="0"/>
        <v>183940</v>
      </c>
      <c r="G26">
        <v>1</v>
      </c>
      <c r="H26">
        <f t="shared" si="1"/>
        <v>25</v>
      </c>
      <c r="J26" s="1">
        <f t="shared" si="2"/>
        <v>206308.00202576767</v>
      </c>
      <c r="K26" s="1"/>
      <c r="L26" s="1">
        <f t="shared" si="3"/>
        <v>500327514.62474644</v>
      </c>
      <c r="M26" s="1"/>
      <c r="S26" s="8"/>
      <c r="T26" s="9"/>
      <c r="U26" s="9"/>
      <c r="V26" s="9"/>
      <c r="W26" s="10"/>
      <c r="Y26" s="13" t="s">
        <v>85</v>
      </c>
    </row>
    <row r="27" spans="1:25" x14ac:dyDescent="0.2">
      <c r="A27">
        <v>201433</v>
      </c>
      <c r="C27">
        <v>26</v>
      </c>
      <c r="E27">
        <f t="shared" si="0"/>
        <v>201433</v>
      </c>
      <c r="G27">
        <v>1</v>
      </c>
      <c r="H27">
        <f t="shared" si="1"/>
        <v>26</v>
      </c>
      <c r="J27" s="1">
        <f t="shared" si="2"/>
        <v>209003.59444129316</v>
      </c>
      <c r="K27" s="1"/>
      <c r="L27" s="1">
        <f t="shared" si="3"/>
        <v>57313900.194538847</v>
      </c>
      <c r="M27" s="1"/>
      <c r="O27">
        <f>SQRT(O21)</f>
        <v>3156.2899739441004</v>
      </c>
      <c r="P27" t="e">
        <f>SQRT(P21)</f>
        <v>#NUM!</v>
      </c>
      <c r="S27" s="6">
        <v>0</v>
      </c>
      <c r="T27">
        <f>Q10</f>
        <v>138918.19163763057</v>
      </c>
      <c r="U27">
        <f>O27</f>
        <v>3156.2899739441004</v>
      </c>
      <c r="V27">
        <f>T27/U27</f>
        <v>44.013127052467354</v>
      </c>
      <c r="W27" s="11">
        <f>_xlfn.T.DIST.2T(V27,40)</f>
        <v>1.6703398407714443E-35</v>
      </c>
      <c r="Y27" s="16" t="s">
        <v>84</v>
      </c>
    </row>
    <row r="28" spans="1:25" ht="17" thickBot="1" x14ac:dyDescent="0.25">
      <c r="A28">
        <v>198942</v>
      </c>
      <c r="C28">
        <v>27</v>
      </c>
      <c r="E28">
        <f t="shared" si="0"/>
        <v>198942</v>
      </c>
      <c r="G28">
        <v>1</v>
      </c>
      <c r="H28">
        <f t="shared" si="1"/>
        <v>27</v>
      </c>
      <c r="J28" s="1">
        <f t="shared" si="2"/>
        <v>211699.18685681862</v>
      </c>
      <c r="K28" s="1"/>
      <c r="L28" s="1">
        <f t="shared" si="3"/>
        <v>162745816.49978569</v>
      </c>
      <c r="M28" s="1"/>
      <c r="O28" t="e">
        <f>SQRT(O22)</f>
        <v>#NUM!</v>
      </c>
      <c r="P28">
        <f>SQRT(P22)</f>
        <v>127.88182643176482</v>
      </c>
      <c r="S28" s="7">
        <v>1</v>
      </c>
      <c r="T28" s="5">
        <f>Q11</f>
        <v>2695.5924155254834</v>
      </c>
      <c r="U28" s="5">
        <f>P28</f>
        <v>127.88182643176482</v>
      </c>
      <c r="V28" s="5">
        <f>T28/U28</f>
        <v>21.078776326077868</v>
      </c>
      <c r="W28" s="12">
        <f>_xlfn.T.DIST.2T(V28,40)</f>
        <v>2.8486104637818865E-23</v>
      </c>
      <c r="Y28" s="16" t="s">
        <v>84</v>
      </c>
    </row>
    <row r="29" spans="1:25" x14ac:dyDescent="0.2">
      <c r="A29">
        <v>207415</v>
      </c>
      <c r="C29">
        <v>28</v>
      </c>
      <c r="E29">
        <f t="shared" si="0"/>
        <v>207415</v>
      </c>
      <c r="G29">
        <v>1</v>
      </c>
      <c r="H29">
        <f t="shared" si="1"/>
        <v>28</v>
      </c>
      <c r="J29" s="1">
        <f t="shared" si="2"/>
        <v>214394.77927234411</v>
      </c>
      <c r="K29" s="1"/>
      <c r="L29" s="1">
        <f t="shared" si="3"/>
        <v>48717318.690644458</v>
      </c>
      <c r="M29" s="1"/>
    </row>
    <row r="30" spans="1:25" x14ac:dyDescent="0.2">
      <c r="A30">
        <v>209214</v>
      </c>
      <c r="C30">
        <v>29</v>
      </c>
      <c r="E30">
        <f t="shared" si="0"/>
        <v>209214</v>
      </c>
      <c r="G30">
        <v>1</v>
      </c>
      <c r="H30">
        <f t="shared" si="1"/>
        <v>29</v>
      </c>
      <c r="J30" s="1">
        <f t="shared" si="2"/>
        <v>217090.3716878696</v>
      </c>
      <c r="K30" s="1"/>
      <c r="L30" s="1">
        <f t="shared" si="3"/>
        <v>62037230.965473801</v>
      </c>
      <c r="M30" s="1"/>
    </row>
    <row r="31" spans="1:25" x14ac:dyDescent="0.2">
      <c r="A31">
        <v>224204</v>
      </c>
      <c r="C31">
        <v>30</v>
      </c>
      <c r="E31">
        <f t="shared" si="0"/>
        <v>224204</v>
      </c>
      <c r="G31">
        <v>1</v>
      </c>
      <c r="H31">
        <f t="shared" si="1"/>
        <v>30</v>
      </c>
      <c r="J31" s="1">
        <f t="shared" si="2"/>
        <v>219785.96410339506</v>
      </c>
      <c r="K31" s="1"/>
      <c r="L31" s="1">
        <f t="shared" si="3"/>
        <v>19519041.183689807</v>
      </c>
      <c r="M31" s="1"/>
      <c r="U31" t="s">
        <v>83</v>
      </c>
    </row>
    <row r="32" spans="1:25" x14ac:dyDescent="0.2">
      <c r="A32">
        <v>221953</v>
      </c>
      <c r="C32">
        <v>31</v>
      </c>
      <c r="E32">
        <f t="shared" si="0"/>
        <v>221953</v>
      </c>
      <c r="G32">
        <v>1</v>
      </c>
      <c r="H32">
        <f t="shared" si="1"/>
        <v>31</v>
      </c>
      <c r="J32" s="1">
        <f t="shared" si="2"/>
        <v>222481.55651892055</v>
      </c>
      <c r="K32" s="1"/>
      <c r="L32" s="1">
        <f t="shared" si="3"/>
        <v>279371.99369341158</v>
      </c>
      <c r="M32" s="1"/>
    </row>
    <row r="33" spans="1:23" x14ac:dyDescent="0.2">
      <c r="A33">
        <v>232803</v>
      </c>
      <c r="C33">
        <v>32</v>
      </c>
      <c r="E33">
        <f t="shared" si="0"/>
        <v>232803</v>
      </c>
      <c r="G33">
        <v>1</v>
      </c>
      <c r="H33">
        <f t="shared" si="1"/>
        <v>32</v>
      </c>
      <c r="J33" s="1">
        <f t="shared" si="2"/>
        <v>225177.14893444604</v>
      </c>
      <c r="K33" s="1"/>
      <c r="L33" s="1">
        <f t="shared" si="3"/>
        <v>58153604.47401043</v>
      </c>
      <c r="M33" s="1"/>
    </row>
    <row r="34" spans="1:23" x14ac:dyDescent="0.2">
      <c r="A34">
        <v>228660</v>
      </c>
      <c r="C34">
        <v>33</v>
      </c>
      <c r="E34">
        <f t="shared" si="0"/>
        <v>228660</v>
      </c>
      <c r="G34">
        <v>1</v>
      </c>
      <c r="H34">
        <f t="shared" si="1"/>
        <v>33</v>
      </c>
      <c r="J34" s="1">
        <f t="shared" si="2"/>
        <v>227872.74134997153</v>
      </c>
      <c r="K34" s="1"/>
      <c r="L34" s="1">
        <f t="shared" si="3"/>
        <v>619776.18204464414</v>
      </c>
      <c r="M34" s="1"/>
      <c r="U34" t="s">
        <v>99</v>
      </c>
    </row>
    <row r="35" spans="1:23" x14ac:dyDescent="0.2">
      <c r="A35">
        <v>239816</v>
      </c>
      <c r="C35">
        <v>34</v>
      </c>
      <c r="E35">
        <f t="shared" si="0"/>
        <v>239816</v>
      </c>
      <c r="G35">
        <v>1</v>
      </c>
      <c r="H35">
        <f t="shared" si="1"/>
        <v>34</v>
      </c>
      <c r="J35" s="1">
        <f t="shared" si="2"/>
        <v>230568.33376549702</v>
      </c>
      <c r="K35" s="1"/>
      <c r="L35" s="1">
        <f t="shared" si="3"/>
        <v>85519330.784766451</v>
      </c>
      <c r="M35" s="1"/>
      <c r="W35" s="1">
        <f>T28</f>
        <v>2695.5924155254834</v>
      </c>
    </row>
    <row r="36" spans="1:23" x14ac:dyDescent="0.2">
      <c r="A36">
        <v>233082</v>
      </c>
      <c r="C36">
        <v>35</v>
      </c>
      <c r="E36">
        <f t="shared" si="0"/>
        <v>233082</v>
      </c>
      <c r="G36">
        <v>1</v>
      </c>
      <c r="H36">
        <f t="shared" si="1"/>
        <v>35</v>
      </c>
      <c r="J36" s="1">
        <f t="shared" si="2"/>
        <v>233263.92618102249</v>
      </c>
      <c r="K36" s="1"/>
      <c r="L36" s="1">
        <f t="shared" si="3"/>
        <v>33097.135341426074</v>
      </c>
      <c r="M36" s="1"/>
      <c r="W36" t="s">
        <v>87</v>
      </c>
    </row>
    <row r="37" spans="1:23" x14ac:dyDescent="0.2">
      <c r="A37">
        <v>243243</v>
      </c>
      <c r="C37">
        <v>36</v>
      </c>
      <c r="E37">
        <f t="shared" si="0"/>
        <v>243243</v>
      </c>
      <c r="G37">
        <v>1</v>
      </c>
      <c r="H37">
        <f t="shared" si="1"/>
        <v>36</v>
      </c>
      <c r="J37" s="1">
        <f t="shared" si="2"/>
        <v>235959.51859654798</v>
      </c>
      <c r="K37" s="1"/>
      <c r="L37" s="1">
        <f t="shared" si="3"/>
        <v>53049101.354431465</v>
      </c>
      <c r="M37" s="1"/>
    </row>
    <row r="38" spans="1:23" x14ac:dyDescent="0.2">
      <c r="A38">
        <v>241862</v>
      </c>
      <c r="C38">
        <v>37</v>
      </c>
      <c r="E38">
        <f t="shared" si="0"/>
        <v>241862</v>
      </c>
      <c r="G38">
        <v>1</v>
      </c>
      <c r="H38">
        <f t="shared" si="1"/>
        <v>37</v>
      </c>
      <c r="J38" s="1">
        <f t="shared" si="2"/>
        <v>238655.11101207347</v>
      </c>
      <c r="K38" s="1"/>
      <c r="L38" s="1">
        <f t="shared" si="3"/>
        <v>10284136.980884466</v>
      </c>
      <c r="M38" s="1"/>
      <c r="U38" t="s">
        <v>86</v>
      </c>
    </row>
    <row r="39" spans="1:23" x14ac:dyDescent="0.2">
      <c r="A39">
        <v>255757</v>
      </c>
      <c r="C39">
        <v>38</v>
      </c>
      <c r="E39">
        <f t="shared" si="0"/>
        <v>255757</v>
      </c>
      <c r="G39">
        <v>1</v>
      </c>
      <c r="H39">
        <f t="shared" si="1"/>
        <v>38</v>
      </c>
      <c r="J39" s="1">
        <f t="shared" si="2"/>
        <v>241350.70342759893</v>
      </c>
      <c r="K39" s="1"/>
      <c r="L39" s="1">
        <f t="shared" si="3"/>
        <v>207541380.93197486</v>
      </c>
      <c r="M39" s="1"/>
      <c r="W39" s="15">
        <f>T28/AVERAGE(J2:J43)</f>
        <v>1.3692007271298599E-2</v>
      </c>
    </row>
    <row r="40" spans="1:23" x14ac:dyDescent="0.2">
      <c r="A40">
        <v>248625</v>
      </c>
      <c r="C40">
        <v>39</v>
      </c>
      <c r="E40">
        <f t="shared" si="0"/>
        <v>248625</v>
      </c>
      <c r="G40">
        <v>1</v>
      </c>
      <c r="H40">
        <f t="shared" si="1"/>
        <v>39</v>
      </c>
      <c r="J40" s="1">
        <f t="shared" si="2"/>
        <v>244046.29584312442</v>
      </c>
      <c r="K40" s="1"/>
      <c r="L40" s="1">
        <f t="shared" si="3"/>
        <v>20964531.756189726</v>
      </c>
      <c r="M40" s="1"/>
      <c r="W40" t="s">
        <v>88</v>
      </c>
    </row>
    <row r="41" spans="1:23" x14ac:dyDescent="0.2">
      <c r="A41">
        <v>261094</v>
      </c>
      <c r="C41">
        <v>40</v>
      </c>
      <c r="E41">
        <f t="shared" si="0"/>
        <v>261094</v>
      </c>
      <c r="G41">
        <v>1</v>
      </c>
      <c r="H41">
        <f t="shared" si="1"/>
        <v>40</v>
      </c>
      <c r="J41" s="1">
        <f t="shared" si="2"/>
        <v>246741.88825864991</v>
      </c>
      <c r="K41" s="1"/>
      <c r="L41" s="1">
        <f t="shared" si="3"/>
        <v>205983111.43619913</v>
      </c>
      <c r="M41" s="1"/>
    </row>
    <row r="42" spans="1:23" x14ac:dyDescent="0.2">
      <c r="A42">
        <v>254235</v>
      </c>
      <c r="C42">
        <v>41</v>
      </c>
      <c r="E42">
        <f t="shared" si="0"/>
        <v>254235</v>
      </c>
      <c r="G42">
        <v>1</v>
      </c>
      <c r="H42">
        <f t="shared" si="1"/>
        <v>41</v>
      </c>
      <c r="J42" s="1">
        <f t="shared" si="2"/>
        <v>249437.4806741754</v>
      </c>
      <c r="K42" s="1"/>
      <c r="L42" s="1">
        <f t="shared" si="3"/>
        <v>23016191.681660526</v>
      </c>
      <c r="M42" s="1"/>
      <c r="U42" t="s">
        <v>91</v>
      </c>
    </row>
    <row r="43" spans="1:23" x14ac:dyDescent="0.2">
      <c r="A43">
        <v>269320</v>
      </c>
      <c r="C43">
        <v>42</v>
      </c>
      <c r="E43">
        <f t="shared" si="0"/>
        <v>269320</v>
      </c>
      <c r="G43">
        <v>1</v>
      </c>
      <c r="H43">
        <f t="shared" si="1"/>
        <v>42</v>
      </c>
      <c r="J43" s="1">
        <f>$Q$10+$Q$11*H43</f>
        <v>252133.07308970089</v>
      </c>
      <c r="K43" s="1"/>
      <c r="L43" s="1">
        <f t="shared" si="3"/>
        <v>295390456.61996371</v>
      </c>
      <c r="W43">
        <f>_xlfn.VAR.S(J2:J43)</f>
        <v>1093565879.8311083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BC1BB-3443-D34C-9F6B-701CA4201613}">
  <dimension ref="A1:I18"/>
  <sheetViews>
    <sheetView workbookViewId="0">
      <selection activeCell="N35" sqref="N35"/>
    </sheetView>
  </sheetViews>
  <sheetFormatPr baseColWidth="10" defaultRowHeight="16" x14ac:dyDescent="0.2"/>
  <sheetData>
    <row r="1" spans="1:9" x14ac:dyDescent="0.2">
      <c r="A1" t="s">
        <v>56</v>
      </c>
    </row>
    <row r="2" spans="1:9" ht="17" thickBot="1" x14ac:dyDescent="0.25"/>
    <row r="3" spans="1:9" x14ac:dyDescent="0.2">
      <c r="A3" s="18" t="s">
        <v>57</v>
      </c>
      <c r="B3" s="18"/>
    </row>
    <row r="4" spans="1:9" x14ac:dyDescent="0.2">
      <c r="A4" t="s">
        <v>58</v>
      </c>
      <c r="B4">
        <v>0.95781474830240731</v>
      </c>
    </row>
    <row r="5" spans="1:9" x14ac:dyDescent="0.2">
      <c r="A5" t="s">
        <v>59</v>
      </c>
      <c r="B5">
        <v>0.91740909206560395</v>
      </c>
    </row>
    <row r="6" spans="1:9" x14ac:dyDescent="0.2">
      <c r="A6" t="s">
        <v>60</v>
      </c>
      <c r="B6">
        <v>0.91534431936724414</v>
      </c>
    </row>
    <row r="7" spans="1:9" x14ac:dyDescent="0.2">
      <c r="A7" t="s">
        <v>61</v>
      </c>
      <c r="B7">
        <v>10045.441032143333</v>
      </c>
    </row>
    <row r="8" spans="1:9" ht="17" thickBot="1" x14ac:dyDescent="0.25">
      <c r="A8" s="5" t="s">
        <v>62</v>
      </c>
      <c r="B8" s="5">
        <v>42</v>
      </c>
    </row>
    <row r="10" spans="1:9" ht="17" thickBot="1" x14ac:dyDescent="0.25">
      <c r="A10" t="s">
        <v>63</v>
      </c>
    </row>
    <row r="11" spans="1:9" x14ac:dyDescent="0.2">
      <c r="A11" s="17"/>
      <c r="B11" s="17" t="s">
        <v>68</v>
      </c>
      <c r="C11" s="17" t="s">
        <v>69</v>
      </c>
      <c r="D11" s="17" t="s">
        <v>70</v>
      </c>
      <c r="E11" s="17" t="s">
        <v>71</v>
      </c>
      <c r="F11" s="17" t="s">
        <v>72</v>
      </c>
    </row>
    <row r="12" spans="1:9" x14ac:dyDescent="0.2">
      <c r="A12" t="s">
        <v>64</v>
      </c>
      <c r="B12">
        <v>1</v>
      </c>
      <c r="C12">
        <v>44836201073.074959</v>
      </c>
      <c r="D12">
        <v>44836201073.074959</v>
      </c>
      <c r="E12">
        <v>444.31481140482146</v>
      </c>
      <c r="F12">
        <v>2.8486104637817849E-23</v>
      </c>
    </row>
    <row r="13" spans="1:9" x14ac:dyDescent="0.2">
      <c r="A13" t="s">
        <v>65</v>
      </c>
      <c r="B13">
        <v>40</v>
      </c>
      <c r="C13">
        <v>4036435421.2107563</v>
      </c>
      <c r="D13">
        <v>100910885.53026891</v>
      </c>
    </row>
    <row r="14" spans="1:9" ht="17" thickBot="1" x14ac:dyDescent="0.25">
      <c r="A14" s="5" t="s">
        <v>66</v>
      </c>
      <c r="B14" s="5">
        <v>41</v>
      </c>
      <c r="C14" s="5">
        <v>48872636494.285713</v>
      </c>
      <c r="D14" s="5"/>
      <c r="E14" s="5"/>
      <c r="F14" s="5"/>
    </row>
    <row r="15" spans="1:9" ht="17" thickBot="1" x14ac:dyDescent="0.25"/>
    <row r="16" spans="1:9" x14ac:dyDescent="0.2">
      <c r="A16" s="17"/>
      <c r="B16" s="17" t="s">
        <v>73</v>
      </c>
      <c r="C16" s="17" t="s">
        <v>61</v>
      </c>
      <c r="D16" s="17" t="s">
        <v>74</v>
      </c>
      <c r="E16" s="17" t="s">
        <v>75</v>
      </c>
      <c r="F16" s="17" t="s">
        <v>76</v>
      </c>
      <c r="G16" s="17" t="s">
        <v>77</v>
      </c>
      <c r="H16" s="17" t="s">
        <v>78</v>
      </c>
      <c r="I16" s="17" t="s">
        <v>79</v>
      </c>
    </row>
    <row r="17" spans="1:9" x14ac:dyDescent="0.2">
      <c r="A17" t="s">
        <v>67</v>
      </c>
      <c r="B17">
        <v>138918.19163763063</v>
      </c>
      <c r="C17">
        <v>3156.2899739440991</v>
      </c>
      <c r="D17">
        <v>44.013127052467397</v>
      </c>
      <c r="E17">
        <v>1.6703398407713732E-35</v>
      </c>
      <c r="F17">
        <v>132539.09164662179</v>
      </c>
      <c r="G17">
        <v>145297.29162863948</v>
      </c>
      <c r="H17">
        <v>132539.09164662179</v>
      </c>
      <c r="I17">
        <v>145297.29162863948</v>
      </c>
    </row>
    <row r="18" spans="1:9" ht="17" thickBot="1" x14ac:dyDescent="0.25">
      <c r="A18" s="5" t="s">
        <v>80</v>
      </c>
      <c r="B18" s="5">
        <v>2695.5924155254852</v>
      </c>
      <c r="C18" s="5">
        <v>127.88182643176475</v>
      </c>
      <c r="D18" s="5">
        <v>21.078776326077893</v>
      </c>
      <c r="E18" s="5">
        <v>2.8486104637817649E-23</v>
      </c>
      <c r="F18" s="5">
        <v>2437.133603256827</v>
      </c>
      <c r="G18" s="5">
        <v>2954.0512277941434</v>
      </c>
      <c r="H18" s="5">
        <v>2437.133603256827</v>
      </c>
      <c r="I18" s="5">
        <v>2954.0512277941434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BD39A-7002-734E-B056-C362DE98DFD3}">
  <dimension ref="A1:BF43"/>
  <sheetViews>
    <sheetView zoomScaleNormal="100" workbookViewId="0">
      <selection activeCell="U13" sqref="U13"/>
    </sheetView>
  </sheetViews>
  <sheetFormatPr baseColWidth="10" defaultRowHeight="16" x14ac:dyDescent="0.2"/>
  <cols>
    <col min="14" max="14" width="13.5" customWidth="1"/>
    <col min="17" max="17" width="13.6640625" bestFit="1" customWidth="1"/>
    <col min="19" max="19" width="12.1640625" bestFit="1" customWidth="1"/>
    <col min="21" max="21" width="12.1640625" bestFit="1" customWidth="1"/>
    <col min="22" max="22" width="11.1640625" bestFit="1" customWidth="1"/>
  </cols>
  <sheetData>
    <row r="1" spans="1:58" x14ac:dyDescent="0.2">
      <c r="A1" s="3" t="s">
        <v>81</v>
      </c>
      <c r="B1" s="3"/>
      <c r="C1" s="3" t="s">
        <v>82</v>
      </c>
      <c r="E1" s="3"/>
      <c r="G1" s="3"/>
      <c r="J1" s="3"/>
      <c r="K1" s="3"/>
      <c r="L1" s="3"/>
      <c r="N1" s="3"/>
      <c r="Q1" s="3"/>
    </row>
    <row r="2" spans="1:58" x14ac:dyDescent="0.2">
      <c r="A2">
        <v>150816</v>
      </c>
      <c r="C2">
        <v>1</v>
      </c>
      <c r="E2">
        <f>LN(A2)</f>
        <v>11.923815829723457</v>
      </c>
      <c r="G2">
        <v>1</v>
      </c>
      <c r="H2">
        <f>LN(C2)</f>
        <v>0</v>
      </c>
      <c r="J2" s="1">
        <f>EXP($V$27)*C2^$V$28</f>
        <v>123283.41958627796</v>
      </c>
      <c r="K2" s="1"/>
      <c r="L2" s="1">
        <f>LN(J2)</f>
        <v>11.722241207979494</v>
      </c>
      <c r="M2" s="1"/>
      <c r="N2" s="1">
        <f>(L2-E2)^2</f>
        <v>4.0632328131222077E-2</v>
      </c>
      <c r="O2" s="1"/>
      <c r="Q2" cm="1">
        <f t="array" ref="Q2:BF3">TRANSPOSE(G2:H43)</f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</row>
    <row r="3" spans="1:58" x14ac:dyDescent="0.2">
      <c r="A3">
        <v>159663</v>
      </c>
      <c r="C3">
        <v>2</v>
      </c>
      <c r="E3">
        <f t="shared" ref="E3:E43" si="0">LN(A3)</f>
        <v>11.98082062295186</v>
      </c>
      <c r="G3">
        <v>1</v>
      </c>
      <c r="H3">
        <f t="shared" ref="H3:H43" si="1">LN(C3)</f>
        <v>0.69314718055994529</v>
      </c>
      <c r="J3" s="1">
        <f t="shared" ref="J3:J43" si="2">EXP($V$27)*C3^$V$28</f>
        <v>137914.27241632305</v>
      </c>
      <c r="K3" s="1"/>
      <c r="L3" s="1">
        <f t="shared" ref="L3:L42" si="3">LN(J3)</f>
        <v>11.834387556731274</v>
      </c>
      <c r="M3" s="1"/>
      <c r="N3" s="1">
        <f t="shared" ref="N3:N43" si="4">(L3-E3)^2</f>
        <v>2.1442642882762635E-2</v>
      </c>
      <c r="O3" s="1"/>
      <c r="Q3">
        <v>0</v>
      </c>
      <c r="R3">
        <v>0.69314718055994529</v>
      </c>
      <c r="S3">
        <v>1.0986122886681098</v>
      </c>
      <c r="T3">
        <v>1.3862943611198906</v>
      </c>
      <c r="U3">
        <v>1.6094379124341003</v>
      </c>
      <c r="V3">
        <v>1.791759469228055</v>
      </c>
      <c r="W3">
        <v>1.9459101490553132</v>
      </c>
      <c r="X3">
        <v>2.0794415416798357</v>
      </c>
      <c r="Y3">
        <v>2.1972245773362196</v>
      </c>
      <c r="Z3">
        <v>2.3025850929940459</v>
      </c>
      <c r="AA3">
        <v>2.3978952727983707</v>
      </c>
      <c r="AB3">
        <v>2.4849066497880004</v>
      </c>
      <c r="AC3">
        <v>2.5649493574615367</v>
      </c>
      <c r="AD3">
        <v>2.6390573296152584</v>
      </c>
      <c r="AE3">
        <v>2.7080502011022101</v>
      </c>
      <c r="AF3">
        <v>2.7725887222397811</v>
      </c>
      <c r="AG3">
        <v>2.8332133440562162</v>
      </c>
      <c r="AH3">
        <v>2.8903717578961645</v>
      </c>
      <c r="AI3">
        <v>2.9444389791664403</v>
      </c>
      <c r="AJ3">
        <v>2.9957322735539909</v>
      </c>
      <c r="AK3">
        <v>3.044522437723423</v>
      </c>
      <c r="AL3">
        <v>3.0910424533583161</v>
      </c>
      <c r="AM3">
        <v>3.1354942159291497</v>
      </c>
      <c r="AN3">
        <v>3.1780538303479458</v>
      </c>
      <c r="AO3">
        <v>3.2188758248682006</v>
      </c>
      <c r="AP3">
        <v>3.2580965380214821</v>
      </c>
      <c r="AQ3">
        <v>3.2958368660043291</v>
      </c>
      <c r="AR3">
        <v>3.3322045101752038</v>
      </c>
      <c r="AS3">
        <v>3.3672958299864741</v>
      </c>
      <c r="AT3">
        <v>3.4011973816621555</v>
      </c>
      <c r="AU3">
        <v>3.4339872044851463</v>
      </c>
      <c r="AV3">
        <v>3.4657359027997265</v>
      </c>
      <c r="AW3">
        <v>3.4965075614664802</v>
      </c>
      <c r="AX3">
        <v>3.5263605246161616</v>
      </c>
      <c r="AY3">
        <v>3.5553480614894135</v>
      </c>
      <c r="AZ3">
        <v>3.5835189384561099</v>
      </c>
      <c r="BA3">
        <v>3.6109179126442243</v>
      </c>
      <c r="BB3">
        <v>3.6375861597263857</v>
      </c>
      <c r="BC3">
        <v>3.6635616461296463</v>
      </c>
      <c r="BD3">
        <v>3.6888794541139363</v>
      </c>
      <c r="BE3">
        <v>3.713572066704308</v>
      </c>
      <c r="BF3">
        <v>3.7376696182833684</v>
      </c>
    </row>
    <row r="4" spans="1:58" x14ac:dyDescent="0.2">
      <c r="A4">
        <v>155573</v>
      </c>
      <c r="C4">
        <v>3</v>
      </c>
      <c r="E4">
        <f t="shared" si="0"/>
        <v>11.954870353818871</v>
      </c>
      <c r="G4">
        <v>1</v>
      </c>
      <c r="H4">
        <f t="shared" si="1"/>
        <v>1.0986122886681098</v>
      </c>
      <c r="J4" s="1">
        <f t="shared" si="2"/>
        <v>147265.00021294839</v>
      </c>
      <c r="K4" s="1"/>
      <c r="L4" s="1">
        <f t="shared" si="3"/>
        <v>11.899988965343862</v>
      </c>
      <c r="M4" s="1"/>
      <c r="N4" s="1">
        <f t="shared" si="4"/>
        <v>3.0119668009448027E-3</v>
      </c>
      <c r="O4" s="1"/>
    </row>
    <row r="5" spans="1:58" x14ac:dyDescent="0.2">
      <c r="A5">
        <v>161574</v>
      </c>
      <c r="C5">
        <v>4</v>
      </c>
      <c r="E5">
        <f t="shared" si="0"/>
        <v>11.992718521035663</v>
      </c>
      <c r="G5">
        <v>1</v>
      </c>
      <c r="H5">
        <f t="shared" si="1"/>
        <v>1.3862943611198906</v>
      </c>
      <c r="J5" s="1">
        <f t="shared" si="2"/>
        <v>154281.46461181401</v>
      </c>
      <c r="K5" s="1"/>
      <c r="L5" s="1">
        <f t="shared" si="3"/>
        <v>11.946533905483054</v>
      </c>
      <c r="M5" s="1"/>
      <c r="N5" s="1">
        <f t="shared" si="4"/>
        <v>2.1330187137422211E-3</v>
      </c>
      <c r="O5" s="1"/>
      <c r="Q5" s="3"/>
      <c r="T5" s="3"/>
    </row>
    <row r="6" spans="1:58" x14ac:dyDescent="0.2">
      <c r="A6">
        <v>154922</v>
      </c>
      <c r="C6">
        <v>5</v>
      </c>
      <c r="E6">
        <f t="shared" si="0"/>
        <v>11.950677043434332</v>
      </c>
      <c r="G6">
        <v>1</v>
      </c>
      <c r="H6">
        <f t="shared" si="1"/>
        <v>1.6094379124341003</v>
      </c>
      <c r="J6" s="1">
        <f t="shared" si="2"/>
        <v>159953.26629354409</v>
      </c>
      <c r="K6" s="1"/>
      <c r="L6" s="1">
        <f t="shared" si="3"/>
        <v>11.982636965885288</v>
      </c>
      <c r="M6" s="1"/>
      <c r="N6" s="1">
        <f t="shared" si="4"/>
        <v>1.0214366430710733E-3</v>
      </c>
      <c r="O6" s="1"/>
      <c r="Q6" cm="1">
        <f t="array" ref="Q6:R7">MMULT(_xlfn.ANCHORARRAY(Q2),G2:H43)</f>
        <v>42</v>
      </c>
      <c r="R6">
        <v>117.77188139974507</v>
      </c>
      <c r="T6" cm="1">
        <f t="array" ref="T6:U7">MINVERSE(_xlfn.ANCHORARRAY(Q6))</f>
        <v>0.27316216558494216</v>
      </c>
      <c r="U6">
        <v>-8.8924544892175258E-2</v>
      </c>
    </row>
    <row r="7" spans="1:58" x14ac:dyDescent="0.2">
      <c r="A7">
        <v>164049</v>
      </c>
      <c r="C7">
        <v>6</v>
      </c>
      <c r="E7">
        <f t="shared" si="0"/>
        <v>12.007920442668139</v>
      </c>
      <c r="G7">
        <v>1</v>
      </c>
      <c r="H7">
        <f t="shared" si="1"/>
        <v>1.791759469228055</v>
      </c>
      <c r="J7" s="1">
        <f t="shared" si="2"/>
        <v>164741.90466906084</v>
      </c>
      <c r="K7" s="1"/>
      <c r="L7" s="1">
        <f t="shared" si="3"/>
        <v>12.012135314095643</v>
      </c>
      <c r="M7" s="1"/>
      <c r="N7" s="1">
        <f t="shared" si="4"/>
        <v>1.7765141150386677E-5</v>
      </c>
      <c r="O7" s="1"/>
      <c r="Q7">
        <v>117.77188139974507</v>
      </c>
      <c r="R7">
        <v>361.77662991894766</v>
      </c>
      <c r="T7">
        <v>-8.8924544892175258E-2</v>
      </c>
      <c r="U7">
        <v>3.1712415910165166E-2</v>
      </c>
    </row>
    <row r="8" spans="1:58" x14ac:dyDescent="0.2">
      <c r="A8">
        <v>159126</v>
      </c>
      <c r="C8">
        <v>7</v>
      </c>
      <c r="E8">
        <f t="shared" si="0"/>
        <v>11.977451620207596</v>
      </c>
      <c r="G8">
        <v>1</v>
      </c>
      <c r="H8">
        <f t="shared" si="1"/>
        <v>1.9459101490553132</v>
      </c>
      <c r="J8" s="1">
        <f t="shared" si="2"/>
        <v>168902.31552385434</v>
      </c>
      <c r="K8" s="1"/>
      <c r="L8" s="1">
        <f t="shared" si="3"/>
        <v>12.037075812138593</v>
      </c>
      <c r="M8" s="1"/>
      <c r="N8" s="1">
        <f t="shared" si="4"/>
        <v>3.5550442634243408E-3</v>
      </c>
      <c r="O8" s="1"/>
    </row>
    <row r="9" spans="1:58" x14ac:dyDescent="0.2">
      <c r="A9">
        <v>166215</v>
      </c>
      <c r="C9">
        <v>8</v>
      </c>
      <c r="E9">
        <f t="shared" si="0"/>
        <v>12.021037410038536</v>
      </c>
      <c r="G9">
        <v>1</v>
      </c>
      <c r="H9">
        <f t="shared" si="1"/>
        <v>2.0794415416798357</v>
      </c>
      <c r="J9" s="1">
        <f t="shared" si="2"/>
        <v>172591.05896533164</v>
      </c>
      <c r="K9" s="1"/>
      <c r="L9" s="1">
        <f>LN(J9)</f>
        <v>12.058680254234835</v>
      </c>
      <c r="M9" s="1"/>
      <c r="N9" s="1">
        <f t="shared" si="4"/>
        <v>1.4169837191868109E-3</v>
      </c>
      <c r="O9" s="1"/>
      <c r="Q9" s="3"/>
      <c r="S9" s="3"/>
    </row>
    <row r="10" spans="1:58" x14ac:dyDescent="0.2">
      <c r="A10">
        <v>161419</v>
      </c>
      <c r="C10">
        <v>9</v>
      </c>
      <c r="E10">
        <f t="shared" si="0"/>
        <v>11.99175874783997</v>
      </c>
      <c r="G10">
        <v>1</v>
      </c>
      <c r="H10">
        <f t="shared" si="1"/>
        <v>2.1972245773362196</v>
      </c>
      <c r="J10" s="1">
        <f>EXP($V$27)*C10^$V$28</f>
        <v>175911.57319044345</v>
      </c>
      <c r="K10" s="1"/>
      <c r="L10" s="1">
        <f t="shared" si="3"/>
        <v>12.077736722708231</v>
      </c>
      <c r="M10" s="1"/>
      <c r="N10" s="1">
        <f t="shared" si="4"/>
        <v>7.3922121624472393E-3</v>
      </c>
      <c r="O10" s="1"/>
      <c r="Q10" cm="1">
        <f t="array" ref="Q10:Q11">MMULT(_xlfn.ANCHORARRAY(Q2),E2:E43)</f>
        <v>511.38879452810079</v>
      </c>
      <c r="S10" cm="1">
        <f t="array" ref="S10:S11">MMULT(_xlfn.ANCHORARRAY(T6),_xlfn.ANCHORARRAY(Q10))</f>
        <v>11.722241207979494</v>
      </c>
      <c r="T10" s="14"/>
    </row>
    <row r="11" spans="1:58" x14ac:dyDescent="0.2">
      <c r="A11">
        <v>171164</v>
      </c>
      <c r="C11">
        <v>10</v>
      </c>
      <c r="E11">
        <f t="shared" si="0"/>
        <v>12.050377440203929</v>
      </c>
      <c r="G11">
        <v>1</v>
      </c>
      <c r="H11">
        <f t="shared" si="1"/>
        <v>2.3025850929940459</v>
      </c>
      <c r="J11" s="1">
        <f t="shared" si="2"/>
        <v>178935.97059132735</v>
      </c>
      <c r="K11" s="1"/>
      <c r="L11" s="1">
        <f t="shared" si="3"/>
        <v>12.094783314637068</v>
      </c>
      <c r="M11" s="1"/>
      <c r="N11" s="1">
        <f t="shared" si="4"/>
        <v>1.9718816841716716E-3</v>
      </c>
      <c r="O11" s="1"/>
      <c r="Q11">
        <v>1439.0833207677174</v>
      </c>
      <c r="S11">
        <v>0.16179298119799768</v>
      </c>
    </row>
    <row r="12" spans="1:58" x14ac:dyDescent="0.2">
      <c r="A12">
        <v>166103</v>
      </c>
      <c r="C12">
        <v>11</v>
      </c>
      <c r="E12">
        <f t="shared" si="0"/>
        <v>12.020363356847071</v>
      </c>
      <c r="G12">
        <v>1</v>
      </c>
      <c r="H12">
        <f t="shared" si="1"/>
        <v>2.3978952727983707</v>
      </c>
      <c r="J12" s="1">
        <f t="shared" si="2"/>
        <v>181716.6405539308</v>
      </c>
      <c r="K12" s="1"/>
      <c r="L12" s="1">
        <f t="shared" si="3"/>
        <v>12.110203832766128</v>
      </c>
      <c r="M12" s="1"/>
      <c r="N12" s="1">
        <f t="shared" si="4"/>
        <v>8.0713111133627752E-3</v>
      </c>
      <c r="O12" s="1"/>
    </row>
    <row r="13" spans="1:58" x14ac:dyDescent="0.2">
      <c r="A13">
        <v>173248</v>
      </c>
      <c r="C13">
        <v>12</v>
      </c>
      <c r="E13">
        <f t="shared" si="0"/>
        <v>12.062479372973973</v>
      </c>
      <c r="G13">
        <v>1</v>
      </c>
      <c r="H13">
        <f t="shared" si="1"/>
        <v>2.4849066497880004</v>
      </c>
      <c r="J13" s="1">
        <f t="shared" si="2"/>
        <v>184292.9081230778</v>
      </c>
      <c r="K13" s="1"/>
      <c r="L13" s="1">
        <f t="shared" si="3"/>
        <v>12.124281662847423</v>
      </c>
      <c r="M13" s="1"/>
      <c r="N13" s="1">
        <f t="shared" si="4"/>
        <v>3.8195230336019186E-3</v>
      </c>
      <c r="O13" s="1"/>
    </row>
    <row r="14" spans="1:58" x14ac:dyDescent="0.2">
      <c r="A14">
        <v>170056</v>
      </c>
      <c r="C14">
        <v>13</v>
      </c>
      <c r="E14">
        <f t="shared" si="0"/>
        <v>12.043883073552962</v>
      </c>
      <c r="G14">
        <v>1</v>
      </c>
      <c r="H14">
        <f t="shared" si="1"/>
        <v>2.5649493574615367</v>
      </c>
      <c r="J14" s="1">
        <f t="shared" si="2"/>
        <v>186695.08642222994</v>
      </c>
      <c r="K14" s="1"/>
      <c r="L14" s="1">
        <f t="shared" si="3"/>
        <v>12.137232011145084</v>
      </c>
      <c r="M14" s="1"/>
      <c r="N14" s="1">
        <f t="shared" si="4"/>
        <v>8.7140241495778752E-3</v>
      </c>
      <c r="O14" s="1"/>
    </row>
    <row r="15" spans="1:58" x14ac:dyDescent="0.2">
      <c r="A15">
        <v>179008</v>
      </c>
      <c r="C15">
        <v>14</v>
      </c>
      <c r="E15">
        <f t="shared" si="0"/>
        <v>12.095185776561632</v>
      </c>
      <c r="G15">
        <v>1</v>
      </c>
      <c r="H15">
        <f t="shared" si="1"/>
        <v>2.6390573296152584</v>
      </c>
      <c r="J15" s="1">
        <f t="shared" si="2"/>
        <v>188947.06224953977</v>
      </c>
      <c r="K15" s="1"/>
      <c r="L15" s="1">
        <f t="shared" si="3"/>
        <v>12.149222160890373</v>
      </c>
      <c r="M15" s="1"/>
      <c r="N15" s="1">
        <f t="shared" si="4"/>
        <v>2.9199308313234327E-3</v>
      </c>
      <c r="O15" s="1"/>
      <c r="Q15" s="3"/>
      <c r="S15" s="3"/>
      <c r="V15" s="3"/>
    </row>
    <row r="16" spans="1:58" x14ac:dyDescent="0.2">
      <c r="A16">
        <v>173652</v>
      </c>
      <c r="C16">
        <v>15</v>
      </c>
      <c r="E16">
        <f t="shared" si="0"/>
        <v>12.064808575525992</v>
      </c>
      <c r="G16">
        <v>1</v>
      </c>
      <c r="H16">
        <f t="shared" si="1"/>
        <v>2.7080502011022101</v>
      </c>
      <c r="J16" s="1">
        <f t="shared" si="2"/>
        <v>191068.01120401762</v>
      </c>
      <c r="K16" s="1"/>
      <c r="L16" s="1">
        <f t="shared" si="3"/>
        <v>12.160384723249658</v>
      </c>
      <c r="M16" s="1"/>
      <c r="N16" s="1">
        <f t="shared" si="4"/>
        <v>9.1348000136959543E-3</v>
      </c>
      <c r="O16" s="1"/>
      <c r="Q16" s="1">
        <f>SUM(N2:N43)</f>
        <v>0.35926746356371603</v>
      </c>
      <c r="S16">
        <f>Q16/(COUNT(J2:J43)-2)</f>
        <v>8.9816865890929003E-3</v>
      </c>
    </row>
    <row r="17" spans="1:27" x14ac:dyDescent="0.2">
      <c r="A17">
        <v>180841</v>
      </c>
      <c r="C17">
        <v>16</v>
      </c>
      <c r="E17">
        <f t="shared" si="0"/>
        <v>12.105373471143308</v>
      </c>
      <c r="G17">
        <v>1</v>
      </c>
      <c r="H17">
        <f t="shared" si="1"/>
        <v>2.7725887222397811</v>
      </c>
      <c r="J17" s="1">
        <f t="shared" si="2"/>
        <v>193073.5730939749</v>
      </c>
      <c r="K17" s="1"/>
      <c r="L17" s="1">
        <f t="shared" si="3"/>
        <v>12.170826602986615</v>
      </c>
      <c r="M17" s="1"/>
      <c r="N17" s="1">
        <f t="shared" si="4"/>
        <v>4.284112468097406E-3</v>
      </c>
      <c r="O17" s="1"/>
    </row>
    <row r="18" spans="1:27" x14ac:dyDescent="0.2">
      <c r="A18">
        <v>178780</v>
      </c>
      <c r="C18">
        <v>17</v>
      </c>
      <c r="E18">
        <f t="shared" si="0"/>
        <v>12.093911278641844</v>
      </c>
      <c r="G18">
        <v>1</v>
      </c>
      <c r="H18">
        <f t="shared" si="1"/>
        <v>2.8332133440562162</v>
      </c>
      <c r="J18" s="1">
        <f t="shared" si="2"/>
        <v>194976.68012350338</v>
      </c>
      <c r="K18" s="1"/>
      <c r="L18" s="1">
        <f t="shared" si="3"/>
        <v>12.180635241284296</v>
      </c>
      <c r="M18" s="1"/>
      <c r="N18" s="1">
        <f t="shared" si="4"/>
        <v>7.5210456964094237E-3</v>
      </c>
      <c r="O18" s="1"/>
      <c r="Q18" s="3"/>
    </row>
    <row r="19" spans="1:27" x14ac:dyDescent="0.2">
      <c r="A19">
        <v>188735</v>
      </c>
      <c r="C19">
        <v>18</v>
      </c>
      <c r="E19">
        <f t="shared" si="0"/>
        <v>12.148099193754673</v>
      </c>
      <c r="G19">
        <v>1</v>
      </c>
      <c r="H19">
        <f t="shared" si="1"/>
        <v>2.8903717578961645</v>
      </c>
      <c r="J19" s="1">
        <f t="shared" si="2"/>
        <v>196788.15454329835</v>
      </c>
      <c r="K19" s="1"/>
      <c r="L19" s="1">
        <f t="shared" si="3"/>
        <v>12.189883071460011</v>
      </c>
      <c r="M19" s="1"/>
      <c r="N19" s="1">
        <f t="shared" si="4"/>
        <v>1.7458924360946682E-3</v>
      </c>
      <c r="O19" s="1"/>
    </row>
    <row r="20" spans="1:27" x14ac:dyDescent="0.2">
      <c r="A20">
        <v>182497</v>
      </c>
      <c r="C20">
        <v>19</v>
      </c>
      <c r="E20">
        <f t="shared" si="0"/>
        <v>12.114489013513408</v>
      </c>
      <c r="G20">
        <v>1</v>
      </c>
      <c r="H20">
        <f t="shared" si="1"/>
        <v>2.9444389791664403</v>
      </c>
      <c r="J20" s="1">
        <f t="shared" si="2"/>
        <v>198517.1490098447</v>
      </c>
      <c r="K20" s="1"/>
      <c r="L20" s="1">
        <f t="shared" si="3"/>
        <v>12.198630768374422</v>
      </c>
      <c r="M20" s="1"/>
      <c r="N20" s="1">
        <f t="shared" si="4"/>
        <v>7.0798349110908886E-3</v>
      </c>
      <c r="O20" s="1"/>
    </row>
    <row r="21" spans="1:27" x14ac:dyDescent="0.2">
      <c r="A21">
        <v>189496</v>
      </c>
      <c r="C21">
        <v>20</v>
      </c>
      <c r="E21">
        <f t="shared" si="0"/>
        <v>12.152123195102417</v>
      </c>
      <c r="G21">
        <v>1</v>
      </c>
      <c r="H21">
        <f t="shared" si="1"/>
        <v>2.9957322735539909</v>
      </c>
      <c r="J21" s="1">
        <f t="shared" si="2"/>
        <v>200171.47704068266</v>
      </c>
      <c r="K21" s="1"/>
      <c r="L21" s="1">
        <f t="shared" si="3"/>
        <v>12.206929663388848</v>
      </c>
      <c r="M21" s="1"/>
      <c r="N21" s="1">
        <f t="shared" si="4"/>
        <v>3.0037489660315777E-3</v>
      </c>
      <c r="O21" s="1"/>
      <c r="Q21" s="13">
        <f>$S$16*T6</f>
        <v>2.4534569592818494E-3</v>
      </c>
      <c r="R21" s="13">
        <f>$S$16*U6</f>
        <v>-7.9869239229924012E-4</v>
      </c>
      <c r="S21" s="3"/>
      <c r="T21" s="3"/>
      <c r="U21" s="3"/>
    </row>
    <row r="22" spans="1:27" x14ac:dyDescent="0.2">
      <c r="A22">
        <v>182537</v>
      </c>
      <c r="C22">
        <v>21</v>
      </c>
      <c r="E22">
        <f t="shared" si="0"/>
        <v>12.114708171181789</v>
      </c>
      <c r="G22">
        <v>1</v>
      </c>
      <c r="H22">
        <f t="shared" si="1"/>
        <v>3.044522437723423</v>
      </c>
      <c r="J22" s="1">
        <f t="shared" si="2"/>
        <v>201757.86504835411</v>
      </c>
      <c r="K22" s="1"/>
      <c r="L22" s="1">
        <f t="shared" si="3"/>
        <v>12.214823569502961</v>
      </c>
      <c r="M22" s="1"/>
      <c r="N22" s="1">
        <f t="shared" si="4"/>
        <v>1.0023092981006974E-2</v>
      </c>
      <c r="O22" s="1"/>
      <c r="Q22" s="13">
        <f>$S$16*T7</f>
        <v>-7.9869239229924012E-4</v>
      </c>
      <c r="R22" s="13">
        <f>$S$16*U7</f>
        <v>2.848309806880668E-4</v>
      </c>
    </row>
    <row r="23" spans="1:27" x14ac:dyDescent="0.2">
      <c r="A23">
        <v>175396</v>
      </c>
      <c r="C23">
        <v>22</v>
      </c>
      <c r="E23">
        <f t="shared" si="0"/>
        <v>12.074801553643077</v>
      </c>
      <c r="G23">
        <v>1</v>
      </c>
      <c r="H23">
        <f t="shared" si="1"/>
        <v>3.0910424533583161</v>
      </c>
      <c r="J23" s="1">
        <f t="shared" si="2"/>
        <v>203282.14736447259</v>
      </c>
      <c r="K23" s="1"/>
      <c r="L23" s="1">
        <f t="shared" si="3"/>
        <v>12.222350181517909</v>
      </c>
      <c r="M23" s="1"/>
      <c r="N23" s="1">
        <f t="shared" si="4"/>
        <v>2.177059758774556E-2</v>
      </c>
      <c r="O23" s="1"/>
    </row>
    <row r="24" spans="1:27" x14ac:dyDescent="0.2">
      <c r="A24">
        <v>179815</v>
      </c>
      <c r="C24">
        <v>23</v>
      </c>
      <c r="E24">
        <f t="shared" si="0"/>
        <v>12.099683823568821</v>
      </c>
      <c r="G24">
        <v>1</v>
      </c>
      <c r="H24">
        <f t="shared" si="1"/>
        <v>3.1354942159291497</v>
      </c>
      <c r="J24" s="1">
        <f t="shared" si="2"/>
        <v>204749.41912270564</v>
      </c>
      <c r="K24" s="1"/>
      <c r="L24" s="1">
        <f t="shared" si="3"/>
        <v>12.22954216470375</v>
      </c>
      <c r="M24" s="1"/>
      <c r="N24" s="1">
        <f t="shared" si="4"/>
        <v>1.6863188762315535E-2</v>
      </c>
      <c r="O24" s="1"/>
      <c r="Q24" s="3"/>
    </row>
    <row r="25" spans="1:27" ht="17" thickBot="1" x14ac:dyDescent="0.25">
      <c r="A25">
        <v>188401</v>
      </c>
      <c r="C25">
        <v>24</v>
      </c>
      <c r="E25">
        <f t="shared" si="0"/>
        <v>12.14632794896594</v>
      </c>
      <c r="G25">
        <v>1</v>
      </c>
      <c r="H25">
        <f t="shared" si="1"/>
        <v>3.1780538303479458</v>
      </c>
      <c r="J25" s="1">
        <f t="shared" si="2"/>
        <v>206164.15752075342</v>
      </c>
      <c r="K25" s="1"/>
      <c r="L25" s="1">
        <f t="shared" si="3"/>
        <v>12.236428011599203</v>
      </c>
      <c r="M25" s="1"/>
      <c r="N25" s="1">
        <f t="shared" si="4"/>
        <v>8.118021286518012E-3</v>
      </c>
      <c r="O25" s="1"/>
    </row>
    <row r="26" spans="1:27" x14ac:dyDescent="0.2">
      <c r="A26">
        <v>183940</v>
      </c>
      <c r="C26">
        <v>25</v>
      </c>
      <c r="E26">
        <f t="shared" si="0"/>
        <v>12.122364896456689</v>
      </c>
      <c r="G26">
        <v>1</v>
      </c>
      <c r="H26">
        <f t="shared" si="1"/>
        <v>3.2188758248682006</v>
      </c>
      <c r="J26" s="1">
        <f t="shared" si="2"/>
        <v>207530.3190310043</v>
      </c>
      <c r="K26" s="1"/>
      <c r="L26" s="1">
        <f t="shared" si="3"/>
        <v>12.243032723791083</v>
      </c>
      <c r="M26" s="1"/>
      <c r="N26" s="1">
        <f t="shared" si="4"/>
        <v>1.4560724553603115E-2</v>
      </c>
      <c r="O26" s="1"/>
      <c r="U26" s="8"/>
      <c r="V26" s="9"/>
      <c r="W26" s="9"/>
      <c r="X26" s="9"/>
      <c r="Y26" s="10"/>
      <c r="AA26" s="13" t="s">
        <v>85</v>
      </c>
    </row>
    <row r="27" spans="1:27" x14ac:dyDescent="0.2">
      <c r="A27">
        <v>201433</v>
      </c>
      <c r="C27">
        <v>26</v>
      </c>
      <c r="E27">
        <f t="shared" si="0"/>
        <v>12.213212098872956</v>
      </c>
      <c r="G27">
        <v>1</v>
      </c>
      <c r="H27">
        <f t="shared" si="1"/>
        <v>3.2580965380214821</v>
      </c>
      <c r="J27" s="1">
        <f t="shared" si="2"/>
        <v>208851.41809037115</v>
      </c>
      <c r="K27" s="1"/>
      <c r="L27" s="1">
        <f t="shared" si="3"/>
        <v>12.249378359896864</v>
      </c>
      <c r="M27" s="1"/>
      <c r="N27" s="1">
        <f t="shared" si="4"/>
        <v>1.3079984364494444E-3</v>
      </c>
      <c r="O27" s="1"/>
      <c r="Q27">
        <f>SQRT(Q21)</f>
        <v>4.9532382935629587E-2</v>
      </c>
      <c r="R27" t="e">
        <f>SQRT(R21)</f>
        <v>#NUM!</v>
      </c>
      <c r="U27" s="6">
        <v>0</v>
      </c>
      <c r="V27">
        <f>S10</f>
        <v>11.722241207979494</v>
      </c>
      <c r="W27">
        <f>Q27</f>
        <v>4.9532382935629587E-2</v>
      </c>
      <c r="X27">
        <f>V27/W27</f>
        <v>236.65813177640322</v>
      </c>
      <c r="Y27" s="11">
        <f>_xlfn.T.DIST.2T(X27,40)</f>
        <v>1.4739576275714603E-64</v>
      </c>
      <c r="AA27" s="16" t="s">
        <v>84</v>
      </c>
    </row>
    <row r="28" spans="1:27" ht="17" thickBot="1" x14ac:dyDescent="0.25">
      <c r="A28">
        <v>198942</v>
      </c>
      <c r="C28">
        <v>27</v>
      </c>
      <c r="E28">
        <f t="shared" si="0"/>
        <v>12.200768603938268</v>
      </c>
      <c r="G28">
        <v>1</v>
      </c>
      <c r="H28">
        <f t="shared" si="1"/>
        <v>3.2958368660043291</v>
      </c>
      <c r="J28" s="1">
        <f t="shared" si="2"/>
        <v>210130.59136651459</v>
      </c>
      <c r="K28" s="1"/>
      <c r="L28" s="1">
        <f t="shared" si="3"/>
        <v>12.255484480072599</v>
      </c>
      <c r="M28" s="1"/>
      <c r="N28" s="1">
        <f t="shared" si="4"/>
        <v>2.9938271011474694E-3</v>
      </c>
      <c r="O28" s="1"/>
      <c r="Q28" t="e">
        <f>SQRT(Q22)</f>
        <v>#NUM!</v>
      </c>
      <c r="R28">
        <f>SQRT(R22)</f>
        <v>1.6876936353736327E-2</v>
      </c>
      <c r="U28" s="7">
        <v>1</v>
      </c>
      <c r="V28" s="5">
        <f>S11</f>
        <v>0.16179298119799768</v>
      </c>
      <c r="W28" s="5">
        <f>R28</f>
        <v>1.6876936353736327E-2</v>
      </c>
      <c r="X28" s="5">
        <f>V28/W28</f>
        <v>9.5866321829304564</v>
      </c>
      <c r="Y28" s="12">
        <f>_xlfn.T.DIST.2T(X28,40)</f>
        <v>6.4318424119460628E-12</v>
      </c>
      <c r="AA28" s="16" t="s">
        <v>84</v>
      </c>
    </row>
    <row r="29" spans="1:27" x14ac:dyDescent="0.2">
      <c r="A29">
        <v>207415</v>
      </c>
      <c r="C29">
        <v>28</v>
      </c>
      <c r="E29">
        <f t="shared" si="0"/>
        <v>12.24247689617388</v>
      </c>
      <c r="G29">
        <v>1</v>
      </c>
      <c r="H29">
        <f t="shared" si="1"/>
        <v>3.3322045101752038</v>
      </c>
      <c r="J29" s="1">
        <f t="shared" si="2"/>
        <v>211370.65067464605</v>
      </c>
      <c r="K29" s="1"/>
      <c r="L29" s="1">
        <f t="shared" si="3"/>
        <v>12.261368509642153</v>
      </c>
      <c r="M29" s="1"/>
      <c r="N29" s="1">
        <f t="shared" si="4"/>
        <v>3.5689305943465289E-4</v>
      </c>
      <c r="O29" s="1"/>
    </row>
    <row r="30" spans="1:27" x14ac:dyDescent="0.2">
      <c r="A30">
        <v>209214</v>
      </c>
      <c r="C30">
        <v>29</v>
      </c>
      <c r="E30">
        <f t="shared" si="0"/>
        <v>12.251112930539872</v>
      </c>
      <c r="G30">
        <v>1</v>
      </c>
      <c r="H30">
        <f t="shared" si="1"/>
        <v>3.3672958299864741</v>
      </c>
      <c r="J30" s="1">
        <f t="shared" si="2"/>
        <v>212574.12687859274</v>
      </c>
      <c r="K30" s="1"/>
      <c r="L30" s="1">
        <f t="shared" si="3"/>
        <v>12.267046038888591</v>
      </c>
      <c r="M30" s="1"/>
      <c r="N30" s="1">
        <f t="shared" si="4"/>
        <v>2.5386394165201467E-4</v>
      </c>
      <c r="O30" s="1"/>
    </row>
    <row r="31" spans="1:27" x14ac:dyDescent="0.2">
      <c r="A31">
        <v>224204</v>
      </c>
      <c r="C31">
        <v>30</v>
      </c>
      <c r="E31">
        <f t="shared" si="0"/>
        <v>12.320311630674247</v>
      </c>
      <c r="G31">
        <v>1</v>
      </c>
      <c r="H31">
        <f t="shared" si="1"/>
        <v>3.4011973816621555</v>
      </c>
      <c r="J31" s="1">
        <f t="shared" si="2"/>
        <v>213743.30656682191</v>
      </c>
      <c r="K31" s="1"/>
      <c r="L31" s="1">
        <f t="shared" si="3"/>
        <v>12.272531072001438</v>
      </c>
      <c r="M31" s="1"/>
      <c r="N31" s="1">
        <f t="shared" si="4"/>
        <v>2.2829817870857277E-3</v>
      </c>
      <c r="O31" s="1"/>
      <c r="W31" t="s">
        <v>89</v>
      </c>
    </row>
    <row r="32" spans="1:27" x14ac:dyDescent="0.2">
      <c r="A32">
        <v>221953</v>
      </c>
      <c r="C32">
        <v>31</v>
      </c>
      <c r="E32">
        <f t="shared" si="0"/>
        <v>12.310220926728617</v>
      </c>
      <c r="G32">
        <v>1</v>
      </c>
      <c r="H32">
        <f t="shared" si="1"/>
        <v>3.4339872044851463</v>
      </c>
      <c r="J32" s="1">
        <f t="shared" si="2"/>
        <v>214880.26289119865</v>
      </c>
      <c r="K32" s="1"/>
      <c r="L32" s="1">
        <f t="shared" si="3"/>
        <v>12.277836235188923</v>
      </c>
      <c r="M32" s="1"/>
      <c r="N32" s="1">
        <f t="shared" si="4"/>
        <v>1.0487682461210943E-3</v>
      </c>
      <c r="O32" s="1"/>
    </row>
    <row r="33" spans="1:26" x14ac:dyDescent="0.2">
      <c r="A33">
        <v>232803</v>
      </c>
      <c r="C33">
        <v>32</v>
      </c>
      <c r="E33">
        <f t="shared" si="0"/>
        <v>12.357947881354326</v>
      </c>
      <c r="G33">
        <v>1</v>
      </c>
      <c r="H33">
        <f t="shared" si="1"/>
        <v>3.4657359027997265</v>
      </c>
      <c r="J33" s="1">
        <f t="shared" si="2"/>
        <v>215986.88165394706</v>
      </c>
      <c r="K33" s="1"/>
      <c r="L33" s="1">
        <f t="shared" si="3"/>
        <v>12.282972951738396</v>
      </c>
      <c r="M33" s="1"/>
      <c r="N33" s="1">
        <f t="shared" si="4"/>
        <v>5.6212400709136738E-3</v>
      </c>
      <c r="O33" s="1"/>
    </row>
    <row r="34" spans="1:26" x14ac:dyDescent="0.2">
      <c r="A34">
        <v>228660</v>
      </c>
      <c r="C34">
        <v>33</v>
      </c>
      <c r="E34">
        <f t="shared" si="0"/>
        <v>12.339991463095961</v>
      </c>
      <c r="G34">
        <v>1</v>
      </c>
      <c r="H34">
        <f t="shared" si="1"/>
        <v>3.4965075614664802</v>
      </c>
      <c r="J34" s="1">
        <f t="shared" si="2"/>
        <v>217064.88349913887</v>
      </c>
      <c r="K34" s="1"/>
      <c r="L34" s="1">
        <f t="shared" si="3"/>
        <v>12.287951590130497</v>
      </c>
      <c r="M34" s="1"/>
      <c r="N34" s="1">
        <f t="shared" si="4"/>
        <v>2.7081483782616395E-3</v>
      </c>
      <c r="O34" s="1"/>
      <c r="W34" t="s">
        <v>96</v>
      </c>
    </row>
    <row r="35" spans="1:26" x14ac:dyDescent="0.2">
      <c r="A35">
        <v>239816</v>
      </c>
      <c r="C35">
        <v>34</v>
      </c>
      <c r="E35">
        <f t="shared" si="0"/>
        <v>12.387627241618276</v>
      </c>
      <c r="G35">
        <v>1</v>
      </c>
      <c r="H35">
        <f t="shared" si="1"/>
        <v>3.5263605246161616</v>
      </c>
      <c r="J35" s="1">
        <f t="shared" si="2"/>
        <v>218115.84288968018</v>
      </c>
      <c r="K35" s="1"/>
      <c r="L35" s="1">
        <f t="shared" si="3"/>
        <v>12.292781590036077</v>
      </c>
      <c r="M35" s="1"/>
      <c r="N35" s="1">
        <f t="shared" si="4"/>
        <v>8.9956976240519165E-3</v>
      </c>
      <c r="O35" s="1"/>
      <c r="Z35" s="1">
        <f>V28*EXP(V27)*AVERAGE(C2:C43)^(V28-1)</f>
        <v>1524.070582122064</v>
      </c>
    </row>
    <row r="36" spans="1:26" x14ac:dyDescent="0.2">
      <c r="A36">
        <v>233082</v>
      </c>
      <c r="C36">
        <v>35</v>
      </c>
      <c r="E36">
        <f t="shared" si="0"/>
        <v>12.359145601965004</v>
      </c>
      <c r="G36">
        <v>1</v>
      </c>
      <c r="H36">
        <f t="shared" si="1"/>
        <v>3.5553480614894135</v>
      </c>
      <c r="J36" s="1">
        <f t="shared" si="2"/>
        <v>219141.2044153774</v>
      </c>
      <c r="K36" s="1"/>
      <c r="L36" s="1">
        <f t="shared" si="3"/>
        <v>12.297471570044388</v>
      </c>
      <c r="M36" s="1"/>
      <c r="N36" s="1">
        <f t="shared" si="4"/>
        <v>3.8036862133450987E-3</v>
      </c>
      <c r="O36" s="1"/>
      <c r="Z36" t="s">
        <v>94</v>
      </c>
    </row>
    <row r="37" spans="1:26" x14ac:dyDescent="0.2">
      <c r="A37">
        <v>243243</v>
      </c>
      <c r="C37">
        <v>36</v>
      </c>
      <c r="E37">
        <f t="shared" si="0"/>
        <v>12.40181622265577</v>
      </c>
      <c r="G37">
        <v>1</v>
      </c>
      <c r="H37">
        <f t="shared" si="1"/>
        <v>3.5835189384561099</v>
      </c>
      <c r="J37" s="1">
        <f t="shared" si="2"/>
        <v>220142.29687226107</v>
      </c>
      <c r="K37" s="1"/>
      <c r="L37" s="1">
        <f t="shared" si="3"/>
        <v>12.302029420211792</v>
      </c>
      <c r="M37" s="1"/>
      <c r="N37" s="1">
        <f t="shared" si="4"/>
        <v>9.9574059419934666E-3</v>
      </c>
      <c r="O37" s="1"/>
    </row>
    <row r="38" spans="1:26" x14ac:dyDescent="0.2">
      <c r="A38">
        <v>241862</v>
      </c>
      <c r="C38">
        <v>37</v>
      </c>
      <c r="E38">
        <f t="shared" si="0"/>
        <v>12.396122594551748</v>
      </c>
      <c r="G38">
        <v>1</v>
      </c>
      <c r="H38">
        <f t="shared" si="1"/>
        <v>3.6109179126442243</v>
      </c>
      <c r="J38" s="1">
        <f t="shared" si="2"/>
        <v>221120.34547064229</v>
      </c>
      <c r="K38" s="1"/>
      <c r="L38" s="1">
        <f t="shared" si="3"/>
        <v>12.306462381927453</v>
      </c>
      <c r="M38" s="1"/>
      <c r="N38" s="1">
        <f t="shared" si="4"/>
        <v>8.0389537278338519E-3</v>
      </c>
      <c r="O38" s="1"/>
      <c r="W38" t="s">
        <v>86</v>
      </c>
    </row>
    <row r="39" spans="1:26" x14ac:dyDescent="0.2">
      <c r="A39">
        <v>255757</v>
      </c>
      <c r="C39">
        <v>38</v>
      </c>
      <c r="E39">
        <f t="shared" si="0"/>
        <v>12.451983053918292</v>
      </c>
      <c r="G39">
        <v>1</v>
      </c>
      <c r="H39">
        <f t="shared" si="1"/>
        <v>3.6375861597263857</v>
      </c>
      <c r="J39" s="1">
        <f t="shared" si="2"/>
        <v>222076.4824640122</v>
      </c>
      <c r="K39" s="1"/>
      <c r="L39" s="1">
        <f t="shared" si="3"/>
        <v>12.310777117126202</v>
      </c>
      <c r="M39" s="1"/>
      <c r="N39" s="1">
        <f t="shared" si="4"/>
        <v>1.9939116585331821E-2</v>
      </c>
      <c r="O39" s="1"/>
      <c r="Z39" s="15">
        <f>Z35/AVERAGE(J2:J43)</f>
        <v>7.7813779464239695E-3</v>
      </c>
    </row>
    <row r="40" spans="1:26" x14ac:dyDescent="0.2">
      <c r="A40">
        <v>248625</v>
      </c>
      <c r="C40">
        <v>39</v>
      </c>
      <c r="E40">
        <f t="shared" si="0"/>
        <v>12.423701016156274</v>
      </c>
      <c r="G40">
        <v>1</v>
      </c>
      <c r="H40">
        <f t="shared" si="1"/>
        <v>3.6635616461296463</v>
      </c>
      <c r="J40" s="1">
        <f t="shared" si="2"/>
        <v>223011.75643887059</v>
      </c>
      <c r="K40" s="1"/>
      <c r="L40" s="1">
        <f t="shared" si="3"/>
        <v>12.314979768509453</v>
      </c>
      <c r="M40" s="1"/>
      <c r="N40" s="1">
        <f t="shared" si="4"/>
        <v>1.1820309689881455E-2</v>
      </c>
      <c r="O40" s="1"/>
      <c r="Z40" t="s">
        <v>95</v>
      </c>
    </row>
    <row r="41" spans="1:26" x14ac:dyDescent="0.2">
      <c r="A41">
        <v>261094</v>
      </c>
      <c r="C41">
        <v>40</v>
      </c>
      <c r="E41">
        <f t="shared" si="0"/>
        <v>12.472635774721919</v>
      </c>
      <c r="G41">
        <v>1</v>
      </c>
      <c r="H41">
        <f t="shared" si="1"/>
        <v>3.6888794541139363</v>
      </c>
      <c r="J41" s="1">
        <f t="shared" si="2"/>
        <v>223927.14046390061</v>
      </c>
      <c r="K41" s="1"/>
      <c r="L41" s="1">
        <f t="shared" si="3"/>
        <v>12.319076012140629</v>
      </c>
      <c r="M41" s="1"/>
      <c r="N41" s="1">
        <f t="shared" si="4"/>
        <v>2.3580600684022186E-2</v>
      </c>
      <c r="O41" s="1"/>
    </row>
    <row r="42" spans="1:26" x14ac:dyDescent="0.2">
      <c r="A42">
        <v>254235</v>
      </c>
      <c r="C42">
        <v>41</v>
      </c>
      <c r="E42">
        <f t="shared" si="0"/>
        <v>12.446014315120264</v>
      </c>
      <c r="G42">
        <v>1</v>
      </c>
      <c r="H42">
        <f t="shared" si="1"/>
        <v>3.713572066704308</v>
      </c>
      <c r="J42" s="1">
        <f t="shared" si="2"/>
        <v>224823.5392633192</v>
      </c>
      <c r="K42" s="1"/>
      <c r="L42" s="1">
        <f t="shared" si="3"/>
        <v>12.323071103545193</v>
      </c>
      <c r="M42" s="1"/>
      <c r="N42" s="1">
        <f t="shared" si="4"/>
        <v>1.5115033272392792E-2</v>
      </c>
      <c r="O42" s="1"/>
      <c r="W42" t="s">
        <v>91</v>
      </c>
    </row>
    <row r="43" spans="1:26" x14ac:dyDescent="0.2">
      <c r="A43">
        <v>269320</v>
      </c>
      <c r="C43">
        <v>42</v>
      </c>
      <c r="E43">
        <f t="shared" si="0"/>
        <v>12.503655542659217</v>
      </c>
      <c r="G43">
        <v>1</v>
      </c>
      <c r="H43">
        <f t="shared" si="1"/>
        <v>3.7376696182833684</v>
      </c>
      <c r="J43" s="1">
        <f t="shared" si="2"/>
        <v>225701.79555200736</v>
      </c>
      <c r="K43" s="1"/>
      <c r="L43" s="1">
        <f>LN(J43)</f>
        <v>12.326969918254742</v>
      </c>
      <c r="M43" s="1"/>
      <c r="N43" s="1">
        <f t="shared" si="4"/>
        <v>3.1217809871199445E-2</v>
      </c>
      <c r="Z43">
        <f>_xlfn.VAR.S(J2:J43)</f>
        <v>646239465.33865285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AEC5E-0027-B44B-869C-A4F1E682391A}">
  <dimension ref="A1:I18"/>
  <sheetViews>
    <sheetView workbookViewId="0">
      <selection activeCell="L17" sqref="L17"/>
    </sheetView>
  </sheetViews>
  <sheetFormatPr baseColWidth="10" defaultRowHeight="16" x14ac:dyDescent="0.2"/>
  <sheetData>
    <row r="1" spans="1:9" x14ac:dyDescent="0.2">
      <c r="A1" t="s">
        <v>56</v>
      </c>
    </row>
    <row r="2" spans="1:9" ht="17" thickBot="1" x14ac:dyDescent="0.25"/>
    <row r="3" spans="1:9" x14ac:dyDescent="0.2">
      <c r="A3" s="18" t="s">
        <v>57</v>
      </c>
      <c r="B3" s="18"/>
    </row>
    <row r="4" spans="1:9" x14ac:dyDescent="0.2">
      <c r="A4" t="s">
        <v>58</v>
      </c>
      <c r="B4">
        <v>0.83471434609018391</v>
      </c>
    </row>
    <row r="5" spans="1:9" x14ac:dyDescent="0.2">
      <c r="A5" t="s">
        <v>59</v>
      </c>
      <c r="B5">
        <v>0.6967480395687633</v>
      </c>
    </row>
    <row r="6" spans="1:9" x14ac:dyDescent="0.2">
      <c r="A6" t="s">
        <v>60</v>
      </c>
      <c r="B6">
        <v>0.68916674055798244</v>
      </c>
    </row>
    <row r="7" spans="1:9" x14ac:dyDescent="0.2">
      <c r="A7" t="s">
        <v>61</v>
      </c>
      <c r="B7">
        <v>9.4771760504344826E-2</v>
      </c>
    </row>
    <row r="8" spans="1:9" ht="17" thickBot="1" x14ac:dyDescent="0.25">
      <c r="A8" s="5" t="s">
        <v>62</v>
      </c>
      <c r="B8" s="5">
        <v>42</v>
      </c>
    </row>
    <row r="10" spans="1:9" ht="17" thickBot="1" x14ac:dyDescent="0.25">
      <c r="A10" t="s">
        <v>63</v>
      </c>
    </row>
    <row r="11" spans="1:9" x14ac:dyDescent="0.2">
      <c r="A11" s="17"/>
      <c r="B11" s="17" t="s">
        <v>68</v>
      </c>
      <c r="C11" s="17" t="s">
        <v>69</v>
      </c>
      <c r="D11" s="17" t="s">
        <v>70</v>
      </c>
      <c r="E11" s="17" t="s">
        <v>71</v>
      </c>
      <c r="F11" s="17" t="s">
        <v>72</v>
      </c>
    </row>
    <row r="12" spans="1:9" x14ac:dyDescent="0.2">
      <c r="A12" t="s">
        <v>64</v>
      </c>
      <c r="B12">
        <v>1</v>
      </c>
      <c r="C12">
        <v>0.82544858263371967</v>
      </c>
      <c r="D12">
        <v>0.82544858263371967</v>
      </c>
      <c r="E12">
        <v>91.903516610802356</v>
      </c>
      <c r="F12">
        <v>6.4318424119417451E-12</v>
      </c>
    </row>
    <row r="13" spans="1:9" x14ac:dyDescent="0.2">
      <c r="A13" t="s">
        <v>65</v>
      </c>
      <c r="B13">
        <v>40</v>
      </c>
      <c r="C13">
        <v>0.35926746356371581</v>
      </c>
      <c r="D13">
        <v>8.9816865890928951E-3</v>
      </c>
    </row>
    <row r="14" spans="1:9" ht="17" thickBot="1" x14ac:dyDescent="0.25">
      <c r="A14" s="5" t="s">
        <v>66</v>
      </c>
      <c r="B14" s="5">
        <v>41</v>
      </c>
      <c r="C14" s="5">
        <v>1.1847160461974355</v>
      </c>
      <c r="D14" s="5"/>
      <c r="E14" s="5"/>
      <c r="F14" s="5"/>
    </row>
    <row r="15" spans="1:9" ht="17" thickBot="1" x14ac:dyDescent="0.25"/>
    <row r="16" spans="1:9" x14ac:dyDescent="0.2">
      <c r="A16" s="17"/>
      <c r="B16" s="17" t="s">
        <v>73</v>
      </c>
      <c r="C16" s="17" t="s">
        <v>61</v>
      </c>
      <c r="D16" s="17" t="s">
        <v>74</v>
      </c>
      <c r="E16" s="17" t="s">
        <v>75</v>
      </c>
      <c r="F16" s="17" t="s">
        <v>76</v>
      </c>
      <c r="G16" s="17" t="s">
        <v>77</v>
      </c>
      <c r="H16" s="17" t="s">
        <v>78</v>
      </c>
      <c r="I16" s="17" t="s">
        <v>79</v>
      </c>
    </row>
    <row r="17" spans="1:9" x14ac:dyDescent="0.2">
      <c r="A17" t="s">
        <v>67</v>
      </c>
      <c r="B17">
        <v>11.722241207979488</v>
      </c>
      <c r="C17">
        <v>4.9532382935629587E-2</v>
      </c>
      <c r="D17">
        <v>236.65813177640311</v>
      </c>
      <c r="E17">
        <v>1.4739576275715021E-64</v>
      </c>
      <c r="F17">
        <v>11.622132527805061</v>
      </c>
      <c r="G17">
        <v>11.822349888153916</v>
      </c>
      <c r="H17">
        <v>11.622132527805061</v>
      </c>
      <c r="I17">
        <v>11.822349888153916</v>
      </c>
    </row>
    <row r="18" spans="1:9" ht="17" thickBot="1" x14ac:dyDescent="0.25">
      <c r="A18" s="5" t="s">
        <v>80</v>
      </c>
      <c r="B18" s="5">
        <v>0.16179298119800156</v>
      </c>
      <c r="C18" s="5">
        <v>1.6876936353736327E-2</v>
      </c>
      <c r="D18" s="5">
        <v>9.5866321829306873</v>
      </c>
      <c r="E18" s="5">
        <v>6.4318424119416773E-12</v>
      </c>
      <c r="F18" s="5">
        <v>0.12768342046969977</v>
      </c>
      <c r="G18" s="5">
        <v>0.19590254192630335</v>
      </c>
      <c r="H18" s="5">
        <v>0.12768342046969977</v>
      </c>
      <c r="I18" s="5">
        <v>0.19590254192630335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29CAE-7131-CA48-8130-D8EA89637966}">
  <dimension ref="A1:BF43"/>
  <sheetViews>
    <sheetView zoomScaleNormal="100" workbookViewId="0">
      <selection activeCell="L8" sqref="L8"/>
    </sheetView>
  </sheetViews>
  <sheetFormatPr baseColWidth="10" defaultRowHeight="16" x14ac:dyDescent="0.2"/>
  <cols>
    <col min="14" max="14" width="13.5" customWidth="1"/>
    <col min="17" max="17" width="13.6640625" bestFit="1" customWidth="1"/>
    <col min="19" max="19" width="12.1640625" bestFit="1" customWidth="1"/>
    <col min="21" max="21" width="12.1640625" bestFit="1" customWidth="1"/>
    <col min="22" max="22" width="11.1640625" bestFit="1" customWidth="1"/>
    <col min="25" max="25" width="11.1640625" bestFit="1" customWidth="1"/>
  </cols>
  <sheetData>
    <row r="1" spans="1:58" x14ac:dyDescent="0.2">
      <c r="A1" s="3" t="s">
        <v>81</v>
      </c>
      <c r="B1" s="3"/>
      <c r="C1" s="3" t="s">
        <v>82</v>
      </c>
      <c r="E1" s="3"/>
      <c r="G1" s="3"/>
      <c r="J1" s="3"/>
      <c r="K1" s="3"/>
      <c r="L1" s="3"/>
      <c r="N1" s="3"/>
      <c r="Q1" s="3"/>
    </row>
    <row r="2" spans="1:58" x14ac:dyDescent="0.2">
      <c r="A2">
        <v>150816</v>
      </c>
      <c r="C2">
        <v>1</v>
      </c>
      <c r="E2">
        <f>LN(A2)</f>
        <v>11.923815829723457</v>
      </c>
      <c r="G2">
        <v>1</v>
      </c>
      <c r="H2">
        <f>C2</f>
        <v>1</v>
      </c>
      <c r="J2" s="1">
        <f>EXP($V$27+$V$28*C2)</f>
        <v>147347.0178152452</v>
      </c>
      <c r="K2" s="1"/>
      <c r="L2" s="1">
        <f>LN(J2)</f>
        <v>11.900545749177493</v>
      </c>
      <c r="M2" s="1"/>
      <c r="N2" s="1">
        <f>(L2-E2)^2</f>
        <v>5.4149664861568431E-4</v>
      </c>
      <c r="O2" s="1"/>
      <c r="Q2" cm="1">
        <f t="array" ref="Q2:BF3">TRANSPOSE(G2:H43)</f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</row>
    <row r="3" spans="1:58" x14ac:dyDescent="0.2">
      <c r="A3">
        <v>159663</v>
      </c>
      <c r="C3">
        <v>2</v>
      </c>
      <c r="E3">
        <f t="shared" ref="E3:E43" si="0">LN(A3)</f>
        <v>11.98082062295186</v>
      </c>
      <c r="G3">
        <v>1</v>
      </c>
      <c r="H3">
        <f t="shared" ref="H3:H43" si="1">C3</f>
        <v>2</v>
      </c>
      <c r="J3" s="1">
        <f t="shared" ref="J3:J43" si="2">EXP($V$27+$V$28*C3)</f>
        <v>149339.69450248897</v>
      </c>
      <c r="K3" s="1"/>
      <c r="L3" s="1">
        <f t="shared" ref="L3:L42" si="3">LN(J3)</f>
        <v>11.913978818936663</v>
      </c>
      <c r="M3" s="1"/>
      <c r="N3" s="1">
        <f t="shared" ref="N3:N43" si="4">(L3-E3)^2</f>
        <v>4.4678267640060965E-3</v>
      </c>
      <c r="O3" s="1"/>
      <c r="Q3">
        <v>1</v>
      </c>
      <c r="R3">
        <v>2</v>
      </c>
      <c r="S3">
        <v>3</v>
      </c>
      <c r="T3">
        <v>4</v>
      </c>
      <c r="U3">
        <v>5</v>
      </c>
      <c r="V3">
        <v>6</v>
      </c>
      <c r="W3">
        <v>7</v>
      </c>
      <c r="X3">
        <v>8</v>
      </c>
      <c r="Y3">
        <v>9</v>
      </c>
      <c r="Z3">
        <v>10</v>
      </c>
      <c r="AA3">
        <v>11</v>
      </c>
      <c r="AB3">
        <v>12</v>
      </c>
      <c r="AC3">
        <v>13</v>
      </c>
      <c r="AD3">
        <v>14</v>
      </c>
      <c r="AE3">
        <v>15</v>
      </c>
      <c r="AF3">
        <v>16</v>
      </c>
      <c r="AG3">
        <v>17</v>
      </c>
      <c r="AH3">
        <v>18</v>
      </c>
      <c r="AI3">
        <v>19</v>
      </c>
      <c r="AJ3">
        <v>20</v>
      </c>
      <c r="AK3">
        <v>21</v>
      </c>
      <c r="AL3">
        <v>22</v>
      </c>
      <c r="AM3">
        <v>23</v>
      </c>
      <c r="AN3">
        <v>24</v>
      </c>
      <c r="AO3">
        <v>25</v>
      </c>
      <c r="AP3">
        <v>26</v>
      </c>
      <c r="AQ3">
        <v>27</v>
      </c>
      <c r="AR3">
        <v>28</v>
      </c>
      <c r="AS3">
        <v>29</v>
      </c>
      <c r="AT3">
        <v>30</v>
      </c>
      <c r="AU3">
        <v>31</v>
      </c>
      <c r="AV3">
        <v>32</v>
      </c>
      <c r="AW3">
        <v>33</v>
      </c>
      <c r="AX3">
        <v>34</v>
      </c>
      <c r="AY3">
        <v>35</v>
      </c>
      <c r="AZ3">
        <v>36</v>
      </c>
      <c r="BA3">
        <v>37</v>
      </c>
      <c r="BB3">
        <v>38</v>
      </c>
      <c r="BC3">
        <v>39</v>
      </c>
      <c r="BD3">
        <v>40</v>
      </c>
      <c r="BE3">
        <v>41</v>
      </c>
      <c r="BF3">
        <v>42</v>
      </c>
    </row>
    <row r="4" spans="1:58" x14ac:dyDescent="0.2">
      <c r="A4">
        <v>155573</v>
      </c>
      <c r="C4">
        <v>3</v>
      </c>
      <c r="E4">
        <f t="shared" si="0"/>
        <v>11.954870353818871</v>
      </c>
      <c r="G4">
        <v>1</v>
      </c>
      <c r="H4">
        <f t="shared" si="1"/>
        <v>3</v>
      </c>
      <c r="J4" s="1">
        <f t="shared" si="2"/>
        <v>151359.31954904669</v>
      </c>
      <c r="K4" s="1"/>
      <c r="L4" s="1">
        <f t="shared" si="3"/>
        <v>11.927411888695834</v>
      </c>
      <c r="M4" s="1"/>
      <c r="N4" s="1">
        <f t="shared" si="4"/>
        <v>7.5396730691300036E-4</v>
      </c>
      <c r="O4" s="1"/>
    </row>
    <row r="5" spans="1:58" x14ac:dyDescent="0.2">
      <c r="A5">
        <v>161574</v>
      </c>
      <c r="C5">
        <v>4</v>
      </c>
      <c r="E5">
        <f t="shared" si="0"/>
        <v>11.992718521035663</v>
      </c>
      <c r="G5">
        <v>1</v>
      </c>
      <c r="H5">
        <f t="shared" si="1"/>
        <v>4</v>
      </c>
      <c r="J5" s="1">
        <f t="shared" si="2"/>
        <v>153406.25739641217</v>
      </c>
      <c r="K5" s="1"/>
      <c r="L5" s="1">
        <f t="shared" si="3"/>
        <v>11.940844958455004</v>
      </c>
      <c r="M5" s="1"/>
      <c r="N5" s="1">
        <f t="shared" si="4"/>
        <v>2.6908664948094539E-3</v>
      </c>
      <c r="O5" s="1"/>
      <c r="Q5" s="3"/>
      <c r="T5" s="3"/>
    </row>
    <row r="6" spans="1:58" x14ac:dyDescent="0.2">
      <c r="A6">
        <v>154922</v>
      </c>
      <c r="C6">
        <v>5</v>
      </c>
      <c r="E6">
        <f t="shared" si="0"/>
        <v>11.950677043434332</v>
      </c>
      <c r="G6">
        <v>1</v>
      </c>
      <c r="H6">
        <f t="shared" si="1"/>
        <v>5</v>
      </c>
      <c r="J6" s="1">
        <f t="shared" si="2"/>
        <v>155480.87741467712</v>
      </c>
      <c r="K6" s="1"/>
      <c r="L6" s="1">
        <f t="shared" si="3"/>
        <v>11.954278028214175</v>
      </c>
      <c r="M6" s="1"/>
      <c r="N6" s="1">
        <f t="shared" si="4"/>
        <v>1.2967091384654922E-5</v>
      </c>
      <c r="O6" s="1"/>
      <c r="Q6" cm="1">
        <f t="array" ref="Q6:R7">MMULT(_xlfn.ANCHORARRAY(Q2),G2:H43)</f>
        <v>42</v>
      </c>
      <c r="R6">
        <v>903</v>
      </c>
      <c r="T6" cm="1">
        <f t="array" ref="T6:U7">MINVERSE(_xlfn.ANCHORARRAY(Q6))</f>
        <v>9.8722415795586521E-2</v>
      </c>
      <c r="U6">
        <v>-3.4843205574912892E-3</v>
      </c>
    </row>
    <row r="7" spans="1:58" x14ac:dyDescent="0.2">
      <c r="A7">
        <v>164049</v>
      </c>
      <c r="C7">
        <v>6</v>
      </c>
      <c r="E7">
        <f t="shared" si="0"/>
        <v>12.007920442668139</v>
      </c>
      <c r="G7">
        <v>1</v>
      </c>
      <c r="H7">
        <f t="shared" si="1"/>
        <v>6</v>
      </c>
      <c r="J7" s="1">
        <f t="shared" si="2"/>
        <v>157583.55396918298</v>
      </c>
      <c r="K7" s="1"/>
      <c r="L7" s="1">
        <f t="shared" si="3"/>
        <v>11.967711097973346</v>
      </c>
      <c r="M7" s="1"/>
      <c r="N7" s="1">
        <f t="shared" si="4"/>
        <v>1.6167914007846496E-3</v>
      </c>
      <c r="O7" s="1"/>
      <c r="Q7">
        <v>903</v>
      </c>
      <c r="R7">
        <v>25585</v>
      </c>
      <c r="T7">
        <v>-3.4843205574912892E-3</v>
      </c>
      <c r="U7">
        <v>1.6206142127866461E-4</v>
      </c>
    </row>
    <row r="8" spans="1:58" x14ac:dyDescent="0.2">
      <c r="A8">
        <v>159126</v>
      </c>
      <c r="C8">
        <v>7</v>
      </c>
      <c r="E8">
        <f t="shared" si="0"/>
        <v>11.977451620207596</v>
      </c>
      <c r="G8">
        <v>1</v>
      </c>
      <c r="H8">
        <f t="shared" si="1"/>
        <v>7</v>
      </c>
      <c r="J8" s="1">
        <f t="shared" si="2"/>
        <v>159714.66648807455</v>
      </c>
      <c r="K8" s="1"/>
      <c r="L8" s="1">
        <f t="shared" si="3"/>
        <v>11.981144167732516</v>
      </c>
      <c r="M8" s="1"/>
      <c r="N8" s="1">
        <f t="shared" si="4"/>
        <v>1.3634907223796821E-5</v>
      </c>
      <c r="O8" s="1"/>
    </row>
    <row r="9" spans="1:58" x14ac:dyDescent="0.2">
      <c r="A9">
        <v>166215</v>
      </c>
      <c r="C9">
        <v>8</v>
      </c>
      <c r="E9">
        <f t="shared" si="0"/>
        <v>12.021037410038536</v>
      </c>
      <c r="G9">
        <v>1</v>
      </c>
      <c r="H9">
        <f t="shared" si="1"/>
        <v>8</v>
      </c>
      <c r="J9" s="1">
        <f t="shared" si="2"/>
        <v>161874.59953076942</v>
      </c>
      <c r="K9" s="1"/>
      <c r="L9" s="1">
        <f t="shared" si="3"/>
        <v>11.994577237491686</v>
      </c>
      <c r="M9" s="1"/>
      <c r="N9" s="1">
        <f t="shared" si="4"/>
        <v>7.0014073120906631E-4</v>
      </c>
      <c r="O9" s="1"/>
      <c r="Q9" s="3"/>
      <c r="S9" s="3"/>
    </row>
    <row r="10" spans="1:58" x14ac:dyDescent="0.2">
      <c r="A10">
        <v>161419</v>
      </c>
      <c r="C10">
        <v>9</v>
      </c>
      <c r="E10">
        <f t="shared" si="0"/>
        <v>11.99175874783997</v>
      </c>
      <c r="G10">
        <v>1</v>
      </c>
      <c r="H10">
        <f t="shared" si="1"/>
        <v>9</v>
      </c>
      <c r="J10" s="1">
        <f t="shared" si="2"/>
        <v>164063.74285735062</v>
      </c>
      <c r="K10" s="1"/>
      <c r="L10" s="1">
        <f t="shared" si="3"/>
        <v>12.008010307250856</v>
      </c>
      <c r="M10" s="1"/>
      <c r="N10" s="1">
        <f t="shared" si="4"/>
        <v>2.641131832855597E-4</v>
      </c>
      <c r="O10" s="1"/>
      <c r="Q10" cm="1">
        <f t="array" ref="Q10:Q11">MMULT(_xlfn.ANCHORARRAY(Q2),E2:E43)</f>
        <v>511.38879452810079</v>
      </c>
      <c r="S10" cm="1">
        <f t="array" ref="S10:S11">MMULT(_xlfn.ANCHORARRAY(T6),_xlfn.ANCHORARRAY(Q10))</f>
        <v>11.887112679418323</v>
      </c>
      <c r="T10" s="14"/>
    </row>
    <row r="11" spans="1:58" x14ac:dyDescent="0.2">
      <c r="A11">
        <v>171164</v>
      </c>
      <c r="C11">
        <v>10</v>
      </c>
      <c r="E11">
        <f t="shared" si="0"/>
        <v>12.050377440203929</v>
      </c>
      <c r="G11">
        <v>1</v>
      </c>
      <c r="H11">
        <f t="shared" si="1"/>
        <v>10</v>
      </c>
      <c r="J11" s="1">
        <f t="shared" si="2"/>
        <v>166282.49149889912</v>
      </c>
      <c r="K11" s="1"/>
      <c r="L11" s="1">
        <f t="shared" si="3"/>
        <v>12.021443377010026</v>
      </c>
      <c r="M11" s="1"/>
      <c r="N11" s="1">
        <f t="shared" si="4"/>
        <v>8.3718001290877309E-4</v>
      </c>
      <c r="O11" s="1"/>
      <c r="Q11">
        <v>11077.747839303129</v>
      </c>
      <c r="S11">
        <v>1.3433069759170468E-2</v>
      </c>
    </row>
    <row r="12" spans="1:58" x14ac:dyDescent="0.2">
      <c r="A12">
        <v>166103</v>
      </c>
      <c r="C12">
        <v>11</v>
      </c>
      <c r="E12">
        <f t="shared" si="0"/>
        <v>12.020363356847071</v>
      </c>
      <c r="G12">
        <v>1</v>
      </c>
      <c r="H12">
        <f t="shared" si="1"/>
        <v>11</v>
      </c>
      <c r="J12" s="1">
        <f t="shared" si="2"/>
        <v>168531.24582877758</v>
      </c>
      <c r="K12" s="1"/>
      <c r="L12" s="1">
        <f t="shared" si="3"/>
        <v>12.034876446769198</v>
      </c>
      <c r="M12" s="1"/>
      <c r="N12" s="1">
        <f t="shared" si="4"/>
        <v>2.1062977908775939E-4</v>
      </c>
      <c r="O12" s="1"/>
    </row>
    <row r="13" spans="1:58" x14ac:dyDescent="0.2">
      <c r="A13">
        <v>173248</v>
      </c>
      <c r="C13">
        <v>12</v>
      </c>
      <c r="E13">
        <f t="shared" si="0"/>
        <v>12.062479372973973</v>
      </c>
      <c r="G13">
        <v>1</v>
      </c>
      <c r="H13">
        <f t="shared" si="1"/>
        <v>12</v>
      </c>
      <c r="J13" s="1">
        <f t="shared" si="2"/>
        <v>170810.41163487648</v>
      </c>
      <c r="K13" s="1"/>
      <c r="L13" s="1">
        <f t="shared" si="3"/>
        <v>12.048309516528368</v>
      </c>
      <c r="M13" s="1"/>
      <c r="N13" s="1">
        <f t="shared" si="4"/>
        <v>2.0078483168905293E-4</v>
      </c>
      <c r="O13" s="1"/>
    </row>
    <row r="14" spans="1:58" x14ac:dyDescent="0.2">
      <c r="A14">
        <v>170056</v>
      </c>
      <c r="C14">
        <v>13</v>
      </c>
      <c r="E14">
        <f t="shared" si="0"/>
        <v>12.043883073552962</v>
      </c>
      <c r="G14">
        <v>1</v>
      </c>
      <c r="H14">
        <f t="shared" si="1"/>
        <v>13</v>
      </c>
      <c r="J14" s="1">
        <f t="shared" si="2"/>
        <v>173120.40019284043</v>
      </c>
      <c r="K14" s="1"/>
      <c r="L14" s="1">
        <f t="shared" si="3"/>
        <v>12.061742586287538</v>
      </c>
      <c r="M14" s="1"/>
      <c r="N14" s="1">
        <f t="shared" si="4"/>
        <v>3.1896219511648943E-4</v>
      </c>
      <c r="O14" s="1"/>
    </row>
    <row r="15" spans="1:58" x14ac:dyDescent="0.2">
      <c r="A15">
        <v>179008</v>
      </c>
      <c r="C15">
        <v>14</v>
      </c>
      <c r="E15">
        <f t="shared" si="0"/>
        <v>12.095185776561632</v>
      </c>
      <c r="G15">
        <v>1</v>
      </c>
      <c r="H15">
        <f t="shared" si="1"/>
        <v>14</v>
      </c>
      <c r="J15" s="1">
        <f t="shared" si="2"/>
        <v>175461.62834028204</v>
      </c>
      <c r="K15" s="1"/>
      <c r="L15" s="1">
        <f t="shared" si="3"/>
        <v>12.07517565604671</v>
      </c>
      <c r="M15" s="1"/>
      <c r="N15" s="1">
        <f t="shared" si="4"/>
        <v>4.004049230216895E-4</v>
      </c>
      <c r="O15" s="1"/>
      <c r="Q15" s="3"/>
      <c r="S15" s="3"/>
      <c r="V15" s="3"/>
    </row>
    <row r="16" spans="1:58" x14ac:dyDescent="0.2">
      <c r="A16">
        <v>173652</v>
      </c>
      <c r="C16">
        <v>15</v>
      </c>
      <c r="E16">
        <f t="shared" si="0"/>
        <v>12.064808575525992</v>
      </c>
      <c r="G16">
        <v>1</v>
      </c>
      <c r="H16">
        <f t="shared" si="1"/>
        <v>15</v>
      </c>
      <c r="J16" s="1">
        <f t="shared" si="2"/>
        <v>177834.51855199921</v>
      </c>
      <c r="K16" s="1"/>
      <c r="L16" s="1">
        <f t="shared" si="3"/>
        <v>12.08860872580588</v>
      </c>
      <c r="M16" s="1"/>
      <c r="N16" s="1">
        <f t="shared" si="4"/>
        <v>5.6644715334523807E-4</v>
      </c>
      <c r="O16" s="1"/>
      <c r="Q16" s="1">
        <f>SUM(N2:N43)</f>
        <v>7.1265591851053509E-2</v>
      </c>
      <c r="S16">
        <f>Q16/(COUNT(J2:J43)-2)</f>
        <v>1.7816397962763376E-3</v>
      </c>
    </row>
    <row r="17" spans="1:27" x14ac:dyDescent="0.2">
      <c r="A17">
        <v>180841</v>
      </c>
      <c r="C17">
        <v>16</v>
      </c>
      <c r="E17">
        <f t="shared" si="0"/>
        <v>12.105373471143308</v>
      </c>
      <c r="G17">
        <v>1</v>
      </c>
      <c r="H17">
        <f t="shared" si="1"/>
        <v>16</v>
      </c>
      <c r="J17" s="1">
        <f t="shared" si="2"/>
        <v>180239.49901621274</v>
      </c>
      <c r="K17" s="1"/>
      <c r="L17" s="1">
        <f t="shared" si="3"/>
        <v>12.10204179556505</v>
      </c>
      <c r="M17" s="1"/>
      <c r="N17" s="1">
        <f t="shared" si="4"/>
        <v>1.1100062158757656E-5</v>
      </c>
      <c r="O17" s="1"/>
    </row>
    <row r="18" spans="1:27" x14ac:dyDescent="0.2">
      <c r="A18">
        <v>178780</v>
      </c>
      <c r="C18">
        <v>17</v>
      </c>
      <c r="E18">
        <f t="shared" si="0"/>
        <v>12.093911278641844</v>
      </c>
      <c r="G18">
        <v>1</v>
      </c>
      <c r="H18">
        <f t="shared" si="1"/>
        <v>17</v>
      </c>
      <c r="J18" s="1">
        <f t="shared" si="2"/>
        <v>182677.00371183164</v>
      </c>
      <c r="K18" s="1"/>
      <c r="L18" s="1">
        <f t="shared" si="3"/>
        <v>12.11547486532422</v>
      </c>
      <c r="M18" s="1"/>
      <c r="N18" s="1">
        <f t="shared" si="4"/>
        <v>4.6498827060834411E-4</v>
      </c>
      <c r="O18" s="1"/>
      <c r="Q18" s="3"/>
    </row>
    <row r="19" spans="1:27" x14ac:dyDescent="0.2">
      <c r="A19">
        <v>188735</v>
      </c>
      <c r="C19">
        <v>18</v>
      </c>
      <c r="E19">
        <f t="shared" si="0"/>
        <v>12.148099193754673</v>
      </c>
      <c r="G19">
        <v>1</v>
      </c>
      <c r="H19">
        <f t="shared" si="1"/>
        <v>18</v>
      </c>
      <c r="J19" s="1">
        <f t="shared" si="2"/>
        <v>185147.47248676495</v>
      </c>
      <c r="K19" s="1"/>
      <c r="L19" s="1">
        <f t="shared" si="3"/>
        <v>12.12890793508339</v>
      </c>
      <c r="M19" s="1"/>
      <c r="N19" s="1">
        <f t="shared" si="4"/>
        <v>3.6830440938808709E-4</v>
      </c>
      <c r="O19" s="1"/>
    </row>
    <row r="20" spans="1:27" x14ac:dyDescent="0.2">
      <c r="A20">
        <v>182497</v>
      </c>
      <c r="C20">
        <v>19</v>
      </c>
      <c r="E20">
        <f t="shared" si="0"/>
        <v>12.114489013513408</v>
      </c>
      <c r="G20">
        <v>1</v>
      </c>
      <c r="H20">
        <f t="shared" si="1"/>
        <v>19</v>
      </c>
      <c r="J20" s="1">
        <f t="shared" si="2"/>
        <v>187651.35113729278</v>
      </c>
      <c r="K20" s="1"/>
      <c r="L20" s="1">
        <f t="shared" si="3"/>
        <v>12.142341004842562</v>
      </c>
      <c r="M20" s="1"/>
      <c r="N20" s="1">
        <f t="shared" si="4"/>
        <v>7.7573342099926661E-4</v>
      </c>
      <c r="O20" s="1"/>
    </row>
    <row r="21" spans="1:27" x14ac:dyDescent="0.2">
      <c r="A21">
        <v>189496</v>
      </c>
      <c r="C21">
        <v>20</v>
      </c>
      <c r="E21">
        <f t="shared" si="0"/>
        <v>12.152123195102417</v>
      </c>
      <c r="G21">
        <v>1</v>
      </c>
      <c r="H21">
        <f t="shared" si="1"/>
        <v>20</v>
      </c>
      <c r="J21" s="1">
        <f t="shared" si="2"/>
        <v>190189.09148850865</v>
      </c>
      <c r="K21" s="1"/>
      <c r="L21" s="1">
        <f t="shared" si="3"/>
        <v>12.155774074601732</v>
      </c>
      <c r="M21" s="1"/>
      <c r="N21" s="1">
        <f t="shared" si="4"/>
        <v>1.3328921118515923E-5</v>
      </c>
      <c r="O21" s="1"/>
      <c r="Q21" s="13">
        <f>$S$16*T6</f>
        <v>1.7588778476595668E-4</v>
      </c>
      <c r="R21" s="13">
        <f>$S$16*U6</f>
        <v>-6.2078041682102352E-6</v>
      </c>
      <c r="S21" s="3"/>
      <c r="T21" s="3"/>
      <c r="U21" s="3"/>
    </row>
    <row r="22" spans="1:27" x14ac:dyDescent="0.2">
      <c r="A22">
        <v>182537</v>
      </c>
      <c r="C22">
        <v>21</v>
      </c>
      <c r="E22">
        <f t="shared" si="0"/>
        <v>12.114708171181789</v>
      </c>
      <c r="G22">
        <v>1</v>
      </c>
      <c r="H22">
        <f t="shared" si="1"/>
        <v>21</v>
      </c>
      <c r="J22" s="1">
        <f t="shared" si="2"/>
        <v>192761.15147585381</v>
      </c>
      <c r="K22" s="1"/>
      <c r="L22" s="1">
        <f t="shared" si="3"/>
        <v>12.169207144360902</v>
      </c>
      <c r="M22" s="1"/>
      <c r="N22" s="1">
        <f t="shared" si="4"/>
        <v>2.9701380775776789E-3</v>
      </c>
      <c r="O22" s="1"/>
      <c r="Q22" s="13">
        <f>$S$16*T7</f>
        <v>-6.2078041682102352E-6</v>
      </c>
      <c r="R22" s="13">
        <f>$S$16*U7</f>
        <v>2.8873507759117374E-7</v>
      </c>
    </row>
    <row r="23" spans="1:27" x14ac:dyDescent="0.2">
      <c r="A23">
        <v>175396</v>
      </c>
      <c r="C23">
        <v>22</v>
      </c>
      <c r="E23">
        <f t="shared" si="0"/>
        <v>12.074801553643077</v>
      </c>
      <c r="G23">
        <v>1</v>
      </c>
      <c r="H23">
        <f t="shared" si="1"/>
        <v>22</v>
      </c>
      <c r="J23" s="1">
        <f t="shared" si="2"/>
        <v>195367.99522775027</v>
      </c>
      <c r="K23" s="1"/>
      <c r="L23" s="1">
        <f t="shared" si="3"/>
        <v>12.182640214120074</v>
      </c>
      <c r="M23" s="1"/>
      <c r="N23" s="1">
        <f t="shared" si="4"/>
        <v>1.162917669347298E-2</v>
      </c>
      <c r="O23" s="1"/>
    </row>
    <row r="24" spans="1:27" x14ac:dyDescent="0.2">
      <c r="A24">
        <v>179815</v>
      </c>
      <c r="C24">
        <v>23</v>
      </c>
      <c r="E24">
        <f t="shared" si="0"/>
        <v>12.099683823568821</v>
      </c>
      <c r="G24">
        <v>1</v>
      </c>
      <c r="H24">
        <f t="shared" si="1"/>
        <v>23</v>
      </c>
      <c r="J24" s="1">
        <f t="shared" si="2"/>
        <v>198010.09314935209</v>
      </c>
      <c r="K24" s="1"/>
      <c r="L24" s="1">
        <f t="shared" si="3"/>
        <v>12.196073283879244</v>
      </c>
      <c r="M24" s="1"/>
      <c r="N24" s="1">
        <f t="shared" si="4"/>
        <v>9.2909280589346006E-3</v>
      </c>
      <c r="O24" s="1"/>
      <c r="Q24" s="3"/>
    </row>
    <row r="25" spans="1:27" ht="17" thickBot="1" x14ac:dyDescent="0.25">
      <c r="A25">
        <v>188401</v>
      </c>
      <c r="C25">
        <v>24</v>
      </c>
      <c r="E25">
        <f t="shared" si="0"/>
        <v>12.14632794896594</v>
      </c>
      <c r="G25">
        <v>1</v>
      </c>
      <c r="H25">
        <f t="shared" si="1"/>
        <v>24</v>
      </c>
      <c r="J25" s="1">
        <f t="shared" si="2"/>
        <v>200687.92200743203</v>
      </c>
      <c r="K25" s="1"/>
      <c r="L25" s="1">
        <f t="shared" si="3"/>
        <v>12.209506353638414</v>
      </c>
      <c r="M25" s="1"/>
      <c r="N25" s="1">
        <f t="shared" si="4"/>
        <v>3.9915108169588757E-3</v>
      </c>
      <c r="O25" s="1"/>
    </row>
    <row r="26" spans="1:27" x14ac:dyDescent="0.2">
      <c r="A26">
        <v>183940</v>
      </c>
      <c r="C26">
        <v>25</v>
      </c>
      <c r="E26">
        <f t="shared" si="0"/>
        <v>12.122364896456689</v>
      </c>
      <c r="G26">
        <v>1</v>
      </c>
      <c r="H26">
        <f t="shared" si="1"/>
        <v>25</v>
      </c>
      <c r="J26" s="1">
        <f t="shared" si="2"/>
        <v>203401.96501641261</v>
      </c>
      <c r="K26" s="1"/>
      <c r="L26" s="1">
        <f t="shared" si="3"/>
        <v>12.222939423397584</v>
      </c>
      <c r="M26" s="1"/>
      <c r="N26" s="1">
        <f t="shared" si="4"/>
        <v>1.0115235469384696E-2</v>
      </c>
      <c r="O26" s="1"/>
      <c r="U26" s="8"/>
      <c r="V26" s="9"/>
      <c r="W26" s="9"/>
      <c r="X26" s="9"/>
      <c r="Y26" s="10"/>
      <c r="AA26" s="13" t="s">
        <v>85</v>
      </c>
    </row>
    <row r="27" spans="1:27" x14ac:dyDescent="0.2">
      <c r="A27">
        <v>201433</v>
      </c>
      <c r="C27">
        <v>26</v>
      </c>
      <c r="E27">
        <f t="shared" si="0"/>
        <v>12.213212098872956</v>
      </c>
      <c r="G27">
        <v>1</v>
      </c>
      <c r="H27">
        <f t="shared" si="1"/>
        <v>26</v>
      </c>
      <c r="J27" s="1">
        <f t="shared" si="2"/>
        <v>206152.71192556276</v>
      </c>
      <c r="K27" s="1"/>
      <c r="L27" s="1">
        <f t="shared" si="3"/>
        <v>12.236372493156754</v>
      </c>
      <c r="M27" s="1"/>
      <c r="N27" s="1">
        <f t="shared" si="4"/>
        <v>5.3640386338095795E-4</v>
      </c>
      <c r="O27" s="1"/>
      <c r="Q27">
        <f>SQRT(Q21)</f>
        <v>1.3262269216312746E-2</v>
      </c>
      <c r="R27" t="e">
        <f>SQRT(R21)</f>
        <v>#NUM!</v>
      </c>
      <c r="U27" s="6">
        <v>0</v>
      </c>
      <c r="V27">
        <f>S10</f>
        <v>11.887112679418323</v>
      </c>
      <c r="W27">
        <f>Q27</f>
        <v>1.3262269216312746E-2</v>
      </c>
      <c r="X27">
        <f>V27/W27</f>
        <v>896.31061513945406</v>
      </c>
      <c r="Y27" s="11">
        <f>_xlfn.T.DIST.2T(X27,40)</f>
        <v>1.0980751817544819E-87</v>
      </c>
      <c r="AA27" s="16" t="s">
        <v>84</v>
      </c>
    </row>
    <row r="28" spans="1:27" ht="17" thickBot="1" x14ac:dyDescent="0.25">
      <c r="A28">
        <v>198942</v>
      </c>
      <c r="C28">
        <v>27</v>
      </c>
      <c r="E28">
        <f t="shared" si="0"/>
        <v>12.200768603938268</v>
      </c>
      <c r="G28">
        <v>1</v>
      </c>
      <c r="H28">
        <f t="shared" si="1"/>
        <v>27</v>
      </c>
      <c r="J28" s="1">
        <f t="shared" si="2"/>
        <v>208940.6591073733</v>
      </c>
      <c r="K28" s="1"/>
      <c r="L28" s="1">
        <f t="shared" si="3"/>
        <v>12.249805562915926</v>
      </c>
      <c r="M28" s="1"/>
      <c r="N28" s="1">
        <f t="shared" si="4"/>
        <v>2.4046233457764511E-3</v>
      </c>
      <c r="O28" s="1"/>
      <c r="Q28" t="e">
        <f>SQRT(Q22)</f>
        <v>#NUM!</v>
      </c>
      <c r="R28">
        <f>SQRT(R22)</f>
        <v>5.3734074625992557E-4</v>
      </c>
      <c r="U28" s="7">
        <v>1</v>
      </c>
      <c r="V28" s="5">
        <f>S11</f>
        <v>1.3433069759170468E-2</v>
      </c>
      <c r="W28" s="5">
        <f>R28</f>
        <v>5.3734074625992557E-4</v>
      </c>
      <c r="X28" s="5">
        <f>V28/W28</f>
        <v>24.999164594662147</v>
      </c>
      <c r="Y28" s="12">
        <f>_xlfn.T.DIST.2T(X28,40)</f>
        <v>4.9695921345740547E-26</v>
      </c>
      <c r="AA28" s="16" t="s">
        <v>84</v>
      </c>
    </row>
    <row r="29" spans="1:27" x14ac:dyDescent="0.2">
      <c r="A29">
        <v>207415</v>
      </c>
      <c r="C29">
        <v>28</v>
      </c>
      <c r="E29">
        <f t="shared" si="0"/>
        <v>12.24247689617388</v>
      </c>
      <c r="G29">
        <v>1</v>
      </c>
      <c r="H29">
        <f t="shared" si="1"/>
        <v>28</v>
      </c>
      <c r="J29" s="1">
        <f t="shared" si="2"/>
        <v>211766.30964712609</v>
      </c>
      <c r="K29" s="1"/>
      <c r="L29" s="1">
        <f t="shared" si="3"/>
        <v>12.263238632675096</v>
      </c>
      <c r="M29" s="1"/>
      <c r="N29" s="1">
        <f t="shared" si="4"/>
        <v>4.3104970254591741E-4</v>
      </c>
      <c r="O29" s="1"/>
    </row>
    <row r="30" spans="1:27" x14ac:dyDescent="0.2">
      <c r="A30">
        <v>209214</v>
      </c>
      <c r="C30">
        <v>29</v>
      </c>
      <c r="E30">
        <f t="shared" si="0"/>
        <v>12.251112930539872</v>
      </c>
      <c r="G30">
        <v>1</v>
      </c>
      <c r="H30">
        <f t="shared" si="1"/>
        <v>29</v>
      </c>
      <c r="J30" s="1">
        <f t="shared" si="2"/>
        <v>214630.17343367779</v>
      </c>
      <c r="K30" s="1"/>
      <c r="L30" s="1">
        <f t="shared" si="3"/>
        <v>12.276671702434266</v>
      </c>
      <c r="M30" s="1"/>
      <c r="N30" s="1">
        <f t="shared" si="4"/>
        <v>6.5325082074966102E-4</v>
      </c>
      <c r="O30" s="1"/>
    </row>
    <row r="31" spans="1:27" x14ac:dyDescent="0.2">
      <c r="A31">
        <v>224204</v>
      </c>
      <c r="C31">
        <v>30</v>
      </c>
      <c r="E31">
        <f t="shared" si="0"/>
        <v>12.320311630674247</v>
      </c>
      <c r="G31">
        <v>1</v>
      </c>
      <c r="H31">
        <f t="shared" si="1"/>
        <v>30</v>
      </c>
      <c r="J31" s="1">
        <f t="shared" si="2"/>
        <v>217532.76725146853</v>
      </c>
      <c r="K31" s="1"/>
      <c r="L31" s="1">
        <f t="shared" si="3"/>
        <v>12.290104772193438</v>
      </c>
      <c r="M31" s="1"/>
      <c r="N31" s="1">
        <f t="shared" si="4"/>
        <v>9.1245429927966663E-4</v>
      </c>
      <c r="O31" s="1"/>
      <c r="W31" t="s">
        <v>90</v>
      </c>
    </row>
    <row r="32" spans="1:27" x14ac:dyDescent="0.2">
      <c r="A32">
        <v>221953</v>
      </c>
      <c r="C32">
        <v>31</v>
      </c>
      <c r="E32">
        <f t="shared" si="0"/>
        <v>12.310220926728617</v>
      </c>
      <c r="G32">
        <v>1</v>
      </c>
      <c r="H32">
        <f t="shared" si="1"/>
        <v>31</v>
      </c>
      <c r="J32" s="1">
        <f t="shared" si="2"/>
        <v>220474.61487377432</v>
      </c>
      <c r="K32" s="1"/>
      <c r="L32" s="1">
        <f t="shared" si="3"/>
        <v>12.303537841952608</v>
      </c>
      <c r="M32" s="1"/>
      <c r="N32" s="1">
        <f t="shared" si="4"/>
        <v>4.4663622123324552E-5</v>
      </c>
      <c r="O32" s="1"/>
    </row>
    <row r="33" spans="1:26" x14ac:dyDescent="0.2">
      <c r="A33">
        <v>232803</v>
      </c>
      <c r="C33">
        <v>32</v>
      </c>
      <c r="E33">
        <f t="shared" si="0"/>
        <v>12.357947881354326</v>
      </c>
      <c r="G33">
        <v>1</v>
      </c>
      <c r="H33">
        <f t="shared" si="1"/>
        <v>32</v>
      </c>
      <c r="J33" s="1">
        <f t="shared" si="2"/>
        <v>223456.24715722431</v>
      </c>
      <c r="K33" s="1"/>
      <c r="L33" s="1">
        <f t="shared" si="3"/>
        <v>12.316970911711778</v>
      </c>
      <c r="M33" s="1"/>
      <c r="N33" s="1">
        <f t="shared" si="4"/>
        <v>1.6791120410863131E-3</v>
      </c>
      <c r="O33" s="1"/>
    </row>
    <row r="34" spans="1:26" x14ac:dyDescent="0.2">
      <c r="A34">
        <v>228660</v>
      </c>
      <c r="C34">
        <v>33</v>
      </c>
      <c r="E34">
        <f t="shared" si="0"/>
        <v>12.339991463095961</v>
      </c>
      <c r="G34">
        <v>1</v>
      </c>
      <c r="H34">
        <f t="shared" si="1"/>
        <v>33</v>
      </c>
      <c r="J34" s="1">
        <f t="shared" si="2"/>
        <v>226478.20213759251</v>
      </c>
      <c r="K34" s="1"/>
      <c r="L34" s="1">
        <f t="shared" si="3"/>
        <v>12.330403981470948</v>
      </c>
      <c r="M34" s="1"/>
      <c r="N34" s="1">
        <f t="shared" si="4"/>
        <v>9.191980390997033E-5</v>
      </c>
      <c r="O34" s="1"/>
      <c r="W34" t="s">
        <v>96</v>
      </c>
    </row>
    <row r="35" spans="1:26" x14ac:dyDescent="0.2">
      <c r="A35">
        <v>239816</v>
      </c>
      <c r="C35">
        <v>34</v>
      </c>
      <c r="E35">
        <f t="shared" si="0"/>
        <v>12.387627241618276</v>
      </c>
      <c r="G35">
        <v>1</v>
      </c>
      <c r="H35">
        <f t="shared" si="1"/>
        <v>34</v>
      </c>
      <c r="J35" s="1">
        <f t="shared" si="2"/>
        <v>229541.02512688661</v>
      </c>
      <c r="K35" s="1"/>
      <c r="L35" s="1">
        <f t="shared" si="3"/>
        <v>12.343837051230118</v>
      </c>
      <c r="M35" s="1"/>
      <c r="N35" s="1">
        <f t="shared" si="4"/>
        <v>1.9175807742311361E-3</v>
      </c>
      <c r="O35" s="1"/>
      <c r="Z35" s="1">
        <f>V28*EXP(V27+V28*AVERAGE(C2:C43))</f>
        <v>2606.8241520793063</v>
      </c>
    </row>
    <row r="36" spans="1:26" x14ac:dyDescent="0.2">
      <c r="A36">
        <v>233082</v>
      </c>
      <c r="C36">
        <v>35</v>
      </c>
      <c r="E36">
        <f t="shared" si="0"/>
        <v>12.359145601965004</v>
      </c>
      <c r="G36">
        <v>1</v>
      </c>
      <c r="H36">
        <f t="shared" si="1"/>
        <v>35</v>
      </c>
      <c r="J36" s="1">
        <f t="shared" si="2"/>
        <v>232645.26881175008</v>
      </c>
      <c r="K36" s="1"/>
      <c r="L36" s="1">
        <f t="shared" si="3"/>
        <v>12.357270120989289</v>
      </c>
      <c r="M36" s="1"/>
      <c r="N36" s="1">
        <f t="shared" si="4"/>
        <v>3.5174288902667827E-6</v>
      </c>
      <c r="O36" s="1"/>
      <c r="Z36" t="s">
        <v>97</v>
      </c>
    </row>
    <row r="37" spans="1:26" x14ac:dyDescent="0.2">
      <c r="A37">
        <v>243243</v>
      </c>
      <c r="C37">
        <v>36</v>
      </c>
      <c r="E37">
        <f t="shared" si="0"/>
        <v>12.40181622265577</v>
      </c>
      <c r="G37">
        <v>1</v>
      </c>
      <c r="H37">
        <f t="shared" si="1"/>
        <v>36</v>
      </c>
      <c r="J37" s="1">
        <f t="shared" si="2"/>
        <v>235791.49335319287</v>
      </c>
      <c r="K37" s="1"/>
      <c r="L37" s="1">
        <f t="shared" si="3"/>
        <v>12.370703190748459</v>
      </c>
      <c r="M37" s="1"/>
      <c r="N37" s="1">
        <f t="shared" si="4"/>
        <v>9.680207544652947E-4</v>
      </c>
      <c r="O37" s="1"/>
    </row>
    <row r="38" spans="1:26" x14ac:dyDescent="0.2">
      <c r="A38">
        <v>241862</v>
      </c>
      <c r="C38">
        <v>37</v>
      </c>
      <c r="E38">
        <f t="shared" si="0"/>
        <v>12.396122594551748</v>
      </c>
      <c r="G38">
        <v>1</v>
      </c>
      <c r="H38">
        <f t="shared" si="1"/>
        <v>37</v>
      </c>
      <c r="J38" s="1">
        <f t="shared" si="2"/>
        <v>238980.26648767493</v>
      </c>
      <c r="K38" s="1"/>
      <c r="L38" s="1">
        <f t="shared" si="3"/>
        <v>12.38413626050763</v>
      </c>
      <c r="M38" s="1"/>
      <c r="N38" s="1">
        <f t="shared" si="4"/>
        <v>1.4367220381720285E-4</v>
      </c>
      <c r="O38" s="1"/>
      <c r="W38" t="s">
        <v>86</v>
      </c>
    </row>
    <row r="39" spans="1:26" x14ac:dyDescent="0.2">
      <c r="A39">
        <v>255757</v>
      </c>
      <c r="C39">
        <v>38</v>
      </c>
      <c r="E39">
        <f t="shared" si="0"/>
        <v>12.451983053918292</v>
      </c>
      <c r="G39">
        <v>1</v>
      </c>
      <c r="H39">
        <f t="shared" si="1"/>
        <v>38</v>
      </c>
      <c r="J39" s="1">
        <f t="shared" si="2"/>
        <v>242212.16362955305</v>
      </c>
      <c r="K39" s="1"/>
      <c r="L39" s="1">
        <f t="shared" si="3"/>
        <v>12.397569330266801</v>
      </c>
      <c r="M39" s="1"/>
      <c r="N39" s="1">
        <f t="shared" si="4"/>
        <v>2.9608533216208309E-3</v>
      </c>
      <c r="O39" s="1"/>
      <c r="Z39" s="15">
        <f>Z35/AVERAGE(J2:J43)</f>
        <v>1.3256648507402066E-2</v>
      </c>
    </row>
    <row r="40" spans="1:26" x14ac:dyDescent="0.2">
      <c r="A40">
        <v>248625</v>
      </c>
      <c r="C40">
        <v>39</v>
      </c>
      <c r="E40">
        <f t="shared" si="0"/>
        <v>12.423701016156274</v>
      </c>
      <c r="G40">
        <v>1</v>
      </c>
      <c r="H40">
        <f t="shared" si="1"/>
        <v>39</v>
      </c>
      <c r="J40" s="1">
        <f t="shared" si="2"/>
        <v>245487.76797491324</v>
      </c>
      <c r="K40" s="1"/>
      <c r="L40" s="1">
        <f t="shared" si="3"/>
        <v>12.411002400025971</v>
      </c>
      <c r="M40" s="1"/>
      <c r="N40" s="1">
        <f t="shared" si="4"/>
        <v>1.6125485162478274E-4</v>
      </c>
      <c r="O40" s="1"/>
      <c r="Z40" t="s">
        <v>98</v>
      </c>
    </row>
    <row r="41" spans="1:26" x14ac:dyDescent="0.2">
      <c r="A41">
        <v>261094</v>
      </c>
      <c r="C41">
        <v>40</v>
      </c>
      <c r="E41">
        <f t="shared" si="0"/>
        <v>12.472635774721919</v>
      </c>
      <c r="G41">
        <v>1</v>
      </c>
      <c r="H41">
        <f t="shared" si="1"/>
        <v>40</v>
      </c>
      <c r="J41" s="1">
        <f t="shared" si="2"/>
        <v>248807.67060681095</v>
      </c>
      <c r="K41" s="1"/>
      <c r="L41" s="1">
        <f t="shared" si="3"/>
        <v>12.424435469785141</v>
      </c>
      <c r="M41" s="1"/>
      <c r="N41" s="1">
        <f t="shared" si="4"/>
        <v>2.3232693959983498E-3</v>
      </c>
      <c r="O41" s="1"/>
    </row>
    <row r="42" spans="1:26" x14ac:dyDescent="0.2">
      <c r="A42">
        <v>254235</v>
      </c>
      <c r="C42">
        <v>41</v>
      </c>
      <c r="E42">
        <f t="shared" si="0"/>
        <v>12.446014315120264</v>
      </c>
      <c r="G42">
        <v>1</v>
      </c>
      <c r="H42">
        <f t="shared" si="1"/>
        <v>41</v>
      </c>
      <c r="J42" s="1">
        <f t="shared" si="2"/>
        <v>252172.47060193052</v>
      </c>
      <c r="K42" s="1"/>
      <c r="L42" s="1">
        <f t="shared" si="3"/>
        <v>12.437868539544311</v>
      </c>
      <c r="M42" s="1"/>
      <c r="N42" s="1">
        <f t="shared" si="4"/>
        <v>6.6353659733786569E-5</v>
      </c>
      <c r="O42" s="1"/>
      <c r="W42" t="s">
        <v>91</v>
      </c>
    </row>
    <row r="43" spans="1:26" x14ac:dyDescent="0.2">
      <c r="A43">
        <v>269320</v>
      </c>
      <c r="C43">
        <v>42</v>
      </c>
      <c r="E43">
        <f t="shared" si="0"/>
        <v>12.503655542659217</v>
      </c>
      <c r="G43">
        <v>1</v>
      </c>
      <c r="H43">
        <f t="shared" si="1"/>
        <v>42</v>
      </c>
      <c r="J43" s="1">
        <f t="shared" si="2"/>
        <v>255582.77513868877</v>
      </c>
      <c r="K43" s="1"/>
      <c r="L43" s="1">
        <f>LN(J43)</f>
        <v>12.451301609303481</v>
      </c>
      <c r="M43" s="1"/>
      <c r="N43" s="1">
        <f t="shared" si="4"/>
        <v>2.7409343378168366E-3</v>
      </c>
      <c r="Z43">
        <f>_xlfn.VAR.S(J2:J43)</f>
        <v>1044581860.3412014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686DB-1793-DC41-8938-6DAE1AD050A4}">
  <dimension ref="A1:I18"/>
  <sheetViews>
    <sheetView workbookViewId="0">
      <selection activeCell="M32" sqref="M32"/>
    </sheetView>
  </sheetViews>
  <sheetFormatPr baseColWidth="10" defaultRowHeight="16" x14ac:dyDescent="0.2"/>
  <sheetData>
    <row r="1" spans="1:9" x14ac:dyDescent="0.2">
      <c r="A1" t="s">
        <v>56</v>
      </c>
    </row>
    <row r="2" spans="1:9" ht="17" thickBot="1" x14ac:dyDescent="0.25"/>
    <row r="3" spans="1:9" x14ac:dyDescent="0.2">
      <c r="A3" s="18" t="s">
        <v>57</v>
      </c>
      <c r="B3" s="18"/>
    </row>
    <row r="4" spans="1:9" x14ac:dyDescent="0.2">
      <c r="A4" t="s">
        <v>58</v>
      </c>
      <c r="B4">
        <v>0.96945646921075945</v>
      </c>
    </row>
    <row r="5" spans="1:9" x14ac:dyDescent="0.2">
      <c r="A5" t="s">
        <v>59</v>
      </c>
      <c r="B5">
        <v>0.93984584569459217</v>
      </c>
    </row>
    <row r="6" spans="1:9" x14ac:dyDescent="0.2">
      <c r="A6" t="s">
        <v>60</v>
      </c>
      <c r="B6">
        <v>0.9383419918369571</v>
      </c>
    </row>
    <row r="7" spans="1:9" x14ac:dyDescent="0.2">
      <c r="A7" t="s">
        <v>61</v>
      </c>
      <c r="B7">
        <v>4.2209475195462115E-2</v>
      </c>
    </row>
    <row r="8" spans="1:9" ht="17" thickBot="1" x14ac:dyDescent="0.25">
      <c r="A8" s="5" t="s">
        <v>62</v>
      </c>
      <c r="B8" s="5">
        <v>42</v>
      </c>
    </row>
    <row r="10" spans="1:9" ht="17" thickBot="1" x14ac:dyDescent="0.25">
      <c r="A10" t="s">
        <v>63</v>
      </c>
    </row>
    <row r="11" spans="1:9" x14ac:dyDescent="0.2">
      <c r="A11" s="17"/>
      <c r="B11" s="17" t="s">
        <v>68</v>
      </c>
      <c r="C11" s="17" t="s">
        <v>69</v>
      </c>
      <c r="D11" s="17" t="s">
        <v>70</v>
      </c>
      <c r="E11" s="17" t="s">
        <v>71</v>
      </c>
      <c r="F11" s="17" t="s">
        <v>72</v>
      </c>
    </row>
    <row r="12" spans="1:9" x14ac:dyDescent="0.2">
      <c r="A12" t="s">
        <v>64</v>
      </c>
      <c r="B12">
        <v>1</v>
      </c>
      <c r="C12">
        <v>1.1134504543463823</v>
      </c>
      <c r="D12">
        <v>1.1134504543463823</v>
      </c>
      <c r="E12">
        <v>624.95823043104417</v>
      </c>
      <c r="F12">
        <v>4.9695921345688562E-26</v>
      </c>
    </row>
    <row r="13" spans="1:9" x14ac:dyDescent="0.2">
      <c r="A13" t="s">
        <v>65</v>
      </c>
      <c r="B13">
        <v>40</v>
      </c>
      <c r="C13">
        <v>7.1265591851053273E-2</v>
      </c>
      <c r="D13">
        <v>1.7816397962763318E-3</v>
      </c>
    </row>
    <row r="14" spans="1:9" ht="17" thickBot="1" x14ac:dyDescent="0.25">
      <c r="A14" s="5" t="s">
        <v>66</v>
      </c>
      <c r="B14" s="5">
        <v>41</v>
      </c>
      <c r="C14" s="5">
        <v>1.1847160461974355</v>
      </c>
      <c r="D14" s="5"/>
      <c r="E14" s="5"/>
      <c r="F14" s="5"/>
    </row>
    <row r="15" spans="1:9" ht="17" thickBot="1" x14ac:dyDescent="0.25"/>
    <row r="16" spans="1:9" x14ac:dyDescent="0.2">
      <c r="A16" s="17"/>
      <c r="B16" s="17" t="s">
        <v>73</v>
      </c>
      <c r="C16" s="17" t="s">
        <v>61</v>
      </c>
      <c r="D16" s="17" t="s">
        <v>74</v>
      </c>
      <c r="E16" s="17" t="s">
        <v>75</v>
      </c>
      <c r="F16" s="17" t="s">
        <v>76</v>
      </c>
      <c r="G16" s="17" t="s">
        <v>77</v>
      </c>
      <c r="H16" s="17" t="s">
        <v>78</v>
      </c>
      <c r="I16" s="17" t="s">
        <v>79</v>
      </c>
    </row>
    <row r="17" spans="1:9" x14ac:dyDescent="0.2">
      <c r="A17" t="s">
        <v>67</v>
      </c>
      <c r="B17">
        <v>11.887112679418321</v>
      </c>
      <c r="C17">
        <v>1.3262269216312721E-2</v>
      </c>
      <c r="D17">
        <v>896.31061513945554</v>
      </c>
      <c r="E17">
        <v>1.0980751817544194E-87</v>
      </c>
      <c r="F17">
        <v>11.860308633485614</v>
      </c>
      <c r="G17">
        <v>11.913916725351028</v>
      </c>
      <c r="H17">
        <v>11.860308633485614</v>
      </c>
      <c r="I17">
        <v>11.913916725351028</v>
      </c>
    </row>
    <row r="18" spans="1:9" ht="17" thickBot="1" x14ac:dyDescent="0.25">
      <c r="A18" s="5" t="s">
        <v>80</v>
      </c>
      <c r="B18" s="5">
        <v>1.3433069759170822E-2</v>
      </c>
      <c r="C18" s="5">
        <v>5.3734074625992471E-4</v>
      </c>
      <c r="D18" s="5">
        <v>24.999164594662847</v>
      </c>
      <c r="E18" s="5">
        <v>4.9695921345688212E-26</v>
      </c>
      <c r="F18" s="5">
        <v>1.2347063600696082E-2</v>
      </c>
      <c r="G18" s="5">
        <v>1.4519075917645563E-2</v>
      </c>
      <c r="H18" s="5">
        <v>1.2347063600696082E-2</v>
      </c>
      <c r="I18" s="5">
        <v>1.4519075917645563E-2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E28BA-5071-054D-8FE0-69CDFCB159BE}">
  <dimension ref="A1:BE49"/>
  <sheetViews>
    <sheetView topLeftCell="D1" zoomScaleNormal="100" workbookViewId="0">
      <selection activeCell="U21" sqref="U21"/>
    </sheetView>
  </sheetViews>
  <sheetFormatPr baseColWidth="10" defaultRowHeight="16" x14ac:dyDescent="0.2"/>
  <cols>
    <col min="13" max="13" width="13.5" customWidth="1"/>
    <col min="16" max="16" width="13.6640625" bestFit="1" customWidth="1"/>
    <col min="18" max="18" width="12.1640625" bestFit="1" customWidth="1"/>
    <col min="20" max="20" width="12.1640625" bestFit="1" customWidth="1"/>
    <col min="21" max="21" width="11.1640625" bestFit="1" customWidth="1"/>
    <col min="23" max="23" width="10.83203125" customWidth="1"/>
    <col min="24" max="25" width="12.1640625" bestFit="1" customWidth="1"/>
  </cols>
  <sheetData>
    <row r="1" spans="1:57" x14ac:dyDescent="0.2">
      <c r="A1" s="3" t="s">
        <v>81</v>
      </c>
      <c r="B1" s="3"/>
      <c r="C1" s="3" t="s">
        <v>82</v>
      </c>
      <c r="E1" s="3"/>
      <c r="G1" s="3"/>
      <c r="K1" s="3"/>
      <c r="M1" s="3"/>
      <c r="P1" s="3"/>
    </row>
    <row r="2" spans="1:57" x14ac:dyDescent="0.2">
      <c r="A2">
        <v>150816</v>
      </c>
      <c r="C2">
        <v>1</v>
      </c>
      <c r="E2">
        <f>A2</f>
        <v>150816</v>
      </c>
      <c r="G2">
        <v>1</v>
      </c>
      <c r="H2">
        <f>C2</f>
        <v>1</v>
      </c>
      <c r="I2">
        <f>C2^2</f>
        <v>1</v>
      </c>
      <c r="K2" s="1">
        <f>$V$31+$V$33*C2^2</f>
        <v>157572.51226694367</v>
      </c>
      <c r="L2" s="1"/>
      <c r="M2" s="1">
        <f>(K2-A2)^2</f>
        <v>45650458.013360262</v>
      </c>
      <c r="N2" s="1"/>
      <c r="P2" cm="1">
        <f t="array" ref="P2:BE4">TRANSPOSE(G2:I43)</f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</row>
    <row r="3" spans="1:57" x14ac:dyDescent="0.2">
      <c r="A3">
        <v>159663</v>
      </c>
      <c r="C3">
        <v>2</v>
      </c>
      <c r="E3">
        <f t="shared" ref="E3:E43" si="0">A3</f>
        <v>159663</v>
      </c>
      <c r="G3">
        <v>1</v>
      </c>
      <c r="H3">
        <f t="shared" ref="H3:H43" si="1">C3</f>
        <v>2</v>
      </c>
      <c r="I3">
        <f t="shared" ref="I3:I43" si="2">C3^2</f>
        <v>4</v>
      </c>
      <c r="K3" s="1">
        <f t="shared" ref="K3:K43" si="3">$V$31+$V$33*C3^2</f>
        <v>157749.42363223748</v>
      </c>
      <c r="L3" s="1"/>
      <c r="M3" s="1">
        <f t="shared" ref="M3:M43" si="4">(K3-A3)^2</f>
        <v>3661774.5152592063</v>
      </c>
      <c r="N3" s="1"/>
      <c r="P3">
        <v>1</v>
      </c>
      <c r="Q3">
        <v>2</v>
      </c>
      <c r="R3">
        <v>3</v>
      </c>
      <c r="S3">
        <v>4</v>
      </c>
      <c r="T3">
        <v>5</v>
      </c>
      <c r="U3">
        <v>6</v>
      </c>
      <c r="V3">
        <v>7</v>
      </c>
      <c r="W3">
        <v>8</v>
      </c>
      <c r="X3">
        <v>9</v>
      </c>
      <c r="Y3">
        <v>10</v>
      </c>
      <c r="Z3">
        <v>11</v>
      </c>
      <c r="AA3">
        <v>12</v>
      </c>
      <c r="AB3">
        <v>13</v>
      </c>
      <c r="AC3">
        <v>14</v>
      </c>
      <c r="AD3">
        <v>15</v>
      </c>
      <c r="AE3">
        <v>16</v>
      </c>
      <c r="AF3">
        <v>17</v>
      </c>
      <c r="AG3">
        <v>18</v>
      </c>
      <c r="AH3">
        <v>19</v>
      </c>
      <c r="AI3">
        <v>20</v>
      </c>
      <c r="AJ3">
        <v>21</v>
      </c>
      <c r="AK3">
        <v>22</v>
      </c>
      <c r="AL3">
        <v>23</v>
      </c>
      <c r="AM3">
        <v>24</v>
      </c>
      <c r="AN3">
        <v>25</v>
      </c>
      <c r="AO3">
        <v>26</v>
      </c>
      <c r="AP3">
        <v>27</v>
      </c>
      <c r="AQ3">
        <v>28</v>
      </c>
      <c r="AR3">
        <v>29</v>
      </c>
      <c r="AS3">
        <v>30</v>
      </c>
      <c r="AT3">
        <v>31</v>
      </c>
      <c r="AU3">
        <v>32</v>
      </c>
      <c r="AV3">
        <v>33</v>
      </c>
      <c r="AW3">
        <v>34</v>
      </c>
      <c r="AX3">
        <v>35</v>
      </c>
      <c r="AY3">
        <v>36</v>
      </c>
      <c r="AZ3">
        <v>37</v>
      </c>
      <c r="BA3">
        <v>38</v>
      </c>
      <c r="BB3">
        <v>39</v>
      </c>
      <c r="BC3">
        <v>40</v>
      </c>
      <c r="BD3">
        <v>41</v>
      </c>
      <c r="BE3">
        <v>42</v>
      </c>
    </row>
    <row r="4" spans="1:57" x14ac:dyDescent="0.2">
      <c r="A4">
        <v>155573</v>
      </c>
      <c r="C4">
        <v>3</v>
      </c>
      <c r="E4">
        <f t="shared" si="0"/>
        <v>155573</v>
      </c>
      <c r="G4">
        <v>1</v>
      </c>
      <c r="H4">
        <f t="shared" si="1"/>
        <v>3</v>
      </c>
      <c r="I4">
        <f t="shared" si="2"/>
        <v>9</v>
      </c>
      <c r="K4" s="1">
        <f t="shared" si="3"/>
        <v>158044.27590772716</v>
      </c>
      <c r="L4" s="1"/>
      <c r="M4" s="1">
        <f t="shared" si="4"/>
        <v>6107204.6121127093</v>
      </c>
      <c r="N4" s="1"/>
      <c r="P4">
        <v>1</v>
      </c>
      <c r="Q4">
        <v>4</v>
      </c>
      <c r="R4">
        <v>9</v>
      </c>
      <c r="S4">
        <v>16</v>
      </c>
      <c r="T4">
        <v>25</v>
      </c>
      <c r="U4">
        <v>36</v>
      </c>
      <c r="V4">
        <v>49</v>
      </c>
      <c r="W4">
        <v>64</v>
      </c>
      <c r="X4">
        <v>81</v>
      </c>
      <c r="Y4">
        <v>100</v>
      </c>
      <c r="Z4">
        <v>121</v>
      </c>
      <c r="AA4">
        <v>144</v>
      </c>
      <c r="AB4">
        <v>169</v>
      </c>
      <c r="AC4">
        <v>196</v>
      </c>
      <c r="AD4">
        <v>225</v>
      </c>
      <c r="AE4">
        <v>256</v>
      </c>
      <c r="AF4">
        <v>289</v>
      </c>
      <c r="AG4">
        <v>324</v>
      </c>
      <c r="AH4">
        <v>361</v>
      </c>
      <c r="AI4">
        <v>400</v>
      </c>
      <c r="AJ4">
        <v>441</v>
      </c>
      <c r="AK4">
        <v>484</v>
      </c>
      <c r="AL4">
        <v>529</v>
      </c>
      <c r="AM4">
        <v>576</v>
      </c>
      <c r="AN4">
        <v>625</v>
      </c>
      <c r="AO4">
        <v>676</v>
      </c>
      <c r="AP4">
        <v>729</v>
      </c>
      <c r="AQ4">
        <v>784</v>
      </c>
      <c r="AR4">
        <v>841</v>
      </c>
      <c r="AS4">
        <v>900</v>
      </c>
      <c r="AT4">
        <v>961</v>
      </c>
      <c r="AU4">
        <v>1024</v>
      </c>
      <c r="AV4">
        <v>1089</v>
      </c>
      <c r="AW4">
        <v>1156</v>
      </c>
      <c r="AX4">
        <v>1225</v>
      </c>
      <c r="AY4">
        <v>1296</v>
      </c>
      <c r="AZ4">
        <v>1369</v>
      </c>
      <c r="BA4">
        <v>1444</v>
      </c>
      <c r="BB4">
        <v>1521</v>
      </c>
      <c r="BC4">
        <v>1600</v>
      </c>
      <c r="BD4">
        <v>1681</v>
      </c>
      <c r="BE4">
        <v>1764</v>
      </c>
    </row>
    <row r="5" spans="1:57" x14ac:dyDescent="0.2">
      <c r="A5">
        <v>161574</v>
      </c>
      <c r="C5">
        <v>4</v>
      </c>
      <c r="E5">
        <f t="shared" si="0"/>
        <v>161574</v>
      </c>
      <c r="G5">
        <v>1</v>
      </c>
      <c r="H5">
        <f t="shared" si="1"/>
        <v>4</v>
      </c>
      <c r="I5">
        <f t="shared" si="2"/>
        <v>16</v>
      </c>
      <c r="K5" s="1">
        <f t="shared" si="3"/>
        <v>158457.06909341272</v>
      </c>
      <c r="L5" s="1"/>
      <c r="M5" s="1">
        <f t="shared" si="4"/>
        <v>9715258.2764390055</v>
      </c>
      <c r="N5" s="1"/>
    </row>
    <row r="6" spans="1:57" x14ac:dyDescent="0.2">
      <c r="A6">
        <v>154922</v>
      </c>
      <c r="C6">
        <v>5</v>
      </c>
      <c r="E6">
        <f t="shared" si="0"/>
        <v>154922</v>
      </c>
      <c r="G6">
        <v>1</v>
      </c>
      <c r="H6">
        <f t="shared" si="1"/>
        <v>5</v>
      </c>
      <c r="I6">
        <f t="shared" si="2"/>
        <v>25</v>
      </c>
      <c r="K6" s="1">
        <f t="shared" si="3"/>
        <v>158987.80318929412</v>
      </c>
      <c r="L6" s="1"/>
      <c r="M6" s="1">
        <f t="shared" si="4"/>
        <v>16530755.574074252</v>
      </c>
      <c r="N6" s="1"/>
      <c r="P6" s="3"/>
      <c r="T6" s="3"/>
    </row>
    <row r="7" spans="1:57" x14ac:dyDescent="0.2">
      <c r="A7">
        <v>164049</v>
      </c>
      <c r="C7">
        <v>6</v>
      </c>
      <c r="E7">
        <f t="shared" si="0"/>
        <v>164049</v>
      </c>
      <c r="G7">
        <v>1</v>
      </c>
      <c r="H7">
        <f t="shared" si="1"/>
        <v>6</v>
      </c>
      <c r="I7">
        <f t="shared" si="2"/>
        <v>36</v>
      </c>
      <c r="K7" s="1">
        <f t="shared" si="3"/>
        <v>159636.47819537143</v>
      </c>
      <c r="L7" s="1"/>
      <c r="M7" s="1">
        <f t="shared" si="4"/>
        <v>19470348.676322605</v>
      </c>
      <c r="N7" s="1"/>
      <c r="P7" cm="1">
        <f t="array" ref="P7:R9">MMULT(_xlfn.ANCHORARRAY(P2),G2:I43)</f>
        <v>42</v>
      </c>
      <c r="Q7">
        <v>903</v>
      </c>
      <c r="R7">
        <v>25585</v>
      </c>
      <c r="T7" cm="1">
        <f t="array" ref="T7:V9">MINVERSE(_xlfn.ANCHORARRAY(P7))</f>
        <v>0.23606271777003571</v>
      </c>
      <c r="U7">
        <v>-2.2212543554007105E-2</v>
      </c>
      <c r="V7">
        <v>4.355400696864144E-4</v>
      </c>
    </row>
    <row r="8" spans="1:57" x14ac:dyDescent="0.2">
      <c r="A8">
        <v>159126</v>
      </c>
      <c r="C8">
        <v>7</v>
      </c>
      <c r="E8">
        <f t="shared" si="0"/>
        <v>159126</v>
      </c>
      <c r="G8">
        <v>1</v>
      </c>
      <c r="H8">
        <f t="shared" si="1"/>
        <v>7</v>
      </c>
      <c r="I8">
        <f t="shared" si="2"/>
        <v>49</v>
      </c>
      <c r="K8" s="1">
        <f t="shared" si="3"/>
        <v>160403.09411164458</v>
      </c>
      <c r="L8" s="1"/>
      <c r="M8" s="1">
        <f t="shared" si="4"/>
        <v>1630969.3699972478</v>
      </c>
      <c r="N8" s="1"/>
      <c r="P8">
        <v>903</v>
      </c>
      <c r="Q8">
        <v>25585</v>
      </c>
      <c r="R8">
        <v>815409</v>
      </c>
      <c r="T8">
        <v>-2.2212543554007067E-2</v>
      </c>
      <c r="U8">
        <v>2.7159100117126345E-3</v>
      </c>
      <c r="V8">
        <v>-5.9391827684510923E-5</v>
      </c>
    </row>
    <row r="9" spans="1:57" x14ac:dyDescent="0.2">
      <c r="A9">
        <v>166215</v>
      </c>
      <c r="C9">
        <v>8</v>
      </c>
      <c r="E9">
        <f t="shared" si="0"/>
        <v>166215</v>
      </c>
      <c r="G9">
        <v>1</v>
      </c>
      <c r="H9">
        <f t="shared" si="1"/>
        <v>8</v>
      </c>
      <c r="I9">
        <f t="shared" si="2"/>
        <v>64</v>
      </c>
      <c r="K9" s="1">
        <f t="shared" si="3"/>
        <v>161287.65093811363</v>
      </c>
      <c r="L9" s="1"/>
      <c r="M9" s="1">
        <f t="shared" si="4"/>
        <v>24278768.777672514</v>
      </c>
      <c r="N9" s="1"/>
      <c r="P9">
        <v>25585</v>
      </c>
      <c r="Q9">
        <v>815409</v>
      </c>
      <c r="R9">
        <v>27718789</v>
      </c>
      <c r="T9">
        <v>4.3554006968641321E-4</v>
      </c>
      <c r="U9">
        <v>-5.9391827684510889E-5</v>
      </c>
      <c r="V9">
        <v>1.3812052949886252E-6</v>
      </c>
    </row>
    <row r="10" spans="1:57" x14ac:dyDescent="0.2">
      <c r="A10">
        <v>161419</v>
      </c>
      <c r="C10">
        <v>9</v>
      </c>
      <c r="E10">
        <f t="shared" si="0"/>
        <v>161419</v>
      </c>
      <c r="G10">
        <v>1</v>
      </c>
      <c r="H10">
        <f t="shared" si="1"/>
        <v>9</v>
      </c>
      <c r="I10">
        <f t="shared" si="2"/>
        <v>81</v>
      </c>
      <c r="K10" s="1">
        <f t="shared" si="3"/>
        <v>162290.14867477852</v>
      </c>
      <c r="L10" s="1"/>
      <c r="M10" s="1">
        <f t="shared" si="4"/>
        <v>758900.01356837829</v>
      </c>
      <c r="N10" s="1"/>
    </row>
    <row r="11" spans="1:57" x14ac:dyDescent="0.2">
      <c r="A11">
        <v>171164</v>
      </c>
      <c r="C11">
        <v>10</v>
      </c>
      <c r="E11">
        <f t="shared" si="0"/>
        <v>171164</v>
      </c>
      <c r="G11">
        <v>1</v>
      </c>
      <c r="H11">
        <f t="shared" si="1"/>
        <v>10</v>
      </c>
      <c r="I11">
        <f t="shared" si="2"/>
        <v>100</v>
      </c>
      <c r="K11" s="1">
        <f t="shared" si="3"/>
        <v>163410.58732163932</v>
      </c>
      <c r="L11" s="1"/>
      <c r="M11" s="1">
        <f t="shared" si="4"/>
        <v>60115408.160964087</v>
      </c>
      <c r="N11" s="1"/>
      <c r="P11" s="3"/>
      <c r="R11" s="3"/>
    </row>
    <row r="12" spans="1:57" x14ac:dyDescent="0.2">
      <c r="A12">
        <v>166103</v>
      </c>
      <c r="C12">
        <v>11</v>
      </c>
      <c r="E12">
        <f t="shared" si="0"/>
        <v>166103</v>
      </c>
      <c r="G12">
        <v>1</v>
      </c>
      <c r="H12">
        <f t="shared" si="1"/>
        <v>11</v>
      </c>
      <c r="I12">
        <f t="shared" si="2"/>
        <v>121</v>
      </c>
      <c r="K12" s="1">
        <f t="shared" si="3"/>
        <v>164648.96687869597</v>
      </c>
      <c r="L12" s="1"/>
      <c r="M12" s="1">
        <f t="shared" si="4"/>
        <v>2114212.3178491504</v>
      </c>
      <c r="N12" s="1"/>
      <c r="P12" cm="1">
        <f t="array" ref="P12:P14">MMULT(_xlfn.ANCHORARRAY(P2),E2:E43)</f>
        <v>8268684</v>
      </c>
      <c r="R12" cm="1">
        <f t="array" ref="R12:R14">MMULT(_xlfn.ANCHORARRAY(T7),_xlfn.ANCHORARRAY(P12))</f>
        <v>157513.54181184573</v>
      </c>
      <c r="S12" s="14"/>
    </row>
    <row r="13" spans="1:57" x14ac:dyDescent="0.2">
      <c r="A13">
        <v>173248</v>
      </c>
      <c r="C13">
        <v>12</v>
      </c>
      <c r="E13">
        <f t="shared" si="0"/>
        <v>173248</v>
      </c>
      <c r="G13">
        <v>1</v>
      </c>
      <c r="H13">
        <f t="shared" si="1"/>
        <v>12</v>
      </c>
      <c r="I13">
        <f t="shared" si="2"/>
        <v>144</v>
      </c>
      <c r="K13" s="1">
        <f t="shared" si="3"/>
        <v>166005.28734594851</v>
      </c>
      <c r="L13" s="1"/>
      <c r="M13" s="1">
        <f t="shared" si="4"/>
        <v>52456886.589157537</v>
      </c>
      <c r="N13" s="1"/>
      <c r="P13">
        <v>194409859</v>
      </c>
      <c r="R13">
        <v>159.86284631420858</v>
      </c>
    </row>
    <row r="14" spans="1:57" x14ac:dyDescent="0.2">
      <c r="A14">
        <v>170056</v>
      </c>
      <c r="C14">
        <v>13</v>
      </c>
      <c r="E14">
        <f t="shared" si="0"/>
        <v>170056</v>
      </c>
      <c r="G14">
        <v>1</v>
      </c>
      <c r="H14">
        <f t="shared" si="1"/>
        <v>13</v>
      </c>
      <c r="I14">
        <f t="shared" si="2"/>
        <v>169</v>
      </c>
      <c r="K14" s="1">
        <f t="shared" si="3"/>
        <v>167479.5487233969</v>
      </c>
      <c r="L14" s="1"/>
      <c r="M14" s="1">
        <f t="shared" si="4"/>
        <v>6638101.1807097262</v>
      </c>
      <c r="N14" s="1"/>
      <c r="P14">
        <v>5794927173</v>
      </c>
      <c r="R14">
        <v>58.970455097935883</v>
      </c>
    </row>
    <row r="15" spans="1:57" x14ac:dyDescent="0.2">
      <c r="A15">
        <v>179008</v>
      </c>
      <c r="C15">
        <v>14</v>
      </c>
      <c r="E15">
        <f t="shared" si="0"/>
        <v>179008</v>
      </c>
      <c r="G15">
        <v>1</v>
      </c>
      <c r="H15">
        <f t="shared" si="1"/>
        <v>14</v>
      </c>
      <c r="I15">
        <f t="shared" si="2"/>
        <v>196</v>
      </c>
      <c r="K15" s="1">
        <f t="shared" si="3"/>
        <v>169071.75101104117</v>
      </c>
      <c r="L15" s="1"/>
      <c r="M15" s="1">
        <f t="shared" si="4"/>
        <v>98729043.970585421</v>
      </c>
      <c r="N15" s="1"/>
    </row>
    <row r="16" spans="1:57" x14ac:dyDescent="0.2">
      <c r="A16">
        <v>173652</v>
      </c>
      <c r="C16">
        <v>15</v>
      </c>
      <c r="E16">
        <f t="shared" si="0"/>
        <v>173652</v>
      </c>
      <c r="G16">
        <v>1</v>
      </c>
      <c r="H16">
        <f t="shared" si="1"/>
        <v>15</v>
      </c>
      <c r="I16">
        <f t="shared" si="2"/>
        <v>225</v>
      </c>
      <c r="K16" s="1">
        <f t="shared" si="3"/>
        <v>170781.89420888131</v>
      </c>
      <c r="L16" s="1"/>
      <c r="M16" s="1">
        <f t="shared" si="4"/>
        <v>8237507.2522130674</v>
      </c>
      <c r="N16" s="1"/>
    </row>
    <row r="17" spans="1:27" x14ac:dyDescent="0.2">
      <c r="A17">
        <v>180841</v>
      </c>
      <c r="C17">
        <v>16</v>
      </c>
      <c r="E17">
        <f t="shared" si="0"/>
        <v>180841</v>
      </c>
      <c r="G17">
        <v>1</v>
      </c>
      <c r="H17">
        <f t="shared" si="1"/>
        <v>16</v>
      </c>
      <c r="I17">
        <f t="shared" si="2"/>
        <v>256</v>
      </c>
      <c r="K17" s="1">
        <f t="shared" si="3"/>
        <v>172609.97831691732</v>
      </c>
      <c r="L17" s="1"/>
      <c r="M17" s="1">
        <f t="shared" si="4"/>
        <v>67749717.947377279</v>
      </c>
      <c r="N17" s="1"/>
    </row>
    <row r="18" spans="1:27" x14ac:dyDescent="0.2">
      <c r="A18">
        <v>178780</v>
      </c>
      <c r="C18">
        <v>17</v>
      </c>
      <c r="E18">
        <f t="shared" si="0"/>
        <v>178780</v>
      </c>
      <c r="G18">
        <v>1</v>
      </c>
      <c r="H18">
        <f t="shared" si="1"/>
        <v>17</v>
      </c>
      <c r="I18">
        <f t="shared" si="2"/>
        <v>289</v>
      </c>
      <c r="K18" s="1">
        <f t="shared" si="3"/>
        <v>174556.0033351492</v>
      </c>
      <c r="L18" s="1"/>
      <c r="M18" s="1">
        <f t="shared" si="4"/>
        <v>17842147.824670665</v>
      </c>
      <c r="N18" s="1"/>
      <c r="P18" s="3"/>
      <c r="R18" s="3"/>
      <c r="U18" s="3"/>
    </row>
    <row r="19" spans="1:27" x14ac:dyDescent="0.2">
      <c r="A19">
        <v>188735</v>
      </c>
      <c r="C19">
        <v>18</v>
      </c>
      <c r="E19">
        <f t="shared" si="0"/>
        <v>188735</v>
      </c>
      <c r="G19">
        <v>1</v>
      </c>
      <c r="H19">
        <f t="shared" si="1"/>
        <v>18</v>
      </c>
      <c r="I19">
        <f t="shared" si="2"/>
        <v>324</v>
      </c>
      <c r="K19" s="1">
        <f t="shared" si="3"/>
        <v>176619.96926357696</v>
      </c>
      <c r="L19" s="1"/>
      <c r="M19" s="1">
        <f t="shared" si="4"/>
        <v>146773969.74447498</v>
      </c>
      <c r="N19" s="1"/>
      <c r="P19" s="1">
        <f>SUM(M2:M43)</f>
        <v>2172549899.1859531</v>
      </c>
      <c r="R19">
        <f>P19/(COUNT(K2:K43)-3)</f>
        <v>55706407.671434693</v>
      </c>
    </row>
    <row r="20" spans="1:27" x14ac:dyDescent="0.2">
      <c r="A20">
        <v>182497</v>
      </c>
      <c r="C20">
        <v>19</v>
      </c>
      <c r="E20">
        <f t="shared" si="0"/>
        <v>182497</v>
      </c>
      <c r="G20">
        <v>1</v>
      </c>
      <c r="H20">
        <f t="shared" si="1"/>
        <v>19</v>
      </c>
      <c r="I20">
        <f t="shared" si="2"/>
        <v>361</v>
      </c>
      <c r="K20" s="1">
        <f t="shared" si="3"/>
        <v>178801.87610220059</v>
      </c>
      <c r="L20" s="1"/>
      <c r="M20" s="1">
        <f t="shared" si="4"/>
        <v>13653940.620088283</v>
      </c>
      <c r="N20" s="1"/>
    </row>
    <row r="21" spans="1:27" x14ac:dyDescent="0.2">
      <c r="A21">
        <v>189496</v>
      </c>
      <c r="C21">
        <v>20</v>
      </c>
      <c r="E21">
        <f t="shared" si="0"/>
        <v>189496</v>
      </c>
      <c r="G21">
        <v>1</v>
      </c>
      <c r="H21">
        <f t="shared" si="1"/>
        <v>20</v>
      </c>
      <c r="I21">
        <f t="shared" si="2"/>
        <v>400</v>
      </c>
      <c r="K21" s="1">
        <f t="shared" si="3"/>
        <v>181101.7238510201</v>
      </c>
      <c r="L21" s="1"/>
      <c r="M21" s="1">
        <f t="shared" si="4"/>
        <v>70463872.065332845</v>
      </c>
      <c r="N21" s="1"/>
      <c r="P21" s="3"/>
    </row>
    <row r="22" spans="1:27" x14ac:dyDescent="0.2">
      <c r="A22">
        <v>182537</v>
      </c>
      <c r="C22">
        <v>21</v>
      </c>
      <c r="E22">
        <f t="shared" si="0"/>
        <v>182537</v>
      </c>
      <c r="G22">
        <v>1</v>
      </c>
      <c r="H22">
        <f t="shared" si="1"/>
        <v>21</v>
      </c>
      <c r="I22">
        <f t="shared" si="2"/>
        <v>441</v>
      </c>
      <c r="K22" s="1">
        <f t="shared" si="3"/>
        <v>183519.51251003545</v>
      </c>
      <c r="L22" s="1"/>
      <c r="M22" s="1">
        <f t="shared" si="4"/>
        <v>965330.8323761581</v>
      </c>
      <c r="N22" s="1"/>
    </row>
    <row r="23" spans="1:27" x14ac:dyDescent="0.2">
      <c r="A23">
        <v>175396</v>
      </c>
      <c r="C23">
        <v>22</v>
      </c>
      <c r="E23">
        <f t="shared" si="0"/>
        <v>175396</v>
      </c>
      <c r="G23">
        <v>1</v>
      </c>
      <c r="H23">
        <f t="shared" si="1"/>
        <v>22</v>
      </c>
      <c r="I23">
        <f t="shared" si="2"/>
        <v>484</v>
      </c>
      <c r="K23" s="1">
        <f t="shared" si="3"/>
        <v>186055.2420792467</v>
      </c>
      <c r="L23" s="1"/>
      <c r="M23" s="1">
        <f t="shared" si="4"/>
        <v>113619441.70398356</v>
      </c>
      <c r="N23" s="1"/>
    </row>
    <row r="24" spans="1:27" x14ac:dyDescent="0.2">
      <c r="A24">
        <v>179815</v>
      </c>
      <c r="C24">
        <v>23</v>
      </c>
      <c r="E24">
        <f t="shared" si="0"/>
        <v>179815</v>
      </c>
      <c r="G24">
        <v>1</v>
      </c>
      <c r="H24">
        <f t="shared" si="1"/>
        <v>23</v>
      </c>
      <c r="I24">
        <f t="shared" si="2"/>
        <v>529</v>
      </c>
      <c r="K24" s="1">
        <f t="shared" si="3"/>
        <v>188708.9125586538</v>
      </c>
      <c r="L24" s="1"/>
      <c r="M24" s="1">
        <f t="shared" si="4"/>
        <v>79101680.600979775</v>
      </c>
      <c r="N24" s="1"/>
      <c r="P24" s="13">
        <f>$R$19*T7</f>
        <v>13150205.99212444</v>
      </c>
      <c r="Q24" s="13">
        <f t="shared" ref="Q24:R24" si="5">$R$19*U7</f>
        <v>-1237381.0066390187</v>
      </c>
      <c r="R24" s="13">
        <f t="shared" si="5"/>
        <v>24262.372679196476</v>
      </c>
      <c r="S24" s="3"/>
      <c r="T24" s="3"/>
    </row>
    <row r="25" spans="1:27" x14ac:dyDescent="0.2">
      <c r="A25">
        <v>188401</v>
      </c>
      <c r="C25">
        <v>24</v>
      </c>
      <c r="E25">
        <f t="shared" si="0"/>
        <v>188401</v>
      </c>
      <c r="G25">
        <v>1</v>
      </c>
      <c r="H25">
        <f t="shared" si="1"/>
        <v>24</v>
      </c>
      <c r="I25">
        <f t="shared" si="2"/>
        <v>576</v>
      </c>
      <c r="K25" s="1">
        <f t="shared" si="3"/>
        <v>191480.5239482568</v>
      </c>
      <c r="L25" s="1"/>
      <c r="M25" s="1">
        <f t="shared" si="4"/>
        <v>9483467.7478871476</v>
      </c>
      <c r="N25" s="1"/>
      <c r="P25" s="13">
        <f t="shared" ref="P25:P26" si="6">$R$19*T8</f>
        <v>-1237381.0066390166</v>
      </c>
      <c r="Q25" s="13">
        <f t="shared" ref="Q25:Q26" si="7">$R$19*U8</f>
        <v>151293.590311395</v>
      </c>
      <c r="R25" s="13">
        <f t="shared" ref="R25:R26" si="8">$R$19*V8</f>
        <v>-3308.5053653449668</v>
      </c>
    </row>
    <row r="26" spans="1:27" x14ac:dyDescent="0.2">
      <c r="A26">
        <v>183940</v>
      </c>
      <c r="C26">
        <v>25</v>
      </c>
      <c r="E26">
        <f t="shared" si="0"/>
        <v>183940</v>
      </c>
      <c r="G26">
        <v>1</v>
      </c>
      <c r="H26">
        <f t="shared" si="1"/>
        <v>25</v>
      </c>
      <c r="I26">
        <f t="shared" si="2"/>
        <v>625</v>
      </c>
      <c r="K26" s="1">
        <f t="shared" si="3"/>
        <v>194370.07624805567</v>
      </c>
      <c r="L26" s="1"/>
      <c r="M26" s="1">
        <f t="shared" si="4"/>
        <v>108786490.54025511</v>
      </c>
      <c r="N26" s="1"/>
      <c r="P26" s="13">
        <f t="shared" si="6"/>
        <v>24262.372679196411</v>
      </c>
      <c r="Q26" s="13">
        <f t="shared" si="7"/>
        <v>-3308.505365344965</v>
      </c>
      <c r="R26" s="13">
        <f t="shared" si="8"/>
        <v>76.941985240580578</v>
      </c>
    </row>
    <row r="27" spans="1:27" x14ac:dyDescent="0.2">
      <c r="A27">
        <v>201433</v>
      </c>
      <c r="C27">
        <v>26</v>
      </c>
      <c r="E27">
        <f t="shared" si="0"/>
        <v>201433</v>
      </c>
      <c r="G27">
        <v>1</v>
      </c>
      <c r="H27">
        <f t="shared" si="1"/>
        <v>26</v>
      </c>
      <c r="I27">
        <f t="shared" si="2"/>
        <v>676</v>
      </c>
      <c r="K27" s="1">
        <f t="shared" si="3"/>
        <v>197377.56945805039</v>
      </c>
      <c r="L27" s="1"/>
      <c r="M27" s="1">
        <f t="shared" si="4"/>
        <v>16446516.880577696</v>
      </c>
      <c r="N27" s="1"/>
    </row>
    <row r="28" spans="1:27" x14ac:dyDescent="0.2">
      <c r="A28">
        <v>198942</v>
      </c>
      <c r="C28">
        <v>27</v>
      </c>
      <c r="E28">
        <f t="shared" si="0"/>
        <v>198942</v>
      </c>
      <c r="G28">
        <v>1</v>
      </c>
      <c r="H28">
        <f t="shared" si="1"/>
        <v>27</v>
      </c>
      <c r="I28">
        <f t="shared" si="2"/>
        <v>729</v>
      </c>
      <c r="K28" s="1">
        <f t="shared" si="3"/>
        <v>200503.00357824098</v>
      </c>
      <c r="L28" s="1"/>
      <c r="M28" s="1">
        <f t="shared" si="4"/>
        <v>2436732.1712811533</v>
      </c>
      <c r="N28" s="1"/>
      <c r="P28" s="3"/>
    </row>
    <row r="29" spans="1:27" ht="17" thickBot="1" x14ac:dyDescent="0.25">
      <c r="A29">
        <v>207415</v>
      </c>
      <c r="C29">
        <v>28</v>
      </c>
      <c r="E29">
        <f t="shared" si="0"/>
        <v>207415</v>
      </c>
      <c r="G29">
        <v>1</v>
      </c>
      <c r="H29">
        <f t="shared" si="1"/>
        <v>28</v>
      </c>
      <c r="I29">
        <f t="shared" si="2"/>
        <v>784</v>
      </c>
      <c r="K29" s="1">
        <f t="shared" si="3"/>
        <v>203746.37860862748</v>
      </c>
      <c r="L29" s="1"/>
      <c r="M29" s="1">
        <f t="shared" si="4"/>
        <v>13458782.913236061</v>
      </c>
      <c r="N29" s="1"/>
    </row>
    <row r="30" spans="1:27" x14ac:dyDescent="0.2">
      <c r="A30">
        <v>209214</v>
      </c>
      <c r="C30">
        <v>29</v>
      </c>
      <c r="E30">
        <f t="shared" si="0"/>
        <v>209214</v>
      </c>
      <c r="G30">
        <v>1</v>
      </c>
      <c r="H30">
        <f t="shared" si="1"/>
        <v>29</v>
      </c>
      <c r="I30">
        <f t="shared" si="2"/>
        <v>841</v>
      </c>
      <c r="K30" s="1">
        <f t="shared" si="3"/>
        <v>207107.69454920982</v>
      </c>
      <c r="L30" s="1"/>
      <c r="M30" s="1">
        <f t="shared" si="4"/>
        <v>4436522.6520284377</v>
      </c>
      <c r="N30" s="1"/>
      <c r="U30" s="8"/>
      <c r="V30" s="9"/>
      <c r="W30" s="9"/>
      <c r="X30" s="9"/>
      <c r="Y30" s="10"/>
      <c r="AA30" s="13" t="s">
        <v>85</v>
      </c>
    </row>
    <row r="31" spans="1:27" x14ac:dyDescent="0.2">
      <c r="A31">
        <v>224204</v>
      </c>
      <c r="C31">
        <v>30</v>
      </c>
      <c r="E31">
        <f t="shared" si="0"/>
        <v>224204</v>
      </c>
      <c r="G31">
        <v>1</v>
      </c>
      <c r="H31">
        <f t="shared" si="1"/>
        <v>30</v>
      </c>
      <c r="I31">
        <f t="shared" si="2"/>
        <v>900</v>
      </c>
      <c r="K31" s="1">
        <f t="shared" si="3"/>
        <v>210586.95139998803</v>
      </c>
      <c r="L31" s="1"/>
      <c r="M31" s="1">
        <f t="shared" si="4"/>
        <v>185424012.57508796</v>
      </c>
      <c r="N31" s="1"/>
      <c r="P31">
        <f>SQRT(P24)</f>
        <v>3626.3212753594298</v>
      </c>
      <c r="Q31" t="e">
        <f t="shared" ref="Q31:R31" si="9">SQRT(Q24)</f>
        <v>#NUM!</v>
      </c>
      <c r="R31">
        <f t="shared" si="9"/>
        <v>155.76383623677376</v>
      </c>
      <c r="U31" s="6">
        <v>0</v>
      </c>
      <c r="V31">
        <f>R12</f>
        <v>157513.54181184573</v>
      </c>
      <c r="W31">
        <f>P31</f>
        <v>3626.3212753594298</v>
      </c>
      <c r="X31">
        <f>V31/W31</f>
        <v>43.43617949191043</v>
      </c>
      <c r="Y31" s="11">
        <f>_xlfn.T.DIST.2T(X31,COUNT($K$2:$K$43)-3)</f>
        <v>1.2137309563726046E-34</v>
      </c>
      <c r="AA31" s="16" t="s">
        <v>84</v>
      </c>
    </row>
    <row r="32" spans="1:27" x14ac:dyDescent="0.2">
      <c r="A32">
        <v>221953</v>
      </c>
      <c r="C32">
        <v>31</v>
      </c>
      <c r="E32">
        <f t="shared" si="0"/>
        <v>221953</v>
      </c>
      <c r="G32">
        <v>1</v>
      </c>
      <c r="H32">
        <f t="shared" si="1"/>
        <v>31</v>
      </c>
      <c r="I32">
        <f t="shared" si="2"/>
        <v>961</v>
      </c>
      <c r="K32" s="1">
        <f t="shared" si="3"/>
        <v>214184.14916096212</v>
      </c>
      <c r="L32" s="1"/>
      <c r="M32" s="1">
        <f t="shared" si="4"/>
        <v>60355043.359219648</v>
      </c>
      <c r="N32" s="1"/>
      <c r="P32" t="e">
        <f t="shared" ref="P32:R33" si="10">SQRT(P25)</f>
        <v>#NUM!</v>
      </c>
      <c r="Q32">
        <f t="shared" si="10"/>
        <v>388.96476744223889</v>
      </c>
      <c r="R32" t="e">
        <f t="shared" si="10"/>
        <v>#NUM!</v>
      </c>
      <c r="U32" s="6">
        <v>1</v>
      </c>
      <c r="V32">
        <f>R13</f>
        <v>159.86284631420858</v>
      </c>
      <c r="W32">
        <f>Q32</f>
        <v>388.96476744223889</v>
      </c>
      <c r="X32">
        <f>V32/W32</f>
        <v>0.41099569857043194</v>
      </c>
      <c r="Y32" s="19">
        <f>_xlfn.T.DIST.2T(X32,COUNT($K$2:$K$43)-3)</f>
        <v>0.68332534094149577</v>
      </c>
      <c r="AA32" s="20" t="s">
        <v>92</v>
      </c>
    </row>
    <row r="33" spans="1:27" ht="17" thickBot="1" x14ac:dyDescent="0.25">
      <c r="A33">
        <v>232803</v>
      </c>
      <c r="C33">
        <v>32</v>
      </c>
      <c r="E33">
        <f t="shared" si="0"/>
        <v>232803</v>
      </c>
      <c r="G33">
        <v>1</v>
      </c>
      <c r="H33">
        <f t="shared" si="1"/>
        <v>32</v>
      </c>
      <c r="I33">
        <f t="shared" si="2"/>
        <v>1024</v>
      </c>
      <c r="K33" s="1">
        <f t="shared" si="3"/>
        <v>217899.28783213207</v>
      </c>
      <c r="L33" s="1"/>
      <c r="M33" s="1">
        <f t="shared" si="4"/>
        <v>222120636.38265446</v>
      </c>
      <c r="N33" s="1"/>
      <c r="P33">
        <f t="shared" si="10"/>
        <v>155.76383623677356</v>
      </c>
      <c r="Q33" t="e">
        <f t="shared" si="10"/>
        <v>#NUM!</v>
      </c>
      <c r="R33">
        <f t="shared" si="10"/>
        <v>8.7716580667842141</v>
      </c>
      <c r="U33" s="7">
        <v>2</v>
      </c>
      <c r="V33" s="5">
        <f>R14</f>
        <v>58.970455097935883</v>
      </c>
      <c r="W33" s="5">
        <f>R33</f>
        <v>8.7716580667842141</v>
      </c>
      <c r="X33" s="5">
        <f>V33/W33</f>
        <v>6.7228401573518131</v>
      </c>
      <c r="Y33" s="12">
        <f>_xlfn.T.DIST.2T(X33,COUNT($K$2:$K$43)-3)</f>
        <v>5.1583723136066137E-8</v>
      </c>
      <c r="AA33" s="16" t="s">
        <v>84</v>
      </c>
    </row>
    <row r="34" spans="1:27" x14ac:dyDescent="0.2">
      <c r="A34">
        <v>228660</v>
      </c>
      <c r="C34">
        <v>33</v>
      </c>
      <c r="E34">
        <f t="shared" si="0"/>
        <v>228660</v>
      </c>
      <c r="G34">
        <v>1</v>
      </c>
      <c r="H34">
        <f t="shared" si="1"/>
        <v>33</v>
      </c>
      <c r="I34">
        <f t="shared" si="2"/>
        <v>1089</v>
      </c>
      <c r="K34" s="1">
        <f t="shared" si="3"/>
        <v>221732.36741349791</v>
      </c>
      <c r="L34" s="1"/>
      <c r="M34" s="1">
        <f t="shared" si="4"/>
        <v>47992093.253565662</v>
      </c>
      <c r="N34" s="1"/>
    </row>
    <row r="35" spans="1:27" x14ac:dyDescent="0.2">
      <c r="A35">
        <v>239816</v>
      </c>
      <c r="C35">
        <v>34</v>
      </c>
      <c r="E35">
        <f t="shared" si="0"/>
        <v>239816</v>
      </c>
      <c r="G35">
        <v>1</v>
      </c>
      <c r="H35">
        <f t="shared" si="1"/>
        <v>34</v>
      </c>
      <c r="I35">
        <f t="shared" si="2"/>
        <v>1156</v>
      </c>
      <c r="K35" s="1">
        <f t="shared" si="3"/>
        <v>225683.38790505962</v>
      </c>
      <c r="L35" s="1"/>
      <c r="M35" s="1">
        <f t="shared" si="4"/>
        <v>199730724.62605524</v>
      </c>
      <c r="N35" s="1"/>
    </row>
    <row r="36" spans="1:27" x14ac:dyDescent="0.2">
      <c r="A36">
        <v>233082</v>
      </c>
      <c r="C36">
        <v>35</v>
      </c>
      <c r="E36">
        <f t="shared" si="0"/>
        <v>233082</v>
      </c>
      <c r="G36">
        <v>1</v>
      </c>
      <c r="H36">
        <f t="shared" si="1"/>
        <v>35</v>
      </c>
      <c r="I36">
        <f t="shared" si="2"/>
        <v>1225</v>
      </c>
      <c r="K36" s="1">
        <f t="shared" si="3"/>
        <v>229752.34930681717</v>
      </c>
      <c r="L36" s="1"/>
      <c r="M36" s="1">
        <f t="shared" si="4"/>
        <v>11086573.738612924</v>
      </c>
      <c r="N36" s="1"/>
    </row>
    <row r="37" spans="1:27" x14ac:dyDescent="0.2">
      <c r="A37">
        <v>243243</v>
      </c>
      <c r="C37">
        <v>36</v>
      </c>
      <c r="E37">
        <f t="shared" si="0"/>
        <v>243243</v>
      </c>
      <c r="G37">
        <v>1</v>
      </c>
      <c r="H37">
        <f t="shared" si="1"/>
        <v>36</v>
      </c>
      <c r="I37">
        <f t="shared" si="2"/>
        <v>1296</v>
      </c>
      <c r="K37" s="1">
        <f t="shared" si="3"/>
        <v>233939.25161877065</v>
      </c>
      <c r="L37" s="1"/>
      <c r="M37" s="1">
        <f t="shared" si="4"/>
        <v>86559733.941227764</v>
      </c>
      <c r="N37" s="1"/>
      <c r="V37" t="s">
        <v>83</v>
      </c>
    </row>
    <row r="38" spans="1:27" x14ac:dyDescent="0.2">
      <c r="A38">
        <v>241862</v>
      </c>
      <c r="C38">
        <v>37</v>
      </c>
      <c r="E38">
        <f t="shared" si="0"/>
        <v>241862</v>
      </c>
      <c r="G38">
        <v>1</v>
      </c>
      <c r="H38">
        <f t="shared" si="1"/>
        <v>37</v>
      </c>
      <c r="I38">
        <f t="shared" si="2"/>
        <v>1369</v>
      </c>
      <c r="K38" s="1">
        <f t="shared" si="3"/>
        <v>238244.09484091995</v>
      </c>
      <c r="L38" s="1"/>
      <c r="M38" s="1">
        <f t="shared" si="4"/>
        <v>13089237.740098055</v>
      </c>
      <c r="N38" s="1"/>
      <c r="Z38" t="s">
        <v>93</v>
      </c>
    </row>
    <row r="39" spans="1:27" x14ac:dyDescent="0.2">
      <c r="A39">
        <v>255757</v>
      </c>
      <c r="C39">
        <v>38</v>
      </c>
      <c r="E39">
        <f t="shared" si="0"/>
        <v>255757</v>
      </c>
      <c r="G39">
        <v>1</v>
      </c>
      <c r="H39">
        <f t="shared" si="1"/>
        <v>38</v>
      </c>
      <c r="I39">
        <f t="shared" si="2"/>
        <v>1444</v>
      </c>
      <c r="K39" s="1">
        <f t="shared" si="3"/>
        <v>242666.87897326515</v>
      </c>
      <c r="L39" s="1"/>
      <c r="M39" s="1">
        <f t="shared" si="4"/>
        <v>171351268.49456584</v>
      </c>
      <c r="N39" s="1"/>
    </row>
    <row r="40" spans="1:27" x14ac:dyDescent="0.2">
      <c r="A40">
        <v>248625</v>
      </c>
      <c r="C40">
        <v>39</v>
      </c>
      <c r="E40">
        <f t="shared" si="0"/>
        <v>248625</v>
      </c>
      <c r="G40">
        <v>1</v>
      </c>
      <c r="H40">
        <f t="shared" si="1"/>
        <v>39</v>
      </c>
      <c r="I40">
        <f t="shared" si="2"/>
        <v>1521</v>
      </c>
      <c r="K40" s="1">
        <f t="shared" si="3"/>
        <v>247207.60401580622</v>
      </c>
      <c r="L40" s="1"/>
      <c r="M40" s="1">
        <f t="shared" si="4"/>
        <v>2009011.3760086424</v>
      </c>
      <c r="N40" s="1"/>
      <c r="V40" t="s">
        <v>96</v>
      </c>
    </row>
    <row r="41" spans="1:27" x14ac:dyDescent="0.2">
      <c r="A41">
        <v>261094</v>
      </c>
      <c r="C41">
        <v>40</v>
      </c>
      <c r="E41">
        <f t="shared" si="0"/>
        <v>261094</v>
      </c>
      <c r="G41">
        <v>1</v>
      </c>
      <c r="H41">
        <f t="shared" si="1"/>
        <v>40</v>
      </c>
      <c r="I41">
        <f t="shared" si="2"/>
        <v>1600</v>
      </c>
      <c r="K41" s="1">
        <f t="shared" si="3"/>
        <v>251866.26996854314</v>
      </c>
      <c r="L41" s="1"/>
      <c r="M41" s="1">
        <f t="shared" si="4"/>
        <v>85151001.533450752</v>
      </c>
      <c r="N41" s="1"/>
      <c r="Y41" s="1">
        <f>V32+2*V33*AVERAGE(C2:C43)</f>
        <v>2695.5924155254515</v>
      </c>
    </row>
    <row r="42" spans="1:27" x14ac:dyDescent="0.2">
      <c r="A42">
        <v>254235</v>
      </c>
      <c r="C42">
        <v>41</v>
      </c>
      <c r="E42">
        <f t="shared" si="0"/>
        <v>254235</v>
      </c>
      <c r="G42">
        <v>1</v>
      </c>
      <c r="H42">
        <f t="shared" si="1"/>
        <v>41</v>
      </c>
      <c r="I42">
        <f t="shared" si="2"/>
        <v>1681</v>
      </c>
      <c r="K42" s="1">
        <f t="shared" si="3"/>
        <v>256642.87683147594</v>
      </c>
      <c r="L42" s="1"/>
      <c r="M42" s="1">
        <f t="shared" si="4"/>
        <v>5797870.8355585951</v>
      </c>
      <c r="N42" s="1"/>
      <c r="Y42" t="s">
        <v>87</v>
      </c>
    </row>
    <row r="43" spans="1:27" x14ac:dyDescent="0.2">
      <c r="A43">
        <v>269320</v>
      </c>
      <c r="C43">
        <v>42</v>
      </c>
      <c r="E43">
        <f t="shared" si="0"/>
        <v>269320</v>
      </c>
      <c r="G43">
        <v>1</v>
      </c>
      <c r="H43">
        <f t="shared" si="1"/>
        <v>42</v>
      </c>
      <c r="I43">
        <f t="shared" si="2"/>
        <v>1764</v>
      </c>
      <c r="K43" s="1">
        <f t="shared" si="3"/>
        <v>261537.42460460463</v>
      </c>
      <c r="L43" s="1"/>
      <c r="M43" s="1">
        <f t="shared" si="4"/>
        <v>60568479.78501337</v>
      </c>
    </row>
    <row r="44" spans="1:27" x14ac:dyDescent="0.2">
      <c r="V44" t="s">
        <v>86</v>
      </c>
    </row>
    <row r="45" spans="1:27" x14ac:dyDescent="0.2">
      <c r="Y45" s="15">
        <f>Y41/AVERAGE(K2:K43)</f>
        <v>1.3935292069135258E-2</v>
      </c>
    </row>
    <row r="46" spans="1:27" x14ac:dyDescent="0.2">
      <c r="Y46" t="s">
        <v>100</v>
      </c>
    </row>
    <row r="48" spans="1:27" x14ac:dyDescent="0.2">
      <c r="V48" t="s">
        <v>91</v>
      </c>
    </row>
    <row r="49" spans="25:25" x14ac:dyDescent="0.2">
      <c r="Y49">
        <f>_xlfn.VAR.S(K2:K43)</f>
        <v>1029111900.148759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50600-DD3F-2849-BAEF-ADFAE87C1AEB}">
  <dimension ref="A1:L43"/>
  <sheetViews>
    <sheetView workbookViewId="0">
      <selection activeCell="R8" sqref="R8"/>
    </sheetView>
  </sheetViews>
  <sheetFormatPr baseColWidth="10" defaultRowHeight="16" x14ac:dyDescent="0.2"/>
  <sheetData>
    <row r="1" spans="1:12" x14ac:dyDescent="0.2">
      <c r="A1" s="3" t="s">
        <v>81</v>
      </c>
      <c r="B1" s="3"/>
      <c r="C1" s="3" t="s">
        <v>82</v>
      </c>
      <c r="L1" s="2">
        <f>COUNT(E2:E43)*0.25</f>
        <v>10.5</v>
      </c>
    </row>
    <row r="2" spans="1:12" x14ac:dyDescent="0.2">
      <c r="A2">
        <v>150816</v>
      </c>
      <c r="C2">
        <v>1</v>
      </c>
      <c r="E2">
        <f>A2</f>
        <v>150816</v>
      </c>
      <c r="G2">
        <f>$L$4/(1+$L$5*EXP(-$L$6*C2))</f>
        <v>170242.9562692625</v>
      </c>
      <c r="I2">
        <f>(G2-A2)^2</f>
        <v>377406629.88783771</v>
      </c>
      <c r="L2" s="2">
        <f>COUNT(E2:E43)*0.75</f>
        <v>31.5</v>
      </c>
    </row>
    <row r="3" spans="1:12" x14ac:dyDescent="0.2">
      <c r="A3">
        <v>159663</v>
      </c>
      <c r="C3">
        <v>2</v>
      </c>
      <c r="E3">
        <f t="shared" ref="E3:E43" si="0">A3</f>
        <v>159663</v>
      </c>
      <c r="G3">
        <f t="shared" ref="G3:G43" si="1">$L$4/(1+$L$5*EXP(-$L$6*C3))</f>
        <v>174311.8401549228</v>
      </c>
      <c r="I3">
        <f t="shared" ref="I3:I43" si="2">(G3-A3)^2</f>
        <v>214588517.88447866</v>
      </c>
    </row>
    <row r="4" spans="1:12" x14ac:dyDescent="0.2">
      <c r="A4">
        <v>155573</v>
      </c>
      <c r="C4">
        <v>3</v>
      </c>
      <c r="E4">
        <f t="shared" si="0"/>
        <v>155573</v>
      </c>
      <c r="G4">
        <f t="shared" si="1"/>
        <v>178302.96056283545</v>
      </c>
      <c r="I4">
        <f t="shared" si="2"/>
        <v>516651107.18805474</v>
      </c>
      <c r="L4">
        <f>MAX(E2:E43)</f>
        <v>269320</v>
      </c>
    </row>
    <row r="5" spans="1:12" x14ac:dyDescent="0.2">
      <c r="A5">
        <v>161574</v>
      </c>
      <c r="C5">
        <v>4</v>
      </c>
      <c r="E5">
        <f t="shared" si="0"/>
        <v>161574</v>
      </c>
      <c r="G5">
        <f t="shared" si="1"/>
        <v>182210.20674089607</v>
      </c>
      <c r="I5">
        <f t="shared" si="2"/>
        <v>425853028.65300447</v>
      </c>
      <c r="L5">
        <f>(L4-E12)/E12</f>
        <v>0.62140358693100062</v>
      </c>
    </row>
    <row r="6" spans="1:12" x14ac:dyDescent="0.2">
      <c r="A6">
        <v>154922</v>
      </c>
      <c r="C6">
        <v>5</v>
      </c>
      <c r="E6">
        <f t="shared" si="0"/>
        <v>154922</v>
      </c>
      <c r="G6">
        <f t="shared" si="1"/>
        <v>186028.07415616905</v>
      </c>
      <c r="I6">
        <f t="shared" si="2"/>
        <v>967587849.40908825</v>
      </c>
      <c r="L6">
        <f>ABS( ((1)/(C33-C12)) * LN( ((L4-E33)/(E33)) / ((L4-E12)/(E12)) ) )</f>
        <v>6.5554294623188833E-2</v>
      </c>
    </row>
    <row r="7" spans="1:12" x14ac:dyDescent="0.2">
      <c r="A7">
        <v>164049</v>
      </c>
      <c r="C7">
        <v>6</v>
      </c>
      <c r="E7">
        <f t="shared" si="0"/>
        <v>164049</v>
      </c>
      <c r="G7">
        <f t="shared" si="1"/>
        <v>189751.68174520897</v>
      </c>
      <c r="I7">
        <f t="shared" si="2"/>
        <v>660627848.89549863</v>
      </c>
    </row>
    <row r="8" spans="1:12" x14ac:dyDescent="0.2">
      <c r="A8">
        <v>159126</v>
      </c>
      <c r="C8">
        <v>7</v>
      </c>
      <c r="E8">
        <f t="shared" si="0"/>
        <v>159126</v>
      </c>
      <c r="G8">
        <f t="shared" si="1"/>
        <v>193376.78076892253</v>
      </c>
      <c r="I8">
        <f t="shared" si="2"/>
        <v>1173115983.2807934</v>
      </c>
    </row>
    <row r="9" spans="1:12" x14ac:dyDescent="0.2">
      <c r="A9">
        <v>166215</v>
      </c>
      <c r="C9">
        <v>8</v>
      </c>
      <c r="E9">
        <f t="shared" si="0"/>
        <v>166215</v>
      </c>
      <c r="G9">
        <f t="shared" si="1"/>
        <v>196899.75567265012</v>
      </c>
      <c r="I9">
        <f t="shared" si="2"/>
        <v>941554230.69023371</v>
      </c>
    </row>
    <row r="10" spans="1:12" x14ac:dyDescent="0.2">
      <c r="A10">
        <v>161419</v>
      </c>
      <c r="C10">
        <v>9</v>
      </c>
      <c r="E10">
        <f t="shared" si="0"/>
        <v>161419</v>
      </c>
      <c r="G10">
        <f t="shared" si="1"/>
        <v>200317.61749622138</v>
      </c>
      <c r="I10">
        <f t="shared" si="2"/>
        <v>1513102443.1173403</v>
      </c>
    </row>
    <row r="11" spans="1:12" x14ac:dyDescent="0.2">
      <c r="A11">
        <v>171164</v>
      </c>
      <c r="C11">
        <v>10</v>
      </c>
      <c r="E11">
        <f t="shared" si="0"/>
        <v>171164</v>
      </c>
      <c r="G11">
        <f t="shared" si="1"/>
        <v>203627.99049493615</v>
      </c>
      <c r="I11">
        <f t="shared" si="2"/>
        <v>1053910678.8553048</v>
      </c>
    </row>
    <row r="12" spans="1:12" x14ac:dyDescent="0.2">
      <c r="A12">
        <v>166103</v>
      </c>
      <c r="C12" s="22">
        <v>11</v>
      </c>
      <c r="E12" s="22">
        <f t="shared" si="0"/>
        <v>166103</v>
      </c>
      <c r="G12">
        <f t="shared" si="1"/>
        <v>206829.09271958427</v>
      </c>
      <c r="I12">
        <f t="shared" si="2"/>
        <v>1658614628.2041745</v>
      </c>
    </row>
    <row r="13" spans="1:12" x14ac:dyDescent="0.2">
      <c r="A13">
        <v>173248</v>
      </c>
      <c r="C13">
        <v>12</v>
      </c>
      <c r="E13">
        <f t="shared" si="0"/>
        <v>173248</v>
      </c>
      <c r="G13">
        <f t="shared" si="1"/>
        <v>209919.71136190384</v>
      </c>
      <c r="I13">
        <f t="shared" si="2"/>
        <v>1344814414.2107873</v>
      </c>
    </row>
    <row r="14" spans="1:12" x14ac:dyDescent="0.2">
      <c r="A14">
        <v>170056</v>
      </c>
      <c r="C14">
        <v>13</v>
      </c>
      <c r="E14">
        <f t="shared" si="0"/>
        <v>170056</v>
      </c>
      <c r="G14">
        <f t="shared" si="1"/>
        <v>212899.17370260382</v>
      </c>
      <c r="I14">
        <f t="shared" si="2"/>
        <v>1835537532.9114833</v>
      </c>
    </row>
    <row r="15" spans="1:12" x14ac:dyDescent="0.2">
      <c r="A15">
        <v>179008</v>
      </c>
      <c r="C15">
        <v>14</v>
      </c>
      <c r="E15">
        <f t="shared" si="0"/>
        <v>179008</v>
      </c>
      <c r="G15">
        <f t="shared" si="1"/>
        <v>215767.31450450409</v>
      </c>
      <c r="I15">
        <f t="shared" si="2"/>
        <v>1351247202.8410447</v>
      </c>
    </row>
    <row r="16" spans="1:12" x14ac:dyDescent="0.2">
      <c r="A16">
        <v>173652</v>
      </c>
      <c r="C16">
        <v>15</v>
      </c>
      <c r="E16">
        <f t="shared" si="0"/>
        <v>173652</v>
      </c>
      <c r="G16">
        <f t="shared" si="1"/>
        <v>218524.44067641901</v>
      </c>
      <c r="I16">
        <f t="shared" si="2"/>
        <v>2013535932.258743</v>
      </c>
    </row>
    <row r="17" spans="1:9" x14ac:dyDescent="0.2">
      <c r="A17">
        <v>180841</v>
      </c>
      <c r="C17">
        <v>16</v>
      </c>
      <c r="E17">
        <f t="shared" si="0"/>
        <v>180841</v>
      </c>
      <c r="G17">
        <f t="shared" si="1"/>
        <v>221171.29399754983</v>
      </c>
      <c r="I17">
        <f t="shared" si="2"/>
        <v>1626532613.9288039</v>
      </c>
    </row>
    <row r="18" spans="1:9" x14ac:dyDescent="0.2">
      <c r="A18">
        <v>178780</v>
      </c>
      <c r="C18">
        <v>17</v>
      </c>
      <c r="E18">
        <f t="shared" si="0"/>
        <v>178780</v>
      </c>
      <c r="G18">
        <f t="shared" si="1"/>
        <v>223709.01264099989</v>
      </c>
      <c r="I18">
        <f t="shared" si="2"/>
        <v>2018616176.895128</v>
      </c>
    </row>
    <row r="19" spans="1:9" x14ac:dyDescent="0.2">
      <c r="A19">
        <v>188735</v>
      </c>
      <c r="C19">
        <v>18</v>
      </c>
      <c r="E19">
        <f t="shared" si="0"/>
        <v>188735</v>
      </c>
      <c r="G19">
        <f t="shared" si="1"/>
        <v>226139.09217226517</v>
      </c>
      <c r="I19">
        <f t="shared" si="2"/>
        <v>1399066111.2313085</v>
      </c>
    </row>
    <row r="20" spans="1:9" x14ac:dyDescent="0.2">
      <c r="A20">
        <v>182497</v>
      </c>
      <c r="C20">
        <v>19</v>
      </c>
      <c r="E20">
        <f t="shared" si="0"/>
        <v>182497</v>
      </c>
      <c r="G20">
        <f t="shared" si="1"/>
        <v>228463.34662772706</v>
      </c>
      <c r="I20">
        <f t="shared" si="2"/>
        <v>2112905022.3003552</v>
      </c>
    </row>
    <row r="21" spans="1:9" x14ac:dyDescent="0.2">
      <c r="A21">
        <v>189496</v>
      </c>
      <c r="C21">
        <v>20</v>
      </c>
      <c r="E21">
        <f t="shared" si="0"/>
        <v>189496</v>
      </c>
      <c r="G21">
        <f t="shared" si="1"/>
        <v>230683.87020256181</v>
      </c>
      <c r="I21">
        <f t="shared" si="2"/>
        <v>1696440651.8230791</v>
      </c>
    </row>
    <row r="22" spans="1:9" x14ac:dyDescent="0.2">
      <c r="A22">
        <v>182537</v>
      </c>
      <c r="C22">
        <v>21</v>
      </c>
      <c r="E22">
        <f t="shared" si="0"/>
        <v>182537</v>
      </c>
      <c r="G22">
        <f t="shared" si="1"/>
        <v>232803</v>
      </c>
      <c r="I22">
        <f t="shared" si="2"/>
        <v>2526670756</v>
      </c>
    </row>
    <row r="23" spans="1:9" x14ac:dyDescent="0.2">
      <c r="A23">
        <v>175396</v>
      </c>
      <c r="C23">
        <v>22</v>
      </c>
      <c r="E23">
        <f t="shared" si="0"/>
        <v>175396</v>
      </c>
      <c r="G23">
        <f t="shared" si="1"/>
        <v>234823.28021702197</v>
      </c>
      <c r="I23">
        <f t="shared" si="2"/>
        <v>3531601633.9924502</v>
      </c>
    </row>
    <row r="24" spans="1:9" x14ac:dyDescent="0.2">
      <c r="A24">
        <v>179815</v>
      </c>
      <c r="C24">
        <v>23</v>
      </c>
      <c r="E24">
        <f t="shared" si="0"/>
        <v>179815</v>
      </c>
      <c r="G24">
        <f t="shared" si="1"/>
        <v>236747.42806740856</v>
      </c>
      <c r="I24">
        <f t="shared" si="2"/>
        <v>3241301365.65065</v>
      </c>
    </row>
    <row r="25" spans="1:9" x14ac:dyDescent="0.2">
      <c r="A25">
        <v>188401</v>
      </c>
      <c r="C25">
        <v>24</v>
      </c>
      <c r="E25">
        <f t="shared" si="0"/>
        <v>188401</v>
      </c>
      <c r="G25">
        <f t="shared" si="1"/>
        <v>238578.30167320042</v>
      </c>
      <c r="I25">
        <f t="shared" si="2"/>
        <v>2517761603.2033615</v>
      </c>
    </row>
    <row r="26" spans="1:9" x14ac:dyDescent="0.2">
      <c r="A26">
        <v>183940</v>
      </c>
      <c r="C26">
        <v>25</v>
      </c>
      <c r="E26">
        <f t="shared" si="0"/>
        <v>183940</v>
      </c>
      <c r="G26">
        <f t="shared" si="1"/>
        <v>240318.87009122278</v>
      </c>
      <c r="I26">
        <f t="shared" si="2"/>
        <v>3178576992.7629743</v>
      </c>
    </row>
    <row r="27" spans="1:9" x14ac:dyDescent="0.2">
      <c r="A27">
        <v>201433</v>
      </c>
      <c r="C27">
        <v>26</v>
      </c>
      <c r="E27">
        <f t="shared" si="0"/>
        <v>201433</v>
      </c>
      <c r="G27">
        <f t="shared" si="1"/>
        <v>241972.18558321311</v>
      </c>
      <c r="I27">
        <f t="shared" si="2"/>
        <v>1643425567.7501938</v>
      </c>
    </row>
    <row r="28" spans="1:9" x14ac:dyDescent="0.2">
      <c r="A28">
        <v>198942</v>
      </c>
      <c r="C28">
        <v>27</v>
      </c>
      <c r="E28">
        <f t="shared" si="0"/>
        <v>198942</v>
      </c>
      <c r="G28">
        <f t="shared" si="1"/>
        <v>243541.35818668711</v>
      </c>
      <c r="I28">
        <f t="shared" si="2"/>
        <v>1989102750.6644146</v>
      </c>
    </row>
    <row r="29" spans="1:9" x14ac:dyDescent="0.2">
      <c r="A29">
        <v>207415</v>
      </c>
      <c r="C29">
        <v>28</v>
      </c>
      <c r="E29">
        <f t="shared" si="0"/>
        <v>207415</v>
      </c>
      <c r="G29">
        <f t="shared" si="1"/>
        <v>245029.53259915416</v>
      </c>
      <c r="I29">
        <f t="shared" si="2"/>
        <v>1414853062.6528311</v>
      </c>
    </row>
    <row r="30" spans="1:9" x14ac:dyDescent="0.2">
      <c r="A30">
        <v>209214</v>
      </c>
      <c r="C30">
        <v>29</v>
      </c>
      <c r="E30">
        <f t="shared" si="0"/>
        <v>209214</v>
      </c>
      <c r="G30">
        <f t="shared" si="1"/>
        <v>246439.86735057316</v>
      </c>
      <c r="I30">
        <f t="shared" si="2"/>
        <v>1385765200.0024686</v>
      </c>
    </row>
    <row r="31" spans="1:9" x14ac:dyDescent="0.2">
      <c r="A31">
        <v>224204</v>
      </c>
      <c r="C31">
        <v>30</v>
      </c>
      <c r="E31">
        <f t="shared" si="0"/>
        <v>224204</v>
      </c>
      <c r="G31">
        <f t="shared" si="1"/>
        <v>247775.51620773852</v>
      </c>
      <c r="I31">
        <f t="shared" si="2"/>
        <v>555616376.33167958</v>
      </c>
    </row>
    <row r="32" spans="1:9" x14ac:dyDescent="0.2">
      <c r="A32">
        <v>221953</v>
      </c>
      <c r="C32">
        <v>31</v>
      </c>
      <c r="E32">
        <f t="shared" si="0"/>
        <v>221953</v>
      </c>
      <c r="G32">
        <f t="shared" si="1"/>
        <v>249039.61172921862</v>
      </c>
      <c r="I32">
        <f t="shared" si="2"/>
        <v>733684534.96944392</v>
      </c>
    </row>
    <row r="33" spans="1:9" x14ac:dyDescent="0.2">
      <c r="A33">
        <v>232803</v>
      </c>
      <c r="C33" s="22">
        <v>32</v>
      </c>
      <c r="E33" s="22">
        <f t="shared" si="0"/>
        <v>232803</v>
      </c>
      <c r="G33">
        <f t="shared" si="1"/>
        <v>250235.25087000392</v>
      </c>
      <c r="I33">
        <f t="shared" si="2"/>
        <v>303883370.39475238</v>
      </c>
    </row>
    <row r="34" spans="1:9" x14ac:dyDescent="0.2">
      <c r="A34">
        <v>228660</v>
      </c>
      <c r="C34">
        <v>33</v>
      </c>
      <c r="E34">
        <f t="shared" si="0"/>
        <v>228660</v>
      </c>
      <c r="G34">
        <f t="shared" si="1"/>
        <v>251365.48252062281</v>
      </c>
      <c r="I34">
        <f t="shared" si="2"/>
        <v>515538936.49430805</v>
      </c>
    </row>
    <row r="35" spans="1:9" x14ac:dyDescent="0.2">
      <c r="A35">
        <v>239816</v>
      </c>
      <c r="C35">
        <v>34</v>
      </c>
      <c r="E35">
        <f t="shared" si="0"/>
        <v>239816</v>
      </c>
      <c r="G35">
        <f t="shared" si="1"/>
        <v>252433.29685553469</v>
      </c>
      <c r="I35">
        <f t="shared" si="2"/>
        <v>159196179.94068554</v>
      </c>
    </row>
    <row r="36" spans="1:9" x14ac:dyDescent="0.2">
      <c r="A36">
        <v>233082</v>
      </c>
      <c r="C36">
        <v>35</v>
      </c>
      <c r="E36">
        <f t="shared" si="0"/>
        <v>233082</v>
      </c>
      <c r="G36">
        <f t="shared" si="1"/>
        <v>253441.61635953127</v>
      </c>
      <c r="I36">
        <f t="shared" si="2"/>
        <v>414513978.30729324</v>
      </c>
    </row>
    <row r="37" spans="1:9" x14ac:dyDescent="0.2">
      <c r="A37">
        <v>243243</v>
      </c>
      <c r="C37">
        <v>36</v>
      </c>
      <c r="E37">
        <f t="shared" si="0"/>
        <v>243243</v>
      </c>
      <c r="G37">
        <f t="shared" si="1"/>
        <v>254393.28839808679</v>
      </c>
      <c r="I37">
        <f t="shared" si="2"/>
        <v>124328931.36050892</v>
      </c>
    </row>
    <row r="38" spans="1:9" x14ac:dyDescent="0.2">
      <c r="A38">
        <v>241862</v>
      </c>
      <c r="C38">
        <v>37</v>
      </c>
      <c r="E38">
        <f t="shared" si="0"/>
        <v>241862</v>
      </c>
      <c r="G38">
        <f t="shared" si="1"/>
        <v>255291.07919754382</v>
      </c>
      <c r="I38">
        <f t="shared" si="2"/>
        <v>180340168.09390414</v>
      </c>
    </row>
    <row r="39" spans="1:9" x14ac:dyDescent="0.2">
      <c r="A39">
        <v>255757</v>
      </c>
      <c r="C39">
        <v>38</v>
      </c>
      <c r="E39">
        <f t="shared" si="0"/>
        <v>255757</v>
      </c>
      <c r="G39">
        <f t="shared" si="1"/>
        <v>256137.66910320439</v>
      </c>
      <c r="I39">
        <f t="shared" si="2"/>
        <v>144908.96613443384</v>
      </c>
    </row>
    <row r="40" spans="1:9" x14ac:dyDescent="0.2">
      <c r="A40">
        <v>248625</v>
      </c>
      <c r="C40">
        <v>39</v>
      </c>
      <c r="E40">
        <f t="shared" si="0"/>
        <v>248625</v>
      </c>
      <c r="G40">
        <f t="shared" si="1"/>
        <v>256935.64898735058</v>
      </c>
      <c r="I40">
        <f t="shared" si="2"/>
        <v>69066886.590951189</v>
      </c>
    </row>
    <row r="41" spans="1:9" x14ac:dyDescent="0.2">
      <c r="A41">
        <v>261094</v>
      </c>
      <c r="C41">
        <v>40</v>
      </c>
      <c r="E41">
        <f t="shared" si="0"/>
        <v>261094</v>
      </c>
      <c r="G41">
        <f t="shared" si="1"/>
        <v>257687.5176845371</v>
      </c>
      <c r="I41">
        <f t="shared" si="2"/>
        <v>11604121.765561463</v>
      </c>
    </row>
    <row r="42" spans="1:9" x14ac:dyDescent="0.2">
      <c r="A42">
        <v>254235</v>
      </c>
      <c r="C42">
        <v>41</v>
      </c>
      <c r="E42">
        <f t="shared" si="0"/>
        <v>254235</v>
      </c>
      <c r="G42">
        <f t="shared" si="1"/>
        <v>258395.68033782439</v>
      </c>
      <c r="I42">
        <f t="shared" si="2"/>
        <v>17311260.873558506</v>
      </c>
    </row>
    <row r="43" spans="1:9" x14ac:dyDescent="0.2">
      <c r="A43">
        <v>269320</v>
      </c>
      <c r="C43">
        <v>42</v>
      </c>
      <c r="E43">
        <f t="shared" si="0"/>
        <v>269320</v>
      </c>
      <c r="G43">
        <f t="shared" si="1"/>
        <v>259062.44754664085</v>
      </c>
      <c r="I43">
        <f t="shared" si="2"/>
        <v>105217382.33341436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C0F54-917E-FB46-99CB-38225D239F77}">
  <dimension ref="A1:L43"/>
  <sheetViews>
    <sheetView topLeftCell="D1" workbookViewId="0">
      <selection activeCell="K25" sqref="K25"/>
    </sheetView>
  </sheetViews>
  <sheetFormatPr baseColWidth="10" defaultRowHeight="16" x14ac:dyDescent="0.2"/>
  <cols>
    <col min="1" max="1" width="5" bestFit="1" customWidth="1"/>
    <col min="2" max="3" width="19" bestFit="1" customWidth="1"/>
    <col min="4" max="4" width="23.5" bestFit="1" customWidth="1"/>
    <col min="5" max="5" width="22.1640625" bestFit="1" customWidth="1"/>
    <col min="6" max="6" width="20.5" bestFit="1" customWidth="1"/>
    <col min="8" max="8" width="23.5" bestFit="1" customWidth="1"/>
    <col min="9" max="9" width="12.1640625" bestFit="1" customWidth="1"/>
    <col min="10" max="10" width="10.1640625" bestFit="1" customWidth="1"/>
  </cols>
  <sheetData>
    <row r="1" spans="1:12" x14ac:dyDescent="0.2">
      <c r="A1" s="3" t="s">
        <v>105</v>
      </c>
      <c r="B1" s="3" t="s">
        <v>106</v>
      </c>
      <c r="C1" s="3" t="s">
        <v>101</v>
      </c>
      <c r="D1" s="3" t="s">
        <v>102</v>
      </c>
      <c r="E1" s="3" t="s">
        <v>103</v>
      </c>
      <c r="F1" s="3" t="s">
        <v>104</v>
      </c>
      <c r="I1" s="3" t="s">
        <v>107</v>
      </c>
    </row>
    <row r="2" spans="1:12" x14ac:dyDescent="0.2">
      <c r="A2" s="21">
        <v>1</v>
      </c>
      <c r="B2" s="1">
        <f>('03 Linear Trend'!J2-'03 Linear Trend'!A2)^2</f>
        <v>84680778.332348824</v>
      </c>
      <c r="C2" s="1">
        <f>('03 Power Trend'!J2-'03 Power Trend'!A2)^2</f>
        <v>758042984.23807049</v>
      </c>
      <c r="D2" s="1">
        <f>('03 Exponential Trend'!J2-'03 Exponential Trend'!A2)^2</f>
        <v>12033837.398146192</v>
      </c>
      <c r="E2" s="1">
        <f>('04 Quadratic Trend'!K2-'04 Quadratic Trend'!A2)^2</f>
        <v>45650458.013360262</v>
      </c>
      <c r="F2">
        <f>('04 Logistic Trend'!G2-'04 Logistic Trend'!A2)^2</f>
        <v>377406629.88783771</v>
      </c>
      <c r="H2" s="3" t="s">
        <v>106</v>
      </c>
      <c r="I2">
        <f>_xlfn.VAR.S(B2:B43)</f>
        <v>1.8057538069131792E+16</v>
      </c>
      <c r="J2" s="15">
        <f>I2/MIN($I$2:$I$6)</f>
        <v>4.9970990845114338</v>
      </c>
    </row>
    <row r="3" spans="1:12" x14ac:dyDescent="0.2">
      <c r="A3" s="21">
        <v>2</v>
      </c>
      <c r="B3" s="1">
        <f>('03 Linear Trend'!J3-'03 Linear Trend'!A3)^2</f>
        <v>235733755.54145545</v>
      </c>
      <c r="C3" s="1">
        <f>('03 Power Trend'!J3-'03 Power Trend'!A3)^2</f>
        <v>473007151.50899082</v>
      </c>
      <c r="D3" s="1">
        <f>('03 Exponential Trend'!J3-'03 Exponential Trend'!A3)^2</f>
        <v>106570636.39494142</v>
      </c>
      <c r="E3" s="1">
        <f>('04 Quadratic Trend'!K3-'04 Quadratic Trend'!A3)^2</f>
        <v>3661774.5152592063</v>
      </c>
      <c r="F3">
        <f>('04 Logistic Trend'!G3-'04 Logistic Trend'!A3)^2</f>
        <v>214588517.88447866</v>
      </c>
      <c r="H3" s="3" t="s">
        <v>101</v>
      </c>
      <c r="I3">
        <f>_xlfn.VAR.S(C2:C43)</f>
        <v>1.599692135465385E+17</v>
      </c>
      <c r="J3" s="15">
        <f t="shared" ref="J3:J6" si="0">I3/MIN($I$2:$I$6)</f>
        <v>44.268604474378158</v>
      </c>
    </row>
    <row r="4" spans="1:12" x14ac:dyDescent="0.2">
      <c r="A4" s="21">
        <v>3</v>
      </c>
      <c r="B4" s="1">
        <f>('03 Linear Trend'!J4-'03 Linear Trend'!A4)^2</f>
        <v>73411157.201196745</v>
      </c>
      <c r="C4" s="1">
        <f>('03 Power Trend'!J4-'03 Power Trend'!A4)^2</f>
        <v>69022860.461649582</v>
      </c>
      <c r="D4" s="1">
        <f>('03 Exponential Trend'!J4-'03 Exponential Trend'!A4)^2</f>
        <v>17755102.942746092</v>
      </c>
      <c r="E4" s="1">
        <f>('04 Quadratic Trend'!K4-'04 Quadratic Trend'!A4)^2</f>
        <v>6107204.6121127093</v>
      </c>
      <c r="F4">
        <f>('04 Logistic Trend'!G4-'04 Logistic Trend'!A4)^2</f>
        <v>516651107.18805474</v>
      </c>
      <c r="H4" s="3" t="s">
        <v>102</v>
      </c>
      <c r="I4">
        <f>_xlfn.VAR.S(D2:D43)</f>
        <v>1.0002610823865944E+16</v>
      </c>
      <c r="J4" s="15">
        <f t="shared" si="0"/>
        <v>2.7680427530765774</v>
      </c>
    </row>
    <row r="5" spans="1:12" x14ac:dyDescent="0.2">
      <c r="A5" s="21">
        <v>4</v>
      </c>
      <c r="B5" s="1">
        <f>('03 Linear Trend'!J5-'03 Linear Trend'!A5)^2</f>
        <v>140978546.56900978</v>
      </c>
      <c r="C5" s="1">
        <f>('03 Power Trend'!J5-'03 Power Trend'!A5)^2</f>
        <v>53181072.387945019</v>
      </c>
      <c r="D5" s="1">
        <f>('03 Exponential Trend'!J5-'03 Exponential Trend'!A5)^2</f>
        <v>66712019.238463715</v>
      </c>
      <c r="E5" s="1">
        <f>('04 Quadratic Trend'!K5-'04 Quadratic Trend'!A5)^2</f>
        <v>9715258.2764390055</v>
      </c>
      <c r="F5">
        <f>('04 Logistic Trend'!G5-'04 Logistic Trend'!A5)^2</f>
        <v>425853028.65300447</v>
      </c>
      <c r="H5" s="3" t="s">
        <v>103</v>
      </c>
      <c r="I5">
        <f>_xlfn.VAR.S(E2:E43)</f>
        <v>3613604165885231</v>
      </c>
      <c r="J5" s="15">
        <f t="shared" si="0"/>
        <v>1</v>
      </c>
      <c r="L5" s="23" t="s">
        <v>108</v>
      </c>
    </row>
    <row r="6" spans="1:12" x14ac:dyDescent="0.2">
      <c r="A6" s="21">
        <v>5</v>
      </c>
      <c r="B6" s="1">
        <f>('03 Linear Trend'!J6-'03 Linear Trend'!A6)^2</f>
        <v>6379899.4541449714</v>
      </c>
      <c r="C6" s="1">
        <f>('03 Power Trend'!J6-'03 Power Trend'!A6)^2</f>
        <v>25313640.51655288</v>
      </c>
      <c r="D6" s="1">
        <f>('03 Exponential Trend'!J6-'03 Exponential Trend'!A6)^2</f>
        <v>312343.96463617875</v>
      </c>
      <c r="E6" s="1">
        <f>('04 Quadratic Trend'!K6-'04 Quadratic Trend'!A6)^2</f>
        <v>16530755.574074252</v>
      </c>
      <c r="F6">
        <f>('04 Logistic Trend'!G6-'04 Logistic Trend'!A6)^2</f>
        <v>967587849.40908825</v>
      </c>
      <c r="H6" s="3" t="s">
        <v>104</v>
      </c>
      <c r="I6">
        <f>_xlfn.VAR.S(F2:F43)</f>
        <v>9.015346460568585E+17</v>
      </c>
      <c r="J6" s="15">
        <f t="shared" si="0"/>
        <v>249.48350861666884</v>
      </c>
    </row>
    <row r="7" spans="1:12" x14ac:dyDescent="0.2">
      <c r="A7" s="21">
        <v>6</v>
      </c>
      <c r="B7" s="1">
        <f>('03 Linear Trend'!J7-'03 Linear Trend'!A7)^2</f>
        <v>80232396.87759468</v>
      </c>
      <c r="C7" s="1">
        <f>('03 Power Trend'!J7-'03 Power Trend'!A7)^2</f>
        <v>480116.88040630869</v>
      </c>
      <c r="D7" s="1">
        <f>('03 Exponential Trend'!J7-'03 Exponential Trend'!A7)^2</f>
        <v>41801992.377407603</v>
      </c>
      <c r="E7" s="1">
        <f>('04 Quadratic Trend'!K7-'04 Quadratic Trend'!A7)^2</f>
        <v>19470348.676322605</v>
      </c>
      <c r="F7">
        <f>('04 Logistic Trend'!G7-'04 Logistic Trend'!A7)^2</f>
        <v>660627848.89549863</v>
      </c>
    </row>
    <row r="8" spans="1:12" x14ac:dyDescent="0.2">
      <c r="A8" s="21">
        <v>7</v>
      </c>
      <c r="B8" s="1">
        <f>('03 Linear Trend'!J8-'03 Linear Trend'!A8)^2</f>
        <v>1792014.4875982332</v>
      </c>
      <c r="C8" s="1">
        <f>('03 Power Trend'!J8-'03 Power Trend'!A8)^2</f>
        <v>95576345.221955374</v>
      </c>
      <c r="D8" s="1">
        <f>('03 Exponential Trend'!J8-'03 Exponential Trend'!A8)^2</f>
        <v>346528.2341820267</v>
      </c>
      <c r="E8" s="1">
        <f>('04 Quadratic Trend'!K8-'04 Quadratic Trend'!A8)^2</f>
        <v>1630969.3699972478</v>
      </c>
      <c r="F8">
        <f>('04 Logistic Trend'!G8-'04 Logistic Trend'!A8)^2</f>
        <v>1173115983.2807934</v>
      </c>
    </row>
    <row r="9" spans="1:12" x14ac:dyDescent="0.2">
      <c r="A9" s="21">
        <v>8</v>
      </c>
      <c r="B9" s="1">
        <f>('03 Linear Trend'!J9-'03 Linear Trend'!A9)^2</f>
        <v>32856615.458296232</v>
      </c>
      <c r="C9" s="1">
        <f>('03 Power Trend'!J9-'03 Power Trend'!A9)^2</f>
        <v>40654127.929386012</v>
      </c>
      <c r="D9" s="1">
        <f>('03 Exponential Trend'!J9-'03 Exponential Trend'!A9)^2</f>
        <v>18839076.233296998</v>
      </c>
      <c r="E9" s="1">
        <f>('04 Quadratic Trend'!K9-'04 Quadratic Trend'!A9)^2</f>
        <v>24278768.777672514</v>
      </c>
      <c r="F9">
        <f>('04 Logistic Trend'!G9-'04 Logistic Trend'!A9)^2</f>
        <v>941554230.69023371</v>
      </c>
    </row>
    <row r="10" spans="1:12" x14ac:dyDescent="0.2">
      <c r="A10" s="21">
        <v>9</v>
      </c>
      <c r="B10" s="1">
        <f>('03 Linear Trend'!J10-'03 Linear Trend'!A10)^2</f>
        <v>3095922.515476102</v>
      </c>
      <c r="C10" s="1">
        <f>('03 Power Trend'!J10-'03 Power Trend'!A10)^2</f>
        <v>210034677.68036026</v>
      </c>
      <c r="D10" s="1">
        <f>('03 Exponential Trend'!J10-'03 Exponential Trend'!A10)^2</f>
        <v>6994664.7815071139</v>
      </c>
      <c r="E10" s="1">
        <f>('04 Quadratic Trend'!K10-'04 Quadratic Trend'!A10)^2</f>
        <v>758900.01356837829</v>
      </c>
      <c r="F10">
        <f>('04 Logistic Trend'!G10-'04 Logistic Trend'!A10)^2</f>
        <v>1513102443.1173403</v>
      </c>
    </row>
    <row r="11" spans="1:12" x14ac:dyDescent="0.2">
      <c r="A11" s="21">
        <v>10</v>
      </c>
      <c r="B11" s="1">
        <f>('03 Linear Trend'!J11-'03 Linear Trend'!A11)^2</f>
        <v>27982874.924680222</v>
      </c>
      <c r="C11" s="1">
        <f>('03 Power Trend'!J11-'03 Power Trend'!A11)^2</f>
        <v>60403526.872457199</v>
      </c>
      <c r="D11" s="1">
        <f>('03 Exponential Trend'!J11-'03 Exponential Trend'!A11)^2</f>
        <v>23829125.24632014</v>
      </c>
      <c r="E11" s="1">
        <f>('04 Quadratic Trend'!K11-'04 Quadratic Trend'!A11)^2</f>
        <v>60115408.160964087</v>
      </c>
      <c r="F11">
        <f>('04 Logistic Trend'!G11-'04 Logistic Trend'!A11)^2</f>
        <v>1053910678.8553048</v>
      </c>
    </row>
    <row r="12" spans="1:12" x14ac:dyDescent="0.2">
      <c r="A12" s="21">
        <v>11</v>
      </c>
      <c r="B12" s="1">
        <f>('03 Linear Trend'!J12-'03 Linear Trend'!A12)^2</f>
        <v>6084649.3854416348</v>
      </c>
      <c r="C12" s="1">
        <f>('03 Power Trend'!J12-'03 Power Trend'!A12)^2</f>
        <v>243785771.34735259</v>
      </c>
      <c r="D12" s="1">
        <f>('03 Exponential Trend'!J12-'03 Exponential Trend'!A12)^2</f>
        <v>5896377.8049757201</v>
      </c>
      <c r="E12" s="1">
        <f>('04 Quadratic Trend'!K12-'04 Quadratic Trend'!A12)^2</f>
        <v>2114212.3178491504</v>
      </c>
      <c r="F12">
        <f>('04 Logistic Trend'!G12-'04 Logistic Trend'!A12)^2</f>
        <v>1658614628.2041745</v>
      </c>
    </row>
    <row r="13" spans="1:12" x14ac:dyDescent="0.2">
      <c r="A13" s="21">
        <v>12</v>
      </c>
      <c r="B13" s="1">
        <f>('03 Linear Trend'!J13-'03 Linear Trend'!A13)^2</f>
        <v>3931096.8158430881</v>
      </c>
      <c r="C13" s="1">
        <f>('03 Power Trend'!J13-'03 Power Trend'!A13)^2</f>
        <v>121989995.44722988</v>
      </c>
      <c r="D13" s="1">
        <f>('03 Exponential Trend'!J13-'03 Exponential Trend'!A13)^2</f>
        <v>5941837.0377855543</v>
      </c>
      <c r="E13" s="1">
        <f>('04 Quadratic Trend'!K13-'04 Quadratic Trend'!A13)^2</f>
        <v>52456886.589157537</v>
      </c>
      <c r="F13">
        <f>('04 Logistic Trend'!G13-'04 Logistic Trend'!A13)^2</f>
        <v>1344814414.2107873</v>
      </c>
    </row>
    <row r="14" spans="1:12" x14ac:dyDescent="0.2">
      <c r="A14" s="21">
        <v>13</v>
      </c>
      <c r="B14" s="1">
        <f>('03 Linear Trend'!J14-'03 Linear Trend'!A14)^2</f>
        <v>15248189.649637727</v>
      </c>
      <c r="C14" s="1">
        <f>('03 Power Trend'!J14-'03 Power Trend'!A14)^2</f>
        <v>276859196.9664368</v>
      </c>
      <c r="D14" s="1">
        <f>('03 Exponential Trend'!J14-'03 Exponential Trend'!A14)^2</f>
        <v>9390548.5418804791</v>
      </c>
      <c r="E14" s="1">
        <f>('04 Quadratic Trend'!K14-'04 Quadratic Trend'!A14)^2</f>
        <v>6638101.1807097262</v>
      </c>
      <c r="F14">
        <f>('04 Logistic Trend'!G14-'04 Logistic Trend'!A14)^2</f>
        <v>1835537532.9114833</v>
      </c>
    </row>
    <row r="15" spans="1:12" x14ac:dyDescent="0.2">
      <c r="A15" s="21">
        <v>14</v>
      </c>
      <c r="B15" s="1">
        <f>('03 Linear Trend'!J15-'03 Linear Trend'!A15)^2</f>
        <v>5529620.6554061584</v>
      </c>
      <c r="C15" s="1">
        <f>('03 Power Trend'!J15-'03 Power Trend'!A15)^2</f>
        <v>98784958.400226533</v>
      </c>
      <c r="D15" s="1">
        <f>('03 Exponential Trend'!J15-'03 Exponential Trend'!A15)^2</f>
        <v>12576751.948850712</v>
      </c>
      <c r="E15" s="1">
        <f>('04 Quadratic Trend'!K15-'04 Quadratic Trend'!A15)^2</f>
        <v>98729043.970585421</v>
      </c>
      <c r="F15">
        <f>('04 Logistic Trend'!G15-'04 Logistic Trend'!A15)^2</f>
        <v>1351247202.8410447</v>
      </c>
    </row>
    <row r="16" spans="1:12" x14ac:dyDescent="0.2">
      <c r="A16" s="21">
        <v>15</v>
      </c>
      <c r="B16" s="1">
        <f>('03 Linear Trend'!J16-'03 Linear Trend'!A16)^2</f>
        <v>32490887.729909938</v>
      </c>
      <c r="C16" s="1">
        <f>('03 Power Trend'!J16-'03 Power Trend'!A16)^2</f>
        <v>303317446.2584672</v>
      </c>
      <c r="D16" s="1">
        <f>('03 Exponential Trend'!J16-'03 Exponential Trend'!A16)^2</f>
        <v>17493461.437817555</v>
      </c>
      <c r="E16" s="1">
        <f>('04 Quadratic Trend'!K16-'04 Quadratic Trend'!A16)^2</f>
        <v>8237507.2522130674</v>
      </c>
      <c r="F16">
        <f>('04 Logistic Trend'!G16-'04 Logistic Trend'!A16)^2</f>
        <v>2013535932.258743</v>
      </c>
    </row>
    <row r="17" spans="1:6" x14ac:dyDescent="0.2">
      <c r="A17" s="21">
        <v>16</v>
      </c>
      <c r="B17" s="1">
        <f>('03 Linear Trend'!J17-'03 Linear Trend'!A17)^2</f>
        <v>1456053.1792077729</v>
      </c>
      <c r="C17" s="1">
        <f>('03 Power Trend'!J17-'03 Power Trend'!A17)^2</f>
        <v>149635844.49943876</v>
      </c>
      <c r="D17" s="1">
        <f>('03 Exponential Trend'!J17-'03 Exponential Trend'!A17)^2</f>
        <v>361803.43349704641</v>
      </c>
      <c r="E17" s="1">
        <f>('04 Quadratic Trend'!K17-'04 Quadratic Trend'!A17)^2</f>
        <v>67749717.947377279</v>
      </c>
      <c r="F17">
        <f>('04 Logistic Trend'!G17-'04 Logistic Trend'!A17)^2</f>
        <v>1626532613.9288039</v>
      </c>
    </row>
    <row r="18" spans="1:6" x14ac:dyDescent="0.2">
      <c r="A18" s="21">
        <v>17</v>
      </c>
      <c r="B18" s="1">
        <f>('03 Linear Trend'!J18-'03 Linear Trend'!A18)^2</f>
        <v>35560502.047861978</v>
      </c>
      <c r="C18" s="1">
        <f>('03 Power Trend'!J18-'03 Power Trend'!A18)^2</f>
        <v>262332447.02308941</v>
      </c>
      <c r="D18" s="1">
        <f>('03 Exponential Trend'!J18-'03 Exponential Trend'!A18)^2</f>
        <v>15186637.930029577</v>
      </c>
      <c r="E18" s="1">
        <f>('04 Quadratic Trend'!K18-'04 Quadratic Trend'!A18)^2</f>
        <v>17842147.824670665</v>
      </c>
      <c r="F18">
        <f>('04 Logistic Trend'!G18-'04 Logistic Trend'!A18)^2</f>
        <v>2018616176.895128</v>
      </c>
    </row>
    <row r="19" spans="1:6" x14ac:dyDescent="0.2">
      <c r="A19" s="21">
        <v>18</v>
      </c>
      <c r="B19" s="1">
        <f>('03 Linear Trend'!J19-'03 Linear Trend'!A19)^2</f>
        <v>1679991.5574956189</v>
      </c>
      <c r="C19" s="1">
        <f>('03 Power Trend'!J19-'03 Power Trend'!A19)^2</f>
        <v>64853298.098246932</v>
      </c>
      <c r="D19" s="1">
        <f>('03 Exponential Trend'!J19-'03 Exponential Trend'!A19)^2</f>
        <v>12870353.658218468</v>
      </c>
      <c r="E19" s="1">
        <f>('04 Quadratic Trend'!K19-'04 Quadratic Trend'!A19)^2</f>
        <v>146773969.74447498</v>
      </c>
      <c r="F19">
        <f>('04 Logistic Trend'!G19-'04 Logistic Trend'!A19)^2</f>
        <v>1399066111.2313085</v>
      </c>
    </row>
    <row r="20" spans="1:6" x14ac:dyDescent="0.2">
      <c r="A20" s="21">
        <v>19</v>
      </c>
      <c r="B20" s="1">
        <f>('03 Linear Trend'!J20-'03 Linear Trend'!A20)^2</f>
        <v>58330604.813443154</v>
      </c>
      <c r="C20" s="1">
        <f>('03 Power Trend'!J20-'03 Power Trend'!A20)^2</f>
        <v>256645174.29762799</v>
      </c>
      <c r="D20" s="1">
        <f>('03 Exponential Trend'!J20-'03 Exponential Trend'!A20)^2</f>
        <v>26567335.646511324</v>
      </c>
      <c r="E20" s="1">
        <f>('04 Quadratic Trend'!K20-'04 Quadratic Trend'!A20)^2</f>
        <v>13653940.620088283</v>
      </c>
      <c r="F20">
        <f>('04 Logistic Trend'!G20-'04 Logistic Trend'!A20)^2</f>
        <v>2112905022.3003552</v>
      </c>
    </row>
    <row r="21" spans="1:6" x14ac:dyDescent="0.2">
      <c r="A21" s="21">
        <v>20</v>
      </c>
      <c r="B21" s="1">
        <f>('03 Linear Trend'!J21-'03 Linear Trend'!A21)^2</f>
        <v>11115822.375794986</v>
      </c>
      <c r="C21" s="1">
        <f>('03 Power Trend'!J21-'03 Power Trend'!A21)^2</f>
        <v>113965810.04614255</v>
      </c>
      <c r="D21" s="1">
        <f>('03 Exponential Trend'!J21-'03 Exponential Trend'!A21)^2</f>
        <v>480375.81144314044</v>
      </c>
      <c r="E21" s="1">
        <f>('04 Quadratic Trend'!K21-'04 Quadratic Trend'!A21)^2</f>
        <v>70463872.065332845</v>
      </c>
      <c r="F21">
        <f>('04 Logistic Trend'!G21-'04 Logistic Trend'!A21)^2</f>
        <v>1696440651.8230791</v>
      </c>
    </row>
    <row r="22" spans="1:6" x14ac:dyDescent="0.2">
      <c r="A22" s="21">
        <v>21</v>
      </c>
      <c r="B22" s="1">
        <f>('03 Linear Trend'!J22-'03 Linear Trend'!A22)^2</f>
        <v>168704570.67846486</v>
      </c>
      <c r="C22" s="1">
        <f>('03 Power Trend'!J22-'03 Power Trend'!A22)^2</f>
        <v>369441653.20704079</v>
      </c>
      <c r="D22" s="1">
        <f>('03 Exponential Trend'!J22-'03 Exponential Trend'!A22)^2</f>
        <v>104533273.40120365</v>
      </c>
      <c r="E22" s="1">
        <f>('04 Quadratic Trend'!K22-'04 Quadratic Trend'!A22)^2</f>
        <v>965330.8323761581</v>
      </c>
      <c r="F22">
        <f>('04 Logistic Trend'!G22-'04 Logistic Trend'!A22)^2</f>
        <v>2526670756</v>
      </c>
    </row>
    <row r="23" spans="1:6" x14ac:dyDescent="0.2">
      <c r="A23" s="21">
        <v>22</v>
      </c>
      <c r="B23" s="1">
        <f>('03 Linear Trend'!J23-'03 Linear Trend'!A23)^2</f>
        <v>520990886.2206037</v>
      </c>
      <c r="C23" s="1">
        <f>('03 Power Trend'!J23-'03 Power Trend'!A23)^2</f>
        <v>777637214.83308172</v>
      </c>
      <c r="D23" s="1">
        <f>('03 Exponential Trend'!J23-'03 Exponential Trend'!A23)^2</f>
        <v>398880593.37727976</v>
      </c>
      <c r="E23" s="1">
        <f>('04 Quadratic Trend'!K23-'04 Quadratic Trend'!A23)^2</f>
        <v>113619441.70398356</v>
      </c>
      <c r="F23">
        <f>('04 Logistic Trend'!G23-'04 Logistic Trend'!A23)^2</f>
        <v>3531601633.9924502</v>
      </c>
    </row>
    <row r="24" spans="1:6" x14ac:dyDescent="0.2">
      <c r="A24" s="21">
        <v>23</v>
      </c>
      <c r="B24" s="1">
        <f>('03 Linear Trend'!J24-'03 Linear Trend'!A24)^2</f>
        <v>445286688.91924071</v>
      </c>
      <c r="C24" s="1">
        <f>('03 Power Trend'!J24-'03 Power Trend'!A24)^2</f>
        <v>621725256.98674881</v>
      </c>
      <c r="D24" s="1">
        <f>('03 Exponential Trend'!J24-'03 Exponential Trend'!A24)^2</f>
        <v>331061414.71359938</v>
      </c>
      <c r="E24" s="1">
        <f>('04 Quadratic Trend'!K24-'04 Quadratic Trend'!A24)^2</f>
        <v>79101680.600979775</v>
      </c>
      <c r="F24">
        <f>('04 Logistic Trend'!G24-'04 Logistic Trend'!A24)^2</f>
        <v>3241301365.65065</v>
      </c>
    </row>
    <row r="25" spans="1:6" x14ac:dyDescent="0.2">
      <c r="A25" s="21">
        <v>24</v>
      </c>
      <c r="B25" s="1">
        <f>('03 Linear Trend'!J25-'03 Linear Trend'!A25)^2</f>
        <v>231386982.33056802</v>
      </c>
      <c r="C25" s="1">
        <f>('03 Power Trend'!J25-'03 Power Trend'!A25)^2</f>
        <v>315529765.10709876</v>
      </c>
      <c r="D25" s="1">
        <f>('03 Exponential Trend'!J25-'03 Exponential Trend'!A25)^2</f>
        <v>150968452.41671762</v>
      </c>
      <c r="E25" s="1">
        <f>('04 Quadratic Trend'!K25-'04 Quadratic Trend'!A25)^2</f>
        <v>9483467.7478871476</v>
      </c>
      <c r="F25">
        <f>('04 Logistic Trend'!G25-'04 Logistic Trend'!A25)^2</f>
        <v>2517761603.2033615</v>
      </c>
    </row>
    <row r="26" spans="1:6" x14ac:dyDescent="0.2">
      <c r="A26" s="21">
        <v>25</v>
      </c>
      <c r="B26" s="1">
        <f>('03 Linear Trend'!J26-'03 Linear Trend'!A26)^2</f>
        <v>500327514.62474644</v>
      </c>
      <c r="C26" s="1">
        <f>('03 Power Trend'!J26-'03 Power Trend'!A26)^2</f>
        <v>556503151.98456359</v>
      </c>
      <c r="D26" s="1">
        <f>('03 Exponential Trend'!J26-'03 Exponential Trend'!A26)^2</f>
        <v>378768082.30006814</v>
      </c>
      <c r="E26" s="1">
        <f>('04 Quadratic Trend'!K26-'04 Quadratic Trend'!A26)^2</f>
        <v>108786490.54025511</v>
      </c>
      <c r="F26">
        <f>('04 Logistic Trend'!G26-'04 Logistic Trend'!A26)^2</f>
        <v>3178576992.7629743</v>
      </c>
    </row>
    <row r="27" spans="1:6" x14ac:dyDescent="0.2">
      <c r="A27" s="21">
        <v>26</v>
      </c>
      <c r="B27" s="1">
        <f>('03 Linear Trend'!J27-'03 Linear Trend'!A27)^2</f>
        <v>57313900.194538847</v>
      </c>
      <c r="C27" s="1">
        <f>('03 Power Trend'!J27-'03 Power Trend'!A27)^2</f>
        <v>55032926.963545986</v>
      </c>
      <c r="D27" s="1">
        <f>('03 Exponential Trend'!J27-'03 Exponential Trend'!A27)^2</f>
        <v>22275680.660299357</v>
      </c>
      <c r="E27" s="1">
        <f>('04 Quadratic Trend'!K27-'04 Quadratic Trend'!A27)^2</f>
        <v>16446516.880577696</v>
      </c>
      <c r="F27">
        <f>('04 Logistic Trend'!G27-'04 Logistic Trend'!A27)^2</f>
        <v>1643425567.7501938</v>
      </c>
    </row>
    <row r="28" spans="1:6" x14ac:dyDescent="0.2">
      <c r="A28" s="21">
        <v>27</v>
      </c>
      <c r="B28" s="1">
        <f>('03 Linear Trend'!J28-'03 Linear Trend'!A28)^2</f>
        <v>162745816.49978569</v>
      </c>
      <c r="C28" s="1">
        <f>('03 Power Trend'!J28-'03 Power Trend'!A28)^2</f>
        <v>125184576.76684488</v>
      </c>
      <c r="D28" s="1">
        <f>('03 Exponential Trend'!J28-'03 Exponential Trend'!A28)^2</f>
        <v>99973183.945459038</v>
      </c>
      <c r="E28" s="1">
        <f>('04 Quadratic Trend'!K28-'04 Quadratic Trend'!A28)^2</f>
        <v>2436732.1712811533</v>
      </c>
      <c r="F28">
        <f>('04 Logistic Trend'!G28-'04 Logistic Trend'!A28)^2</f>
        <v>1989102750.6644146</v>
      </c>
    </row>
    <row r="29" spans="1:6" x14ac:dyDescent="0.2">
      <c r="A29" s="21">
        <v>28</v>
      </c>
      <c r="B29" s="1">
        <f>('03 Linear Trend'!J29-'03 Linear Trend'!A29)^2</f>
        <v>48717318.690644458</v>
      </c>
      <c r="C29" s="1">
        <f>('03 Power Trend'!J29-'03 Power Trend'!A29)^2</f>
        <v>15647172.259827757</v>
      </c>
      <c r="D29" s="1">
        <f>('03 Exponential Trend'!J29-'03 Exponential Trend'!A29)^2</f>
        <v>18933895.645172615</v>
      </c>
      <c r="E29" s="1">
        <f>('04 Quadratic Trend'!K29-'04 Quadratic Trend'!A29)^2</f>
        <v>13458782.913236061</v>
      </c>
      <c r="F29">
        <f>('04 Logistic Trend'!G29-'04 Logistic Trend'!A29)^2</f>
        <v>1414853062.6528311</v>
      </c>
    </row>
    <row r="30" spans="1:6" x14ac:dyDescent="0.2">
      <c r="A30" s="21">
        <v>29</v>
      </c>
      <c r="B30" s="1">
        <f>('03 Linear Trend'!J30-'03 Linear Trend'!A30)^2</f>
        <v>62037230.965473801</v>
      </c>
      <c r="C30" s="1">
        <f>('03 Power Trend'!J30-'03 Power Trend'!A30)^2</f>
        <v>11290452.640241381</v>
      </c>
      <c r="D30" s="1">
        <f>('03 Exponential Trend'!J30-'03 Exponential Trend'!A30)^2</f>
        <v>29334934.66367704</v>
      </c>
      <c r="E30" s="1">
        <f>('04 Quadratic Trend'!K30-'04 Quadratic Trend'!A30)^2</f>
        <v>4436522.6520284377</v>
      </c>
      <c r="F30">
        <f>('04 Logistic Trend'!G30-'04 Logistic Trend'!A30)^2</f>
        <v>1385765200.0024686</v>
      </c>
    </row>
    <row r="31" spans="1:6" x14ac:dyDescent="0.2">
      <c r="A31" s="21">
        <v>30</v>
      </c>
      <c r="B31" s="1">
        <f>('03 Linear Trend'!J31-'03 Linear Trend'!A31)^2</f>
        <v>19519041.183689807</v>
      </c>
      <c r="C31" s="1">
        <f>('03 Power Trend'!J31-'03 Power Trend'!A31)^2</f>
        <v>109426107.1029353</v>
      </c>
      <c r="D31" s="1">
        <f>('03 Exponential Trend'!J31-'03 Exponential Trend'!A31)^2</f>
        <v>44505346.38507881</v>
      </c>
      <c r="E31" s="1">
        <f>('04 Quadratic Trend'!K31-'04 Quadratic Trend'!A31)^2</f>
        <v>185424012.57508796</v>
      </c>
      <c r="F31">
        <f>('04 Logistic Trend'!G31-'04 Logistic Trend'!A31)^2</f>
        <v>555616376.33167958</v>
      </c>
    </row>
    <row r="32" spans="1:6" x14ac:dyDescent="0.2">
      <c r="A32" s="21">
        <v>31</v>
      </c>
      <c r="B32" s="1">
        <f>('03 Linear Trend'!J32-'03 Linear Trend'!A32)^2</f>
        <v>279371.99369341158</v>
      </c>
      <c r="C32" s="1">
        <f>('03 Power Trend'!J32-'03 Power Trend'!A32)^2</f>
        <v>50023610.210215621</v>
      </c>
      <c r="D32" s="1">
        <f>('03 Exponential Trend'!J32-'03 Exponential Trend'!A32)^2</f>
        <v>2185622.5814453182</v>
      </c>
      <c r="E32" s="1">
        <f>('04 Quadratic Trend'!K32-'04 Quadratic Trend'!A32)^2</f>
        <v>60355043.359219648</v>
      </c>
      <c r="F32">
        <f>('04 Logistic Trend'!G32-'04 Logistic Trend'!A32)^2</f>
        <v>733684534.96944392</v>
      </c>
    </row>
    <row r="33" spans="1:6" x14ac:dyDescent="0.2">
      <c r="A33" s="21">
        <v>32</v>
      </c>
      <c r="B33" s="1">
        <f>('03 Linear Trend'!J33-'03 Linear Trend'!A33)^2</f>
        <v>58153604.47401043</v>
      </c>
      <c r="C33" s="1">
        <f>('03 Power Trend'!J33-'03 Power Trend'!A33)^2</f>
        <v>282781836.22845834</v>
      </c>
      <c r="D33" s="1">
        <f>('03 Exponential Trend'!J33-'03 Exponential Trend'!A33)^2</f>
        <v>87361788.703935474</v>
      </c>
      <c r="E33" s="1">
        <f>('04 Quadratic Trend'!K33-'04 Quadratic Trend'!A33)^2</f>
        <v>222120636.38265446</v>
      </c>
      <c r="F33">
        <f>('04 Logistic Trend'!G33-'04 Logistic Trend'!A33)^2</f>
        <v>303883370.39475238</v>
      </c>
    </row>
    <row r="34" spans="1:6" x14ac:dyDescent="0.2">
      <c r="A34" s="21">
        <v>33</v>
      </c>
      <c r="B34" s="1">
        <f>('03 Linear Trend'!J34-'03 Linear Trend'!A34)^2</f>
        <v>619776.18204464414</v>
      </c>
      <c r="C34" s="1">
        <f>('03 Power Trend'!J34-'03 Power Trend'!A34)^2</f>
        <v>134446726.668542</v>
      </c>
      <c r="D34" s="1">
        <f>('03 Exponential Trend'!J34-'03 Exponential Trend'!A34)^2</f>
        <v>4760241.9124058904</v>
      </c>
      <c r="E34" s="1">
        <f>('04 Quadratic Trend'!K34-'04 Quadratic Trend'!A34)^2</f>
        <v>47992093.253565662</v>
      </c>
      <c r="F34">
        <f>('04 Logistic Trend'!G34-'04 Logistic Trend'!A34)^2</f>
        <v>515538936.49430805</v>
      </c>
    </row>
    <row r="35" spans="1:6" x14ac:dyDescent="0.2">
      <c r="A35" s="21">
        <v>34</v>
      </c>
      <c r="B35" s="1">
        <f>('03 Linear Trend'!J35-'03 Linear Trend'!A35)^2</f>
        <v>85519330.784766451</v>
      </c>
      <c r="C35" s="1">
        <f>('03 Power Trend'!J35-'03 Power Trend'!A35)^2</f>
        <v>470896818.61256391</v>
      </c>
      <c r="D35" s="1">
        <f>('03 Exponential Trend'!J35-'03 Exponential Trend'!A35)^2</f>
        <v>105575108.64311148</v>
      </c>
      <c r="E35" s="1">
        <f>('04 Quadratic Trend'!K35-'04 Quadratic Trend'!A35)^2</f>
        <v>199730724.62605524</v>
      </c>
      <c r="F35">
        <f>('04 Logistic Trend'!G35-'04 Logistic Trend'!A35)^2</f>
        <v>159196179.94068554</v>
      </c>
    </row>
    <row r="36" spans="1:6" x14ac:dyDescent="0.2">
      <c r="A36" s="21">
        <v>35</v>
      </c>
      <c r="B36" s="1">
        <f>('03 Linear Trend'!J36-'03 Linear Trend'!A36)^2</f>
        <v>33097.135341426074</v>
      </c>
      <c r="C36" s="1">
        <f>('03 Power Trend'!J36-'03 Power Trend'!A36)^2</f>
        <v>194345781.53223288</v>
      </c>
      <c r="D36" s="1">
        <f>('03 Exponential Trend'!J36-'03 Exponential Trend'!A36)^2</f>
        <v>190734.13079018687</v>
      </c>
      <c r="E36" s="1">
        <f>('04 Quadratic Trend'!K36-'04 Quadratic Trend'!A36)^2</f>
        <v>11086573.738612924</v>
      </c>
      <c r="F36">
        <f>('04 Logistic Trend'!G36-'04 Logistic Trend'!A36)^2</f>
        <v>414513978.30729324</v>
      </c>
    </row>
    <row r="37" spans="1:6" x14ac:dyDescent="0.2">
      <c r="A37" s="21">
        <v>36</v>
      </c>
      <c r="B37" s="1">
        <f>('03 Linear Trend'!J37-'03 Linear Trend'!A37)^2</f>
        <v>53049101.354431465</v>
      </c>
      <c r="C37" s="1">
        <f>('03 Power Trend'!J37-'03 Power Trend'!A37)^2</f>
        <v>533642484.99592727</v>
      </c>
      <c r="D37" s="1">
        <f>('03 Exponential Trend'!J37-'03 Exponential Trend'!A37)^2</f>
        <v>55524951.307410851</v>
      </c>
      <c r="E37" s="1">
        <f>('04 Quadratic Trend'!K37-'04 Quadratic Trend'!A37)^2</f>
        <v>86559733.941227764</v>
      </c>
      <c r="F37">
        <f>('04 Logistic Trend'!G37-'04 Logistic Trend'!A37)^2</f>
        <v>124328931.36050892</v>
      </c>
    </row>
    <row r="38" spans="1:6" x14ac:dyDescent="0.2">
      <c r="A38" s="21">
        <v>37</v>
      </c>
      <c r="B38" s="1">
        <f>('03 Linear Trend'!J38-'03 Linear Trend'!A38)^2</f>
        <v>10284136.980884466</v>
      </c>
      <c r="C38" s="1">
        <f>('03 Power Trend'!J38-'03 Power Trend'!A38)^2</f>
        <v>430216232.61522508</v>
      </c>
      <c r="D38" s="1">
        <f>('03 Exponential Trend'!J38-'03 Exponential Trend'!A38)^2</f>
        <v>8304388.0360573661</v>
      </c>
      <c r="E38" s="1">
        <f>('04 Quadratic Trend'!K38-'04 Quadratic Trend'!A38)^2</f>
        <v>13089237.740098055</v>
      </c>
      <c r="F38">
        <f>('04 Logistic Trend'!G38-'04 Logistic Trend'!A38)^2</f>
        <v>180340168.09390414</v>
      </c>
    </row>
    <row r="39" spans="1:6" x14ac:dyDescent="0.2">
      <c r="A39" s="21">
        <v>38</v>
      </c>
      <c r="B39" s="1">
        <f>('03 Linear Trend'!J39-'03 Linear Trend'!A39)^2</f>
        <v>207541380.93197486</v>
      </c>
      <c r="C39" s="1">
        <f>('03 Power Trend'!J39-'03 Power Trend'!A39)^2</f>
        <v>1134377261.491982</v>
      </c>
      <c r="D39" s="1">
        <f>('03 Exponential Trend'!J39-'03 Exponential Trend'!A39)^2</f>
        <v>183462592.30218256</v>
      </c>
      <c r="E39" s="1">
        <f>('04 Quadratic Trend'!K39-'04 Quadratic Trend'!A39)^2</f>
        <v>171351268.49456584</v>
      </c>
      <c r="F39">
        <f>('04 Logistic Trend'!G39-'04 Logistic Trend'!A39)^2</f>
        <v>144908.96613443384</v>
      </c>
    </row>
    <row r="40" spans="1:6" x14ac:dyDescent="0.2">
      <c r="A40" s="21">
        <v>39</v>
      </c>
      <c r="B40" s="1">
        <f>('03 Linear Trend'!J40-'03 Linear Trend'!A40)^2</f>
        <v>20964531.756189726</v>
      </c>
      <c r="C40" s="1">
        <f>('03 Power Trend'!J40-'03 Power Trend'!A40)^2</f>
        <v>656038245.72173703</v>
      </c>
      <c r="D40" s="1">
        <f>('03 Exponential Trend'!J40-'03 Exponential Trend'!A40)^2</f>
        <v>9842224.779229993</v>
      </c>
      <c r="E40" s="1">
        <f>('04 Quadratic Trend'!K40-'04 Quadratic Trend'!A40)^2</f>
        <v>2009011.3760086424</v>
      </c>
      <c r="F40">
        <f>('04 Logistic Trend'!G40-'04 Logistic Trend'!A40)^2</f>
        <v>69066886.590951189</v>
      </c>
    </row>
    <row r="41" spans="1:6" x14ac:dyDescent="0.2">
      <c r="A41" s="21">
        <v>40</v>
      </c>
      <c r="B41" s="1">
        <f>('03 Linear Trend'!J41-'03 Linear Trend'!A41)^2</f>
        <v>205983111.43619913</v>
      </c>
      <c r="C41" s="1">
        <f>('03 Power Trend'!J41-'03 Power Trend'!A41)^2</f>
        <v>1381375447.7761424</v>
      </c>
      <c r="D41" s="1">
        <f>('03 Exponential Trend'!J41-'03 Exponential Trend'!A41)^2</f>
        <v>150953889.95794123</v>
      </c>
      <c r="E41" s="1">
        <f>('04 Quadratic Trend'!K41-'04 Quadratic Trend'!A41)^2</f>
        <v>85151001.533450752</v>
      </c>
      <c r="F41">
        <f>('04 Logistic Trend'!G41-'04 Logistic Trend'!A41)^2</f>
        <v>11604121.765561463</v>
      </c>
    </row>
    <row r="42" spans="1:6" x14ac:dyDescent="0.2">
      <c r="A42" s="21">
        <v>41</v>
      </c>
      <c r="B42" s="1">
        <f>('03 Linear Trend'!J42-'03 Linear Trend'!A42)^2</f>
        <v>23016191.681660526</v>
      </c>
      <c r="C42" s="1">
        <f>('03 Power Trend'!J42-'03 Power Trend'!A42)^2</f>
        <v>865034022.66531658</v>
      </c>
      <c r="D42" s="1">
        <f>('03 Exponential Trend'!J42-'03 Exponential Trend'!A42)^2</f>
        <v>4254027.5179008683</v>
      </c>
      <c r="E42" s="1">
        <f>('04 Quadratic Trend'!K42-'04 Quadratic Trend'!A42)^2</f>
        <v>5797870.8355585951</v>
      </c>
      <c r="F42">
        <f>('04 Logistic Trend'!G42-'04 Logistic Trend'!A42)^2</f>
        <v>17311260.873558506</v>
      </c>
    </row>
    <row r="43" spans="1:6" x14ac:dyDescent="0.2">
      <c r="A43" s="21">
        <v>42</v>
      </c>
      <c r="B43" s="1">
        <f>('03 Linear Trend'!J43-'03 Linear Trend'!A43)^2</f>
        <v>295390456.61996371</v>
      </c>
      <c r="C43" s="1">
        <f>('03 Power Trend'!J43-'03 Power Trend'!A43)^2</f>
        <v>1902547759.266885</v>
      </c>
      <c r="D43" s="1">
        <f>('03 Exponential Trend'!J43-'03 Exponential Trend'!A43)^2</f>
        <v>188711346.89022738</v>
      </c>
      <c r="E43" s="1">
        <f>('04 Quadratic Trend'!K43-'04 Quadratic Trend'!A43)^2</f>
        <v>60568479.78501337</v>
      </c>
      <c r="F43">
        <f>('04 Logistic Trend'!G43-'04 Logistic Trend'!A43)^2</f>
        <v>105217382.33341436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BFFF1-1A0E-9D4B-8BE5-1B1C83752C89}">
  <dimension ref="B1:Y95"/>
  <sheetViews>
    <sheetView tabSelected="1" topLeftCell="A53" workbookViewId="0">
      <selection activeCell="Q80" sqref="Q80"/>
    </sheetView>
  </sheetViews>
  <sheetFormatPr baseColWidth="10" defaultRowHeight="16" x14ac:dyDescent="0.2"/>
  <sheetData>
    <row r="1" spans="2:25" ht="17" thickBot="1" x14ac:dyDescent="0.25"/>
    <row r="2" spans="2:25" x14ac:dyDescent="0.2">
      <c r="B2" s="24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6"/>
    </row>
    <row r="3" spans="2:25" x14ac:dyDescent="0.2">
      <c r="B3" s="6"/>
      <c r="C3" s="27"/>
      <c r="D3" s="27"/>
      <c r="E3" s="27"/>
      <c r="F3" s="27"/>
      <c r="G3" s="27"/>
      <c r="H3" s="27"/>
      <c r="I3" s="27"/>
      <c r="J3" s="27"/>
      <c r="K3" s="27"/>
      <c r="L3" s="27"/>
      <c r="M3" s="32" t="s">
        <v>119</v>
      </c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8"/>
    </row>
    <row r="4" spans="2:25" x14ac:dyDescent="0.2">
      <c r="B4" s="6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8"/>
    </row>
    <row r="5" spans="2:25" x14ac:dyDescent="0.2">
      <c r="B5" s="6"/>
      <c r="C5" s="27"/>
      <c r="D5" s="27"/>
      <c r="E5" s="27"/>
      <c r="F5" s="27"/>
      <c r="G5" s="27"/>
      <c r="H5" s="27"/>
      <c r="I5" s="27"/>
      <c r="J5" s="27"/>
      <c r="K5" s="27"/>
      <c r="L5" s="27"/>
      <c r="M5" s="31" t="s">
        <v>112</v>
      </c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8"/>
    </row>
    <row r="6" spans="2:25" x14ac:dyDescent="0.2">
      <c r="B6" s="6"/>
      <c r="C6" s="27"/>
      <c r="D6" s="27"/>
      <c r="E6" s="27"/>
      <c r="F6" s="27"/>
      <c r="G6" s="27"/>
      <c r="H6" s="27"/>
      <c r="I6" s="27"/>
      <c r="J6" s="27"/>
      <c r="K6" s="27"/>
      <c r="L6" s="27"/>
      <c r="M6" s="31" t="s">
        <v>113</v>
      </c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8"/>
    </row>
    <row r="7" spans="2:25" x14ac:dyDescent="0.2">
      <c r="B7" s="6"/>
      <c r="C7" s="27"/>
      <c r="D7" s="27"/>
      <c r="E7" s="27"/>
      <c r="F7" s="27"/>
      <c r="G7" s="27"/>
      <c r="H7" s="27"/>
      <c r="I7" s="27"/>
      <c r="J7" s="27"/>
      <c r="K7" s="27"/>
      <c r="L7" s="27"/>
      <c r="M7" s="31" t="s">
        <v>114</v>
      </c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8"/>
    </row>
    <row r="8" spans="2:25" x14ac:dyDescent="0.2">
      <c r="B8" s="6"/>
      <c r="C8" s="27"/>
      <c r="D8" s="27"/>
      <c r="E8" s="27"/>
      <c r="F8" s="27"/>
      <c r="G8" s="27"/>
      <c r="H8" s="27"/>
      <c r="I8" s="27"/>
      <c r="J8" s="27"/>
      <c r="K8" s="27"/>
      <c r="L8" s="27"/>
      <c r="M8" s="31" t="s">
        <v>115</v>
      </c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8"/>
    </row>
    <row r="9" spans="2:25" x14ac:dyDescent="0.2">
      <c r="B9" s="6"/>
      <c r="C9" s="27"/>
      <c r="D9" s="27"/>
      <c r="E9" s="27"/>
      <c r="F9" s="27"/>
      <c r="G9" s="27"/>
      <c r="H9" s="27"/>
      <c r="I9" s="27"/>
      <c r="J9" s="27"/>
      <c r="K9" s="27"/>
      <c r="L9" s="27"/>
      <c r="M9" s="31" t="s">
        <v>116</v>
      </c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8"/>
    </row>
    <row r="10" spans="2:25" x14ac:dyDescent="0.2">
      <c r="B10" s="6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31" t="s">
        <v>117</v>
      </c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8"/>
    </row>
    <row r="11" spans="2:25" x14ac:dyDescent="0.2">
      <c r="B11" s="6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31" t="s">
        <v>118</v>
      </c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8"/>
    </row>
    <row r="12" spans="2:25" x14ac:dyDescent="0.2">
      <c r="B12" s="6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31" t="s">
        <v>122</v>
      </c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8"/>
    </row>
    <row r="13" spans="2:25" x14ac:dyDescent="0.2">
      <c r="B13" s="6"/>
      <c r="C13" s="27"/>
      <c r="D13" s="27"/>
      <c r="E13" s="27"/>
      <c r="F13" s="27"/>
      <c r="G13" s="27"/>
      <c r="H13" s="27"/>
      <c r="I13" s="27"/>
      <c r="J13" s="27"/>
      <c r="K13" s="27"/>
      <c r="L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8"/>
    </row>
    <row r="14" spans="2:25" x14ac:dyDescent="0.2">
      <c r="B14" s="6"/>
      <c r="C14" s="27"/>
      <c r="D14" s="27"/>
      <c r="E14" s="27"/>
      <c r="F14" s="27"/>
      <c r="G14" s="27"/>
      <c r="H14" s="27"/>
      <c r="I14" s="27"/>
      <c r="J14" s="27"/>
      <c r="K14" s="27"/>
      <c r="L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8"/>
    </row>
    <row r="15" spans="2:25" x14ac:dyDescent="0.2">
      <c r="B15" s="6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8"/>
    </row>
    <row r="16" spans="2:25" x14ac:dyDescent="0.2">
      <c r="B16" s="6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8"/>
    </row>
    <row r="17" spans="2:25" x14ac:dyDescent="0.2">
      <c r="B17" s="6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8"/>
    </row>
    <row r="18" spans="2:25" x14ac:dyDescent="0.2">
      <c r="B18" s="6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8"/>
    </row>
    <row r="19" spans="2:25" x14ac:dyDescent="0.2">
      <c r="B19" s="6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8"/>
    </row>
    <row r="20" spans="2:25" x14ac:dyDescent="0.2">
      <c r="B20" s="6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8"/>
    </row>
    <row r="21" spans="2:25" x14ac:dyDescent="0.2">
      <c r="B21" s="6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8"/>
    </row>
    <row r="22" spans="2:25" x14ac:dyDescent="0.2">
      <c r="B22" s="6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8"/>
    </row>
    <row r="23" spans="2:25" x14ac:dyDescent="0.2">
      <c r="B23" s="6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8"/>
    </row>
    <row r="24" spans="2:25" x14ac:dyDescent="0.2">
      <c r="B24" s="6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8"/>
    </row>
    <row r="25" spans="2:25" x14ac:dyDescent="0.2">
      <c r="B25" s="6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8"/>
    </row>
    <row r="26" spans="2:25" x14ac:dyDescent="0.2">
      <c r="B26" s="6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8"/>
    </row>
    <row r="27" spans="2:25" x14ac:dyDescent="0.2">
      <c r="B27" s="6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8"/>
    </row>
    <row r="28" spans="2:25" x14ac:dyDescent="0.2">
      <c r="B28" s="6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8"/>
    </row>
    <row r="29" spans="2:25" x14ac:dyDescent="0.2">
      <c r="B29" s="6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8"/>
    </row>
    <row r="30" spans="2:25" x14ac:dyDescent="0.2">
      <c r="B30" s="6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8"/>
    </row>
    <row r="31" spans="2:25" x14ac:dyDescent="0.2">
      <c r="B31" s="6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8"/>
    </row>
    <row r="32" spans="2:25" ht="17" thickBot="1" x14ac:dyDescent="0.25">
      <c r="B32" s="7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29"/>
    </row>
    <row r="33" spans="2:25" ht="17" thickBot="1" x14ac:dyDescent="0.25"/>
    <row r="34" spans="2:25" x14ac:dyDescent="0.2">
      <c r="B34" s="24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6"/>
    </row>
    <row r="35" spans="2:25" x14ac:dyDescent="0.2">
      <c r="B35" s="6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32" t="s">
        <v>126</v>
      </c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8"/>
    </row>
    <row r="36" spans="2:25" x14ac:dyDescent="0.2">
      <c r="B36" s="6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8"/>
    </row>
    <row r="37" spans="2:25" x14ac:dyDescent="0.2">
      <c r="B37" s="6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t="s">
        <v>123</v>
      </c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8"/>
    </row>
    <row r="38" spans="2:25" x14ac:dyDescent="0.2">
      <c r="B38" s="6"/>
      <c r="C38" s="27"/>
      <c r="D38" s="27"/>
      <c r="E38" s="27"/>
      <c r="F38" s="27"/>
      <c r="G38" s="27"/>
      <c r="H38" s="27"/>
      <c r="I38" s="27"/>
      <c r="J38" s="27"/>
      <c r="K38" s="27"/>
      <c r="L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8"/>
    </row>
    <row r="39" spans="2:25" x14ac:dyDescent="0.2">
      <c r="B39" s="6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8"/>
    </row>
    <row r="40" spans="2:25" x14ac:dyDescent="0.2">
      <c r="B40" s="6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 t="s">
        <v>120</v>
      </c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8"/>
    </row>
    <row r="41" spans="2:25" x14ac:dyDescent="0.2">
      <c r="B41" s="6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8"/>
    </row>
    <row r="42" spans="2:25" x14ac:dyDescent="0.2">
      <c r="B42" s="6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8"/>
    </row>
    <row r="43" spans="2:25" x14ac:dyDescent="0.2">
      <c r="B43" s="6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 t="s">
        <v>124</v>
      </c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8"/>
    </row>
    <row r="44" spans="2:25" x14ac:dyDescent="0.2">
      <c r="B44" s="6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 t="s">
        <v>125</v>
      </c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8"/>
    </row>
    <row r="45" spans="2:25" x14ac:dyDescent="0.2">
      <c r="B45" s="6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8"/>
    </row>
    <row r="46" spans="2:25" x14ac:dyDescent="0.2">
      <c r="B46" s="6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8"/>
    </row>
    <row r="47" spans="2:25" x14ac:dyDescent="0.2">
      <c r="B47" s="6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8"/>
    </row>
    <row r="48" spans="2:25" x14ac:dyDescent="0.2">
      <c r="B48" s="6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8"/>
    </row>
    <row r="49" spans="2:25" x14ac:dyDescent="0.2">
      <c r="B49" s="6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8"/>
    </row>
    <row r="50" spans="2:25" x14ac:dyDescent="0.2">
      <c r="B50" s="6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8"/>
    </row>
    <row r="51" spans="2:25" x14ac:dyDescent="0.2">
      <c r="B51" s="6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8"/>
    </row>
    <row r="52" spans="2:25" x14ac:dyDescent="0.2">
      <c r="B52" s="6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8"/>
    </row>
    <row r="53" spans="2:25" x14ac:dyDescent="0.2">
      <c r="B53" s="6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8"/>
    </row>
    <row r="54" spans="2:25" x14ac:dyDescent="0.2">
      <c r="B54" s="6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8"/>
    </row>
    <row r="55" spans="2:25" x14ac:dyDescent="0.2">
      <c r="B55" s="6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8"/>
    </row>
    <row r="56" spans="2:25" x14ac:dyDescent="0.2">
      <c r="B56" s="6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8"/>
    </row>
    <row r="57" spans="2:25" x14ac:dyDescent="0.2">
      <c r="B57" s="6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8"/>
    </row>
    <row r="58" spans="2:25" x14ac:dyDescent="0.2">
      <c r="B58" s="6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8"/>
    </row>
    <row r="59" spans="2:25" x14ac:dyDescent="0.2">
      <c r="B59" s="6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8"/>
    </row>
    <row r="60" spans="2:25" x14ac:dyDescent="0.2">
      <c r="B60" s="6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8"/>
    </row>
    <row r="61" spans="2:25" x14ac:dyDescent="0.2">
      <c r="B61" s="6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8"/>
    </row>
    <row r="62" spans="2:25" x14ac:dyDescent="0.2">
      <c r="B62" s="6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8"/>
    </row>
    <row r="63" spans="2:25" ht="17" thickBot="1" x14ac:dyDescent="0.25">
      <c r="B63" s="7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29"/>
    </row>
    <row r="64" spans="2:25" ht="17" thickBot="1" x14ac:dyDescent="0.25"/>
    <row r="65" spans="2:25" x14ac:dyDescent="0.2">
      <c r="B65" s="24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6"/>
    </row>
    <row r="66" spans="2:25" x14ac:dyDescent="0.2">
      <c r="B66" s="6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32" t="s">
        <v>139</v>
      </c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8"/>
    </row>
    <row r="67" spans="2:25" x14ac:dyDescent="0.2">
      <c r="B67" s="6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8"/>
    </row>
    <row r="68" spans="2:25" x14ac:dyDescent="0.2">
      <c r="B68" s="6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 t="s">
        <v>127</v>
      </c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8"/>
    </row>
    <row r="69" spans="2:25" x14ac:dyDescent="0.2">
      <c r="B69" s="6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 t="s">
        <v>128</v>
      </c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8"/>
    </row>
    <row r="70" spans="2:25" x14ac:dyDescent="0.2">
      <c r="B70" s="6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 t="s">
        <v>129</v>
      </c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8"/>
    </row>
    <row r="71" spans="2:25" x14ac:dyDescent="0.2">
      <c r="B71" s="6"/>
      <c r="C71" s="27"/>
      <c r="D71" s="27"/>
      <c r="E71" s="27"/>
      <c r="F71" s="27"/>
      <c r="G71" s="27"/>
      <c r="H71" s="27"/>
      <c r="I71" s="27"/>
      <c r="J71" s="27"/>
      <c r="K71" s="27"/>
      <c r="L71" s="27"/>
      <c r="Q71" s="27"/>
      <c r="R71" s="27"/>
      <c r="S71" s="27"/>
      <c r="T71" s="27"/>
      <c r="U71" s="27"/>
      <c r="V71" s="27"/>
      <c r="W71" s="27"/>
      <c r="X71" s="27"/>
      <c r="Y71" s="28"/>
    </row>
    <row r="72" spans="2:25" x14ac:dyDescent="0.2">
      <c r="B72" s="6"/>
      <c r="C72" s="27"/>
      <c r="D72" s="27"/>
      <c r="E72" s="27"/>
      <c r="F72" s="27"/>
      <c r="G72" s="27"/>
      <c r="H72" s="27"/>
      <c r="I72" s="27"/>
      <c r="J72" s="27"/>
      <c r="K72" s="27"/>
      <c r="L72" s="27"/>
      <c r="N72" s="27"/>
      <c r="O72" s="27"/>
      <c r="P72" s="27"/>
      <c r="R72" s="27"/>
      <c r="S72" s="27"/>
      <c r="T72" s="27"/>
      <c r="U72" s="27"/>
      <c r="V72" s="27"/>
      <c r="W72" s="27"/>
      <c r="X72" s="27"/>
      <c r="Y72" s="28"/>
    </row>
    <row r="73" spans="2:25" x14ac:dyDescent="0.2">
      <c r="B73" s="6"/>
      <c r="C73" s="27"/>
      <c r="D73" s="27"/>
      <c r="E73" s="27"/>
      <c r="F73" s="27"/>
      <c r="G73" s="27"/>
      <c r="H73" s="27"/>
      <c r="I73" s="27"/>
      <c r="J73" s="27"/>
      <c r="K73" s="27"/>
      <c r="L73" s="27"/>
      <c r="N73" s="27" t="s">
        <v>110</v>
      </c>
      <c r="O73" s="27" t="s">
        <v>111</v>
      </c>
      <c r="P73" s="27" t="s">
        <v>137</v>
      </c>
      <c r="Q73" s="27" t="s">
        <v>138</v>
      </c>
      <c r="R73" s="27"/>
      <c r="S73" s="27"/>
      <c r="T73" s="27"/>
      <c r="U73" s="27"/>
      <c r="V73" s="27"/>
      <c r="W73" s="27"/>
      <c r="X73" s="27"/>
      <c r="Y73" s="28"/>
    </row>
    <row r="74" spans="2:25" x14ac:dyDescent="0.2">
      <c r="B74" s="6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31">
        <v>150364</v>
      </c>
      <c r="O74" s="31">
        <v>1807.93</v>
      </c>
      <c r="P74" s="31">
        <v>-66123.899999999994</v>
      </c>
      <c r="Q74" s="31">
        <v>2562.16</v>
      </c>
      <c r="R74" s="27"/>
      <c r="S74" s="27"/>
      <c r="T74" s="27"/>
      <c r="U74" s="27"/>
      <c r="V74" s="27"/>
      <c r="W74" s="27"/>
      <c r="X74" s="27"/>
      <c r="Y74" s="28"/>
    </row>
    <row r="75" spans="2:25" x14ac:dyDescent="0.2">
      <c r="B75" s="6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R75" s="27"/>
      <c r="S75" s="27"/>
      <c r="T75" s="27"/>
      <c r="U75" s="27"/>
      <c r="V75" s="27"/>
      <c r="W75" s="27"/>
      <c r="X75" s="27"/>
      <c r="Y75" s="28"/>
    </row>
    <row r="76" spans="2:25" x14ac:dyDescent="0.2">
      <c r="B76" s="6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 t="s">
        <v>121</v>
      </c>
      <c r="O76">
        <v>196873.42857142858</v>
      </c>
      <c r="P76" s="27"/>
      <c r="Q76" s="27"/>
      <c r="R76" s="27"/>
      <c r="S76" s="27"/>
      <c r="T76" s="27"/>
      <c r="U76" s="27"/>
      <c r="V76" s="27"/>
      <c r="W76" s="27"/>
      <c r="X76" s="27"/>
      <c r="Y76" s="28"/>
    </row>
    <row r="77" spans="2:25" x14ac:dyDescent="0.2">
      <c r="B77" s="6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31"/>
      <c r="P77" s="27"/>
      <c r="Q77" s="27"/>
      <c r="S77" s="27"/>
      <c r="T77" s="27"/>
      <c r="U77" s="27"/>
      <c r="V77" s="27"/>
      <c r="W77" s="27"/>
      <c r="X77" s="27"/>
      <c r="Y77" s="28"/>
    </row>
    <row r="78" spans="2:25" x14ac:dyDescent="0.2">
      <c r="B78" s="6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31"/>
      <c r="P78" s="27"/>
      <c r="Q78" s="27"/>
      <c r="R78" s="27"/>
      <c r="S78" s="27"/>
      <c r="T78" s="27"/>
      <c r="U78" s="27"/>
      <c r="V78" s="27"/>
      <c r="W78" s="27"/>
      <c r="X78" s="27"/>
      <c r="Y78" s="28"/>
    </row>
    <row r="79" spans="2:25" x14ac:dyDescent="0.2">
      <c r="B79" s="6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31" t="s">
        <v>132</v>
      </c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8"/>
    </row>
    <row r="80" spans="2:25" x14ac:dyDescent="0.2">
      <c r="B80" s="6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 t="s">
        <v>99</v>
      </c>
      <c r="N80">
        <f>O77</f>
        <v>0</v>
      </c>
      <c r="O80" s="27"/>
      <c r="P80" t="s">
        <v>130</v>
      </c>
      <c r="Q80" s="27"/>
      <c r="R80" s="27"/>
      <c r="S80" s="27"/>
      <c r="T80" s="27"/>
      <c r="U80" s="27"/>
      <c r="V80" s="27"/>
      <c r="W80" s="27"/>
      <c r="X80" s="27"/>
      <c r="Y80" s="28"/>
    </row>
    <row r="81" spans="2:25" x14ac:dyDescent="0.2">
      <c r="B81" s="6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 t="s">
        <v>86</v>
      </c>
      <c r="N81" s="30">
        <f>N80/O76</f>
        <v>0</v>
      </c>
      <c r="O81" s="27"/>
      <c r="P81" t="s">
        <v>131</v>
      </c>
      <c r="Q81" s="27"/>
      <c r="R81" s="27"/>
      <c r="S81" s="27"/>
      <c r="T81" s="27"/>
      <c r="U81" s="30"/>
      <c r="V81" s="27"/>
      <c r="W81" s="27"/>
      <c r="X81" s="27"/>
      <c r="Y81" s="28"/>
    </row>
    <row r="82" spans="2:25" x14ac:dyDescent="0.2">
      <c r="B82" s="6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P82" s="27"/>
      <c r="Q82" s="27"/>
      <c r="R82" s="27"/>
      <c r="S82" s="27"/>
      <c r="T82" s="27"/>
      <c r="U82" s="27"/>
      <c r="V82" s="27"/>
      <c r="W82" s="27"/>
      <c r="X82" s="27"/>
      <c r="Y82" s="28"/>
    </row>
    <row r="83" spans="2:25" x14ac:dyDescent="0.2">
      <c r="B83" s="6"/>
      <c r="C83" s="27"/>
      <c r="D83" s="27"/>
      <c r="E83" s="27"/>
      <c r="F83" s="27"/>
      <c r="G83" s="27"/>
      <c r="H83" s="27"/>
      <c r="I83" s="27"/>
      <c r="J83" s="27"/>
      <c r="K83" s="27"/>
      <c r="L83" s="27"/>
      <c r="N83" s="27" t="s">
        <v>133</v>
      </c>
      <c r="P83" s="27"/>
      <c r="Q83" s="27"/>
      <c r="R83" s="27"/>
      <c r="S83" s="27"/>
      <c r="T83" s="27"/>
      <c r="U83" s="30"/>
      <c r="V83" s="27"/>
      <c r="W83" s="27"/>
      <c r="X83" s="27"/>
      <c r="Y83" s="28"/>
    </row>
    <row r="84" spans="2:25" x14ac:dyDescent="0.2">
      <c r="B84" s="6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t="s">
        <v>134</v>
      </c>
      <c r="N84" s="27"/>
      <c r="P84" t="s">
        <v>135</v>
      </c>
      <c r="Q84" s="27"/>
      <c r="R84" s="27"/>
      <c r="S84" s="27"/>
      <c r="T84" s="27"/>
      <c r="U84" s="27"/>
      <c r="V84" s="27"/>
      <c r="W84" s="27"/>
      <c r="X84" s="27"/>
      <c r="Y84" s="28"/>
    </row>
    <row r="85" spans="2:25" x14ac:dyDescent="0.2">
      <c r="B85" s="6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t="s">
        <v>86</v>
      </c>
      <c r="N85" s="27"/>
      <c r="P85" t="s">
        <v>136</v>
      </c>
      <c r="Q85" s="27"/>
      <c r="R85" s="27"/>
      <c r="S85" s="27"/>
      <c r="T85" s="27"/>
      <c r="U85" s="27"/>
      <c r="V85" s="27"/>
      <c r="W85" s="27"/>
      <c r="X85" s="27"/>
      <c r="Y85" s="28"/>
    </row>
    <row r="86" spans="2:25" x14ac:dyDescent="0.2">
      <c r="B86" s="6"/>
      <c r="C86" s="27"/>
      <c r="D86" s="27"/>
      <c r="E86" s="27"/>
      <c r="F86" s="27"/>
      <c r="G86" s="27"/>
      <c r="H86" s="27"/>
      <c r="I86" s="27"/>
      <c r="J86" s="27"/>
      <c r="K86" s="27"/>
      <c r="L86" s="27"/>
      <c r="S86" s="27"/>
      <c r="T86" s="27"/>
      <c r="U86" s="27"/>
      <c r="V86" s="27"/>
      <c r="W86" s="27"/>
      <c r="X86" s="27"/>
      <c r="Y86" s="28"/>
    </row>
    <row r="87" spans="2:25" x14ac:dyDescent="0.2">
      <c r="B87" s="6"/>
      <c r="C87" s="27"/>
      <c r="D87" s="27"/>
      <c r="E87" s="27"/>
      <c r="F87" s="27"/>
      <c r="G87" s="27"/>
      <c r="H87" s="27"/>
      <c r="I87" s="27"/>
      <c r="J87" s="27"/>
      <c r="K87" s="27"/>
      <c r="L87" s="27"/>
      <c r="R87" s="27"/>
      <c r="S87" s="27"/>
      <c r="T87" s="27"/>
      <c r="U87" s="27"/>
      <c r="V87" s="27"/>
      <c r="W87" s="27"/>
      <c r="X87" s="27"/>
      <c r="Y87" s="28"/>
    </row>
    <row r="88" spans="2:25" x14ac:dyDescent="0.2">
      <c r="B88" s="6"/>
      <c r="C88" s="27"/>
      <c r="D88" s="27"/>
      <c r="E88" s="27"/>
      <c r="F88" s="27"/>
      <c r="G88" s="27"/>
      <c r="H88" s="27"/>
      <c r="I88" s="27"/>
      <c r="J88" s="27"/>
      <c r="K88" s="27"/>
      <c r="L88" s="27"/>
      <c r="R88" s="27"/>
      <c r="S88" s="27"/>
      <c r="T88" s="27"/>
      <c r="U88" s="27"/>
      <c r="V88" s="27"/>
      <c r="W88" s="27"/>
      <c r="X88" s="27"/>
      <c r="Y88" s="28"/>
    </row>
    <row r="89" spans="2:25" x14ac:dyDescent="0.2">
      <c r="B89" s="6"/>
      <c r="C89" s="27"/>
      <c r="D89" s="27"/>
      <c r="E89" s="27"/>
      <c r="F89" s="27"/>
      <c r="G89" s="27"/>
      <c r="H89" s="27"/>
      <c r="I89" s="27"/>
      <c r="J89" s="27"/>
      <c r="K89" s="27"/>
      <c r="L89" s="27"/>
      <c r="Q89" s="27"/>
      <c r="R89" s="27"/>
      <c r="S89" s="27"/>
      <c r="T89" s="27"/>
      <c r="U89" s="27"/>
      <c r="V89" s="27"/>
      <c r="W89" s="27"/>
      <c r="X89" s="27"/>
      <c r="Y89" s="28"/>
    </row>
    <row r="90" spans="2:25" x14ac:dyDescent="0.2">
      <c r="B90" s="6"/>
      <c r="C90" s="27"/>
      <c r="D90" s="27"/>
      <c r="E90" s="27"/>
      <c r="F90" s="27"/>
      <c r="G90" s="27"/>
      <c r="H90" s="27"/>
      <c r="I90" s="27"/>
      <c r="J90" s="27"/>
      <c r="K90" s="27"/>
      <c r="L90" s="27"/>
      <c r="Q90" s="27"/>
      <c r="R90" s="27"/>
      <c r="S90" s="27"/>
      <c r="T90" s="27"/>
      <c r="U90" s="27"/>
      <c r="V90" s="27"/>
      <c r="W90" s="27"/>
      <c r="X90" s="27"/>
      <c r="Y90" s="28"/>
    </row>
    <row r="91" spans="2:25" x14ac:dyDescent="0.2">
      <c r="B91" s="6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8"/>
    </row>
    <row r="92" spans="2:25" x14ac:dyDescent="0.2">
      <c r="B92" s="6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8"/>
    </row>
    <row r="93" spans="2:25" x14ac:dyDescent="0.2">
      <c r="B93" s="6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8"/>
    </row>
    <row r="94" spans="2:25" x14ac:dyDescent="0.2">
      <c r="B94" s="6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8"/>
    </row>
    <row r="95" spans="2:25" ht="17" thickBot="1" x14ac:dyDescent="0.25">
      <c r="B95" s="7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29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07E0D5-B9F4-E445-A533-CD93DF8E5D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01 Removing Trend and Season</vt:lpstr>
      <vt:lpstr>02 Constant Prices</vt:lpstr>
      <vt:lpstr>02 GVA Const 2020 in Const 2016</vt:lpstr>
      <vt:lpstr>02 GVA Const 2020 in Const 2024</vt:lpstr>
      <vt:lpstr>03 Linear Trend</vt:lpstr>
      <vt:lpstr>03 DA Linear Model</vt:lpstr>
      <vt:lpstr>03 Power Trend</vt:lpstr>
      <vt:lpstr>03 DA Power Model</vt:lpstr>
      <vt:lpstr>03 Exponential Trend</vt:lpstr>
      <vt:lpstr>03 DA Exponential Model</vt:lpstr>
      <vt:lpstr>04 Quadratic Trend</vt:lpstr>
      <vt:lpstr>04 Logistic Trend</vt:lpstr>
      <vt:lpstr>04 Summary</vt:lpstr>
      <vt:lpstr>05 Structural Brakes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Faltynowski</dc:creator>
  <cp:lastModifiedBy>Daniel Faltynowski</cp:lastModifiedBy>
  <dcterms:created xsi:type="dcterms:W3CDTF">2025-12-22T16:56:06Z</dcterms:created>
  <dcterms:modified xsi:type="dcterms:W3CDTF">2025-12-27T15:05:36Z</dcterms:modified>
</cp:coreProperties>
</file>