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adiq/Repos/web-forms/packages/common/src/fixtures/preview-service/xlsforms/"/>
    </mc:Choice>
  </mc:AlternateContent>
  <xr:revisionPtr revIDLastSave="0" documentId="13_ncr:1_{DA8F7427-32A0-4748-9F8C-A5769BC38CEA}" xr6:coauthVersionLast="47" xr6:coauthVersionMax="47" xr10:uidLastSave="{00000000-0000-0000-0000-000000000000}"/>
  <bookViews>
    <workbookView xWindow="14860" yWindow="-21100" windowWidth="38400" windowHeight="211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8" i="2" l="1"/>
  <c r="D297" i="2"/>
  <c r="D296" i="2"/>
  <c r="D295" i="2"/>
  <c r="D294" i="2"/>
  <c r="D293" i="2"/>
  <c r="D292" i="2"/>
  <c r="D291" i="2"/>
  <c r="D287" i="2"/>
  <c r="D286" i="2"/>
  <c r="D285" i="2"/>
  <c r="D284" i="2"/>
  <c r="D283" i="2"/>
  <c r="D282" i="2"/>
  <c r="D281" i="2"/>
  <c r="D278" i="2"/>
  <c r="D277" i="2"/>
  <c r="D276" i="2"/>
  <c r="D275" i="2"/>
  <c r="D274" i="2"/>
  <c r="D271" i="2"/>
  <c r="D270" i="2"/>
  <c r="D269" i="2"/>
  <c r="D268" i="2"/>
  <c r="D265" i="2"/>
  <c r="D264" i="2"/>
  <c r="D263" i="2"/>
  <c r="D262" i="2"/>
  <c r="D261" i="2"/>
  <c r="D260" i="2"/>
  <c r="D257" i="2"/>
  <c r="D256" i="2"/>
  <c r="D255" i="2"/>
  <c r="D254" i="2"/>
  <c r="D253" i="2"/>
  <c r="D252" i="2"/>
  <c r="D251" i="2"/>
  <c r="D248" i="2"/>
  <c r="D247" i="2"/>
  <c r="D246" i="2"/>
  <c r="D245" i="2"/>
  <c r="D244" i="2"/>
  <c r="D243" i="2"/>
  <c r="D242" i="2"/>
  <c r="D239" i="2"/>
  <c r="D238" i="2"/>
  <c r="D237" i="2"/>
  <c r="D236" i="2"/>
  <c r="D235" i="2"/>
  <c r="D234" i="2"/>
  <c r="D233" i="2"/>
  <c r="D232" i="2"/>
  <c r="D231" i="2"/>
  <c r="D230" i="2"/>
  <c r="D229" i="2"/>
  <c r="D226" i="2"/>
  <c r="D225" i="2"/>
  <c r="D224" i="2"/>
  <c r="D223" i="2"/>
  <c r="D222" i="2"/>
  <c r="D221" i="2"/>
  <c r="D220" i="2"/>
  <c r="D219" i="2"/>
  <c r="D218" i="2"/>
  <c r="D215" i="2"/>
  <c r="D214" i="2"/>
  <c r="D213" i="2"/>
  <c r="D212" i="2"/>
  <c r="D211" i="2"/>
  <c r="D210" i="2"/>
  <c r="D209" i="2"/>
  <c r="D205" i="2"/>
  <c r="D204" i="2"/>
  <c r="D203" i="2"/>
  <c r="D202" i="2"/>
  <c r="D201" i="2"/>
  <c r="D200" i="2"/>
  <c r="D199" i="2"/>
  <c r="D196" i="2"/>
  <c r="D195" i="2"/>
  <c r="D194" i="2"/>
  <c r="D193" i="2"/>
  <c r="D192" i="2"/>
  <c r="D189" i="2"/>
  <c r="D188" i="2"/>
  <c r="D187" i="2"/>
  <c r="D186" i="2"/>
  <c r="D185" i="2"/>
  <c r="D184" i="2"/>
  <c r="D183" i="2"/>
  <c r="D182" i="2"/>
  <c r="D179" i="2"/>
  <c r="D178" i="2"/>
  <c r="D177" i="2"/>
  <c r="D176" i="2"/>
  <c r="D175" i="2"/>
  <c r="D174" i="2"/>
  <c r="D173" i="2"/>
  <c r="D172" i="2"/>
  <c r="D171" i="2"/>
  <c r="D170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0" i="2"/>
  <c r="D149" i="2"/>
  <c r="D148" i="2"/>
  <c r="D147" i="2"/>
  <c r="D146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4" i="2"/>
  <c r="D113" i="2"/>
  <c r="D112" i="2"/>
  <c r="D111" i="2"/>
  <c r="D110" i="2"/>
  <c r="D108" i="2"/>
  <c r="D107" i="2"/>
  <c r="D106" i="2"/>
  <c r="D101" i="2"/>
  <c r="D100" i="2"/>
  <c r="D99" i="2"/>
  <c r="D98" i="2"/>
  <c r="D97" i="2"/>
  <c r="D96" i="2"/>
  <c r="D95" i="2"/>
  <c r="D92" i="2"/>
  <c r="D91" i="2"/>
  <c r="D90" i="2"/>
  <c r="D87" i="2"/>
  <c r="D86" i="2"/>
  <c r="D85" i="2"/>
  <c r="D84" i="2"/>
  <c r="D83" i="2"/>
  <c r="D80" i="2"/>
  <c r="D79" i="2"/>
  <c r="D78" i="2"/>
  <c r="D77" i="2"/>
  <c r="D76" i="2"/>
  <c r="D75" i="2"/>
  <c r="D74" i="2"/>
  <c r="D71" i="2"/>
  <c r="D70" i="2"/>
  <c r="D69" i="2"/>
  <c r="D68" i="2"/>
  <c r="D67" i="2"/>
  <c r="D66" i="2"/>
  <c r="D65" i="2"/>
  <c r="D64" i="2"/>
  <c r="D61" i="2"/>
  <c r="D60" i="2"/>
  <c r="D59" i="2"/>
  <c r="D58" i="2"/>
  <c r="D57" i="2"/>
  <c r="D56" i="2"/>
  <c r="D55" i="2"/>
  <c r="D54" i="2"/>
  <c r="D51" i="2"/>
  <c r="D50" i="2"/>
  <c r="D47" i="2"/>
  <c r="D46" i="2"/>
  <c r="D45" i="2"/>
  <c r="D44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6" i="2"/>
  <c r="D5" i="2"/>
  <c r="D4" i="2"/>
  <c r="D3" i="2"/>
  <c r="D2" i="2"/>
  <c r="D36" i="1"/>
  <c r="D31" i="1"/>
  <c r="D30" i="1"/>
  <c r="D29" i="1"/>
  <c r="D28" i="1"/>
  <c r="D27" i="1"/>
  <c r="D25" i="1"/>
  <c r="D24" i="1"/>
  <c r="D22" i="1"/>
  <c r="D18" i="1"/>
  <c r="D17" i="1"/>
  <c r="D16" i="1"/>
  <c r="D12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<sst xmlns="http://schemas.openxmlformats.org/spreadsheetml/2006/main" count="669" uniqueCount="323">
  <si>
    <t>type</t>
  </si>
  <si>
    <t>name</t>
  </si>
  <si>
    <t>label::English (en)</t>
  </si>
  <si>
    <t>label::French (fr)</t>
  </si>
  <si>
    <t>hint</t>
  </si>
  <si>
    <t>guidance_hint</t>
  </si>
  <si>
    <t>choice_filter</t>
  </si>
  <si>
    <t>constraint</t>
  </si>
  <si>
    <t>constraint_message</t>
  </si>
  <si>
    <t>required</t>
  </si>
  <si>
    <t>required_message</t>
  </si>
  <si>
    <t>default</t>
  </si>
  <si>
    <t>relevant</t>
  </si>
  <si>
    <t>read_only</t>
  </si>
  <si>
    <t>calculation</t>
  </si>
  <si>
    <t>repeat_count</t>
  </si>
  <si>
    <t>image</t>
  </si>
  <si>
    <t>audio</t>
  </si>
  <si>
    <t>video</t>
  </si>
  <si>
    <t>appearance</t>
  </si>
  <si>
    <t>parameters</t>
  </si>
  <si>
    <t>begin_group</t>
  </si>
  <si>
    <t>headOfHousehold</t>
  </si>
  <si>
    <t>Household Information</t>
  </si>
  <si>
    <t>field-list</t>
  </si>
  <si>
    <t>select_one region</t>
  </si>
  <si>
    <t>region</t>
  </si>
  <si>
    <t>Region</t>
  </si>
  <si>
    <t>minimal</t>
  </si>
  <si>
    <t>select_one district</t>
  </si>
  <si>
    <t>district</t>
  </si>
  <si>
    <t>District</t>
  </si>
  <si>
    <t>region=${region}</t>
  </si>
  <si>
    <t>text</t>
  </si>
  <si>
    <t>residentialAddress</t>
  </si>
  <si>
    <t>Residential Address</t>
  </si>
  <si>
    <t>primaryContactNo</t>
  </si>
  <si>
    <t>Primary contact no.</t>
  </si>
  <si>
    <t>SecondaryContactNo</t>
  </si>
  <si>
    <t>Secondary contact no.</t>
  </si>
  <si>
    <t>select_one monthlyIncome</t>
  </si>
  <si>
    <t>householdIncome</t>
  </si>
  <si>
    <t>Household monthly income</t>
  </si>
  <si>
    <t>select_one seclass</t>
  </si>
  <si>
    <t>SEClass</t>
  </si>
  <si>
    <t>Economic Class</t>
  </si>
  <si>
    <t>jr:itext(instance('seclass')/root/item[name = ${householdIncome}]/itextId)</t>
  </si>
  <si>
    <t>end_group</t>
  </si>
  <si>
    <t>informationTechnology</t>
  </si>
  <si>
    <t>Internet Access</t>
  </si>
  <si>
    <t>select_one yesNoIdk</t>
  </si>
  <si>
    <t>internetHH</t>
  </si>
  <si>
    <t>Does the household have access to internet?</t>
  </si>
  <si>
    <t>horizontal</t>
  </si>
  <si>
    <t>select_one internetType</t>
  </si>
  <si>
    <t>internetType</t>
  </si>
  <si>
    <t>Type of internet access / coverage</t>
  </si>
  <si>
    <t>${internetHH} = 1</t>
  </si>
  <si>
    <t>begin repeat</t>
  </si>
  <si>
    <t>familyMembers</t>
  </si>
  <si>
    <t>Household members</t>
  </si>
  <si>
    <t>persons</t>
  </si>
  <si>
    <t>Person</t>
  </si>
  <si>
    <t>firstNameFM</t>
  </si>
  <si>
    <t>First name</t>
  </si>
  <si>
    <t>select_one gender</t>
  </si>
  <si>
    <t>gender</t>
  </si>
  <si>
    <t>Gender</t>
  </si>
  <si>
    <t>health</t>
  </si>
  <si>
    <t>Health</t>
  </si>
  <si>
    <t>healthVisit</t>
  </si>
  <si>
    <t>Have they visited doctor / hospital in last 12 months?</t>
  </si>
  <si>
    <t>select_multiple healthFacility</t>
  </si>
  <si>
    <t>healthFacility</t>
  </si>
  <si>
    <t>Type of facility accessed?</t>
  </si>
  <si>
    <t>Select top 3</t>
  </si>
  <si>
    <t>count-selected(.)&lt;=3</t>
  </si>
  <si>
    <t>Up to 3 options can be selected</t>
  </si>
  <si>
    <t>${healthVisit} = 1</t>
  </si>
  <si>
    <t>select_multiple reasonForNoHealthVisit</t>
  </si>
  <si>
    <t>reasonForNoHealthVisit</t>
  </si>
  <si>
    <t>Reason for not accessing health facility?</t>
  </si>
  <si>
    <t>Select top 4</t>
  </si>
  <si>
    <t>${healthVisit} = 2</t>
  </si>
  <si>
    <t>select_multiple diseases</t>
  </si>
  <si>
    <t>diseases</t>
  </si>
  <si>
    <t>Have they been diagnosed and prescribed a medicine for any diseases?</t>
  </si>
  <si>
    <t>Select top 5</t>
  </si>
  <si>
    <t>end repeat</t>
  </si>
  <si>
    <t>comments</t>
  </si>
  <si>
    <t>Other Comments</t>
  </si>
  <si>
    <t>multiline</t>
  </si>
  <si>
    <t>list_name</t>
  </si>
  <si>
    <t>Sindh</t>
  </si>
  <si>
    <t xml:space="preserve"> </t>
  </si>
  <si>
    <t>Punjab</t>
  </si>
  <si>
    <t>Balochistan</t>
  </si>
  <si>
    <t>KP</t>
  </si>
  <si>
    <t>Khyber Pakhunkhwan</t>
  </si>
  <si>
    <t>AKG</t>
  </si>
  <si>
    <t>Azad Kashmir &amp; Gilgit</t>
  </si>
  <si>
    <t>Garden</t>
  </si>
  <si>
    <t>Karachi</t>
  </si>
  <si>
    <t>Gulshan</t>
  </si>
  <si>
    <t>Sakhar</t>
  </si>
  <si>
    <t>Hyderabad</t>
  </si>
  <si>
    <t>TandoTurel</t>
  </si>
  <si>
    <t>Tando Turel</t>
  </si>
  <si>
    <t>Thatta&amp;ShahBunder</t>
  </si>
  <si>
    <t>Thatta &amp; Shah Bunder</t>
  </si>
  <si>
    <t>Hafizabad</t>
  </si>
  <si>
    <t>Lahore&amp;Sialkot</t>
  </si>
  <si>
    <t>Lahore &amp; Sialkot</t>
  </si>
  <si>
    <t>Multan&amp;Bahawalpur</t>
  </si>
  <si>
    <t>Multan &amp; Bahawalpur</t>
  </si>
  <si>
    <t>Rawalpindi</t>
  </si>
  <si>
    <t>Sargodha</t>
  </si>
  <si>
    <t>Arkari</t>
  </si>
  <si>
    <t>ChitralTown</t>
  </si>
  <si>
    <t>Chitral Town</t>
  </si>
  <si>
    <t>Garamchashma</t>
  </si>
  <si>
    <t>Madaklasht</t>
  </si>
  <si>
    <t>Parabeg</t>
  </si>
  <si>
    <t>Shoghore</t>
  </si>
  <si>
    <t>Susum</t>
  </si>
  <si>
    <t>Bang</t>
  </si>
  <si>
    <t>Booni</t>
  </si>
  <si>
    <t>Brep</t>
  </si>
  <si>
    <t>Khot</t>
  </si>
  <si>
    <t>Laspur</t>
  </si>
  <si>
    <t>Chatoorkhand</t>
  </si>
  <si>
    <t>Damas</t>
  </si>
  <si>
    <t>Gahkuch</t>
  </si>
  <si>
    <t>Immit</t>
  </si>
  <si>
    <t>Ishkoman</t>
  </si>
  <si>
    <t>Sherquilla</t>
  </si>
  <si>
    <t>Singal</t>
  </si>
  <si>
    <t>Gilgit</t>
  </si>
  <si>
    <t>Skardu</t>
  </si>
  <si>
    <t>Sul,Dan&amp;Oshikhandas</t>
  </si>
  <si>
    <t>Sul, Dan &amp; Oshikhandas</t>
  </si>
  <si>
    <t>quantity</t>
  </si>
  <si>
    <t>&gt;3</t>
  </si>
  <si>
    <t>yesNo</t>
  </si>
  <si>
    <t>Yes</t>
  </si>
  <si>
    <t>No</t>
  </si>
  <si>
    <t>financialInstitutions</t>
  </si>
  <si>
    <t>Commerical / Islamic bank</t>
  </si>
  <si>
    <t>FMFB</t>
  </si>
  <si>
    <t>Micro finance</t>
  </si>
  <si>
    <t>Credit society</t>
  </si>
  <si>
    <t>LSO</t>
  </si>
  <si>
    <t>I don't know</t>
  </si>
  <si>
    <t xml:space="preserve">Other </t>
  </si>
  <si>
    <t>No account</t>
  </si>
  <si>
    <t>toiletType</t>
  </si>
  <si>
    <t>Open field/bush (no toilet)</t>
  </si>
  <si>
    <t>Shared toilet</t>
  </si>
  <si>
    <t>Dry raised latrine</t>
  </si>
  <si>
    <t>Proper toilet (flush connected to pipe sewarage)</t>
  </si>
  <si>
    <t>Flush connected to pit</t>
  </si>
  <si>
    <t>Flush connected to open drain</t>
  </si>
  <si>
    <t>Dry pit latrine</t>
  </si>
  <si>
    <t>Other</t>
  </si>
  <si>
    <t>waterType</t>
  </si>
  <si>
    <t>Filtered / mineral / boiled water</t>
  </si>
  <si>
    <t>Open well</t>
  </si>
  <si>
    <t>Running stream / spring</t>
  </si>
  <si>
    <t>Tap water (main line)</t>
  </si>
  <si>
    <t>Tube well and pump</t>
  </si>
  <si>
    <t>WASEP tap</t>
  </si>
  <si>
    <t>electricityCapacity</t>
  </si>
  <si>
    <t>For lightning and cooking only</t>
  </si>
  <si>
    <t>For lightning only</t>
  </si>
  <si>
    <t>For lightning and heating only</t>
  </si>
  <si>
    <t>yesNoIdk</t>
  </si>
  <si>
    <t>Access available in area, but my HH is not interested</t>
  </si>
  <si>
    <t>Cable / LAN / DSL</t>
  </si>
  <si>
    <t>No internet access (in the area)</t>
  </si>
  <si>
    <t>Available through 2G</t>
  </si>
  <si>
    <t>Available through 3G / 4G</t>
  </si>
  <si>
    <t>Male</t>
  </si>
  <si>
    <t>Female</t>
  </si>
  <si>
    <t>maritalStatus</t>
  </si>
  <si>
    <t>Single (never married)</t>
  </si>
  <si>
    <t>Married</t>
  </si>
  <si>
    <t>Separated (not divorced)</t>
  </si>
  <si>
    <t>Divorced</t>
  </si>
  <si>
    <t>Widow</t>
  </si>
  <si>
    <t>relationship</t>
  </si>
  <si>
    <t>Self</t>
  </si>
  <si>
    <t>Spouse (husband / wife)</t>
  </si>
  <si>
    <t>Child</t>
  </si>
  <si>
    <t>Niece / nephew</t>
  </si>
  <si>
    <t>Grandparent</t>
  </si>
  <si>
    <t>Step child (son / daughter)</t>
  </si>
  <si>
    <t>Parent</t>
  </si>
  <si>
    <t>Sibiling (sister / brother)</t>
  </si>
  <si>
    <t>Grandchildren</t>
  </si>
  <si>
    <t>Daughter in law / son in law</t>
  </si>
  <si>
    <t>Step mother / father</t>
  </si>
  <si>
    <t>Uncle / aunt</t>
  </si>
  <si>
    <t>occupation</t>
  </si>
  <si>
    <t>Salaried (employment)</t>
  </si>
  <si>
    <t>Business</t>
  </si>
  <si>
    <t>Self-employed</t>
  </si>
  <si>
    <t>Student</t>
  </si>
  <si>
    <t>Home maker</t>
  </si>
  <si>
    <t>Retired</t>
  </si>
  <si>
    <t>Daily wager (agriculture)</t>
  </si>
  <si>
    <t>Daily wager (non-agriculture)</t>
  </si>
  <si>
    <t>Unemployed</t>
  </si>
  <si>
    <t>Not applicable</t>
  </si>
  <si>
    <t>occupationSector</t>
  </si>
  <si>
    <t>Public / Government sector</t>
  </si>
  <si>
    <t>Private sector</t>
  </si>
  <si>
    <t>NGO</t>
  </si>
  <si>
    <t>selfEmployedSector</t>
  </si>
  <si>
    <t>Education</t>
  </si>
  <si>
    <t>IT Professional</t>
  </si>
  <si>
    <t>Local NGO</t>
  </si>
  <si>
    <t>Internation NGO</t>
  </si>
  <si>
    <t>Agriculture</t>
  </si>
  <si>
    <t>Factory</t>
  </si>
  <si>
    <t>Civil / engineering / construction / architecture</t>
  </si>
  <si>
    <t>Accounting / taxation / audit</t>
  </si>
  <si>
    <t>Financial institution (bank / society / investment compnay / brokerage firm / insurance)</t>
  </si>
  <si>
    <t>Trading (retail / wholesale)</t>
  </si>
  <si>
    <t>Media / communications / public relations</t>
  </si>
  <si>
    <t>Shop (retail / grocery / food stall)</t>
  </si>
  <si>
    <t>businessSector</t>
  </si>
  <si>
    <t>Agriculture (land owner who gives land for farming)</t>
  </si>
  <si>
    <t>Agriculture (farmer / animal husbandry / dairy farming)</t>
  </si>
  <si>
    <t>Trader (retail / wholesaler)</t>
  </si>
  <si>
    <t>Manufacturer</t>
  </si>
  <si>
    <t>Transportation (Careem / Uber / Rickshaw / taxi / truck / others)</t>
  </si>
  <si>
    <t>Infrastructure / construction</t>
  </si>
  <si>
    <t>Service provider</t>
  </si>
  <si>
    <t>monthlyIncome</t>
  </si>
  <si>
    <t>Not willing to disclose</t>
  </si>
  <si>
    <t>Less than 10,000</t>
  </si>
  <si>
    <t>10,001 to 50,000</t>
  </si>
  <si>
    <t>50,001 to 60,000</t>
  </si>
  <si>
    <t>60,001 to 75,000</t>
  </si>
  <si>
    <t>75,001 to 100,000</t>
  </si>
  <si>
    <t>100,001 to 200,000</t>
  </si>
  <si>
    <t>Above 200,000</t>
  </si>
  <si>
    <t>unemployedFor</t>
  </si>
  <si>
    <t>Less than a month</t>
  </si>
  <si>
    <t>1 - 3</t>
  </si>
  <si>
    <t>3 - 6</t>
  </si>
  <si>
    <t>6 - 12</t>
  </si>
  <si>
    <t>More than 12</t>
  </si>
  <si>
    <t>unemploymentReason</t>
  </si>
  <si>
    <t>Uneducated / unskilled</t>
  </si>
  <si>
    <t>Non-availability of desirable job</t>
  </si>
  <si>
    <t>Family doesn't allow</t>
  </si>
  <si>
    <t>Job offers have lower than desirable salary</t>
  </si>
  <si>
    <t>LHV or Community Health Worker</t>
  </si>
  <si>
    <t>Government clinic</t>
  </si>
  <si>
    <t>Private clinic</t>
  </si>
  <si>
    <t>NGO Clinic</t>
  </si>
  <si>
    <t>Traditional healers</t>
  </si>
  <si>
    <t>Pharmacist</t>
  </si>
  <si>
    <t>Facility not available in the area</t>
  </si>
  <si>
    <t>Lack of funds</t>
  </si>
  <si>
    <t>Lack of time</t>
  </si>
  <si>
    <t>Healthy - no need</t>
  </si>
  <si>
    <t>Not mobile (bed bound / disabled)</t>
  </si>
  <si>
    <t>Security concerns</t>
  </si>
  <si>
    <t>Prefer traditional healers</t>
  </si>
  <si>
    <t>Prefer home remedies / self-medication</t>
  </si>
  <si>
    <t>Diabetes</t>
  </si>
  <si>
    <t>Cardiovascular (Heart)</t>
  </si>
  <si>
    <t>Hypertension</t>
  </si>
  <si>
    <t>Chronic kidney problem</t>
  </si>
  <si>
    <t>Respiratory related (Asthma, lung infection)</t>
  </si>
  <si>
    <t>Arthritis</t>
  </si>
  <si>
    <t>Cancer</t>
  </si>
  <si>
    <t>Mental health (Depression, etc)</t>
  </si>
  <si>
    <t>healthInsurance</t>
  </si>
  <si>
    <t>Self-purchased</t>
  </si>
  <si>
    <t>Provided by employer</t>
  </si>
  <si>
    <t>Provided by community organisation / NGO</t>
  </si>
  <si>
    <t>Availed through bank / financial product</t>
  </si>
  <si>
    <t>reasonForNoHealthInsurance</t>
  </si>
  <si>
    <t>Cannot afford</t>
  </si>
  <si>
    <t>Not interested</t>
  </si>
  <si>
    <t>Not needed</t>
  </si>
  <si>
    <t>No health facility available in area</t>
  </si>
  <si>
    <t>disability</t>
  </si>
  <si>
    <t>Special child</t>
  </si>
  <si>
    <t>Disability by birth</t>
  </si>
  <si>
    <t>Physical (including polio, visual, hearing, speech)</t>
  </si>
  <si>
    <t>Psychological</t>
  </si>
  <si>
    <t>disabilityImpact</t>
  </si>
  <si>
    <t>No difference</t>
  </si>
  <si>
    <t>Seldom</t>
  </si>
  <si>
    <t>Not able to participate</t>
  </si>
  <si>
    <t>numOfProgrammes</t>
  </si>
  <si>
    <t>4 - 8</t>
  </si>
  <si>
    <t>9 - 12</t>
  </si>
  <si>
    <t>More than 13</t>
  </si>
  <si>
    <t>reasonForNoParticipation</t>
  </si>
  <si>
    <t>Do not have time</t>
  </si>
  <si>
    <t>Do not know about the programmes</t>
  </si>
  <si>
    <t>Cannot afford to pay (participant fees and/or transportation cost to reach the programme venue)</t>
  </si>
  <si>
    <t>Disability / on bed</t>
  </si>
  <si>
    <t>Occupied in other hom related activities</t>
  </si>
  <si>
    <t>seclass</t>
  </si>
  <si>
    <t>Unknown</t>
  </si>
  <si>
    <t>Lower</t>
  </si>
  <si>
    <t>Middle</t>
  </si>
  <si>
    <t>Upper-middle</t>
  </si>
  <si>
    <t>Upper</t>
  </si>
  <si>
    <t xml:space="preserve">form_title	</t>
  </si>
  <si>
    <t>form_id</t>
  </si>
  <si>
    <t>version</t>
  </si>
  <si>
    <t>instance_name</t>
  </si>
  <si>
    <t>Socio-economic Survey</t>
  </si>
  <si>
    <t>se_list</t>
  </si>
  <si>
    <t>socio-economic-survey</t>
  </si>
  <si>
    <t>20240515143545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</si>
</sst>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sz val="11"/>
      <color rgb="FF000000"/>
      <name val="Helvetica Neue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CFE2F3"/>
        <bgColor rgb="FFCFE2F3"/>
      </patternFill>
    </fill>
    <fill>
      <patternFill patternType="solid">
        <fgColor rgb="FFFBE4D5"/>
        <bgColor rgb="FFFBE4D5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6" fillId="0" borderId="0" xfId="0" applyFont="1"/>
    <xf numFmtId="0" fontId="4" fillId="0" borderId="0" xfId="0" applyFont="1" applyAlignment="1">
      <alignment horizontal="left"/>
    </xf>
    <xf numFmtId="0" fontId="4" fillId="6" borderId="1" xfId="0" applyFont="1" applyFill="1" applyBorder="1" applyAlignment="1">
      <alignment horizontal="left"/>
    </xf>
    <xf numFmtId="0" fontId="7" fillId="6" borderId="0" xfId="0" applyFont="1" applyFill="1"/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/>
    <xf numFmtId="0" fontId="5" fillId="7" borderId="1" xfId="0" applyFont="1" applyFill="1" applyBorder="1"/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horizontal="right"/>
    </xf>
    <xf numFmtId="49" fontId="4" fillId="0" borderId="0" xfId="0" applyNumberFormat="1" applyFont="1"/>
    <xf numFmtId="49" fontId="7" fillId="0" borderId="0" xfId="0" applyNumberFormat="1" applyFont="1"/>
    <xf numFmtId="0" fontId="9" fillId="3" borderId="1" xfId="0" applyFont="1" applyFill="1" applyBorder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4" fillId="8" borderId="1" xfId="0" applyFont="1" applyFill="1" applyBorder="1"/>
    <xf numFmtId="0" fontId="0" fillId="8" borderId="0" xfId="0" applyFill="1"/>
    <xf numFmtId="0" fontId="4" fillId="8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indent="1"/>
    </xf>
    <xf numFmtId="0" fontId="4" fillId="4" borderId="1" xfId="0" applyFont="1" applyFill="1" applyBorder="1" applyAlignment="1">
      <alignment horizontal="left" indent="1"/>
    </xf>
    <xf numFmtId="0" fontId="4" fillId="7" borderId="1" xfId="0" applyFont="1" applyFill="1" applyBorder="1" applyAlignment="1">
      <alignment horizontal="left" indent="1"/>
    </xf>
    <xf numFmtId="0" fontId="4" fillId="7" borderId="1" xfId="0" applyFont="1" applyFill="1" applyBorder="1" applyAlignment="1">
      <alignment horizontal="left" indent="2"/>
    </xf>
    <xf numFmtId="0" fontId="1" fillId="0" borderId="0" xfId="0" applyFont="1"/>
    <xf numFmtId="49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36"/>
  <sheetViews>
    <sheetView tabSelected="1" zoomScale="125" zoomScaleNormal="12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baseColWidth="10" defaultColWidth="11.1640625" defaultRowHeight="15" customHeight="1" x14ac:dyDescent="0.2"/>
  <cols>
    <col min="1" max="1" width="25.6640625" customWidth="1"/>
    <col min="2" max="2" width="22.83203125" customWidth="1"/>
    <col min="3" max="4" width="32.33203125" customWidth="1"/>
    <col min="5" max="5" width="10.5" customWidth="1"/>
    <col min="6" max="7" width="10.83203125" customWidth="1"/>
    <col min="8" max="8" width="17.33203125" customWidth="1"/>
    <col min="9" max="27" width="10.5" customWidth="1"/>
  </cols>
  <sheetData>
    <row r="1" spans="1:27" ht="15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 ht="15.75" customHeight="1" x14ac:dyDescent="0.2"/>
    <row r="3" spans="1:27" ht="15.75" customHeight="1" x14ac:dyDescent="0.2"/>
    <row r="4" spans="1:27" ht="15.75" customHeight="1" x14ac:dyDescent="0.2">
      <c r="A4" s="3" t="s">
        <v>21</v>
      </c>
      <c r="B4" s="3" t="s">
        <v>22</v>
      </c>
      <c r="C4" s="3" t="s">
        <v>23</v>
      </c>
      <c r="D4" s="3" t="str">
        <f ca="1">IFERROR(__xludf.DUMMYFUNCTION("GOOGLETRANSLATE(C4,""en"", ""fr"")"),"Informations sur le ménage")</f>
        <v>Informations sur le ménage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 t="s">
        <v>24</v>
      </c>
      <c r="U4" s="3"/>
      <c r="V4" s="3"/>
      <c r="W4" s="3"/>
      <c r="X4" s="3"/>
      <c r="Y4" s="3"/>
      <c r="Z4" s="3"/>
      <c r="AA4" s="3"/>
    </row>
    <row r="5" spans="1:27" ht="15.75" customHeight="1" x14ac:dyDescent="0.2">
      <c r="A5" s="25" t="s">
        <v>25</v>
      </c>
      <c r="B5" s="3" t="s">
        <v>26</v>
      </c>
      <c r="C5" s="3" t="s">
        <v>27</v>
      </c>
      <c r="D5" s="3" t="str">
        <f ca="1">IFERROR(__xludf.DUMMYFUNCTION("GOOGLETRANSLATE(C5,""en"", ""fr"")"),"Région")</f>
        <v>Région</v>
      </c>
      <c r="E5" s="3"/>
      <c r="F5" s="3"/>
      <c r="G5" s="3"/>
      <c r="H5" s="3"/>
      <c r="I5" s="3"/>
      <c r="J5" s="3" t="b">
        <v>1</v>
      </c>
      <c r="K5" s="3"/>
      <c r="L5" s="3"/>
      <c r="M5" s="3"/>
      <c r="N5" s="3"/>
      <c r="O5" s="3"/>
      <c r="P5" s="3"/>
      <c r="Q5" s="3"/>
      <c r="R5" s="3"/>
      <c r="S5" s="3"/>
      <c r="T5" s="4" t="s">
        <v>28</v>
      </c>
      <c r="U5" s="3"/>
      <c r="V5" s="3"/>
      <c r="W5" s="3"/>
      <c r="X5" s="3"/>
      <c r="Y5" s="3"/>
      <c r="Z5" s="3"/>
      <c r="AA5" s="3"/>
    </row>
    <row r="6" spans="1:27" ht="15.75" customHeight="1" x14ac:dyDescent="0.2">
      <c r="A6" s="25" t="s">
        <v>29</v>
      </c>
      <c r="B6" s="3" t="s">
        <v>30</v>
      </c>
      <c r="C6" s="3" t="s">
        <v>31</v>
      </c>
      <c r="D6" s="3" t="str">
        <f ca="1">IFERROR(__xludf.DUMMYFUNCTION("GOOGLETRANSLATE(C6,""en"", ""fr"")"),"District")</f>
        <v>District</v>
      </c>
      <c r="E6" s="3"/>
      <c r="F6" s="3"/>
      <c r="G6" s="3" t="s">
        <v>32</v>
      </c>
      <c r="H6" s="3"/>
      <c r="I6" s="3"/>
      <c r="J6" s="3" t="b">
        <v>1</v>
      </c>
      <c r="K6" s="3"/>
      <c r="L6" s="3"/>
      <c r="M6" s="3"/>
      <c r="N6" s="3"/>
      <c r="O6" s="3"/>
      <c r="P6" s="3"/>
      <c r="Q6" s="3"/>
      <c r="R6" s="3"/>
      <c r="S6" s="3"/>
      <c r="T6" s="4" t="s">
        <v>28</v>
      </c>
      <c r="U6" s="3"/>
      <c r="V6" s="3"/>
      <c r="W6" s="3"/>
      <c r="X6" s="3"/>
      <c r="Y6" s="3"/>
      <c r="Z6" s="3"/>
      <c r="AA6" s="3"/>
    </row>
    <row r="7" spans="1:27" ht="15.75" customHeight="1" x14ac:dyDescent="0.2">
      <c r="A7" s="25" t="s">
        <v>33</v>
      </c>
      <c r="B7" s="3" t="s">
        <v>34</v>
      </c>
      <c r="C7" s="3" t="s">
        <v>35</v>
      </c>
      <c r="D7" s="3" t="str">
        <f ca="1">IFERROR(__xludf.DUMMYFUNCTION("GOOGLETRANSLATE(C7,""en"", ""fr"")"),"Adresse résidentielle")</f>
        <v>Adresse résidentielle</v>
      </c>
      <c r="E7" s="3"/>
      <c r="F7" s="3"/>
      <c r="G7" s="3"/>
      <c r="H7" s="3"/>
      <c r="I7" s="3"/>
      <c r="J7" s="3" t="b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2">
      <c r="A8" s="25" t="s">
        <v>33</v>
      </c>
      <c r="B8" s="3" t="s">
        <v>36</v>
      </c>
      <c r="C8" s="3" t="s">
        <v>37</v>
      </c>
      <c r="D8" s="3" t="str">
        <f ca="1">IFERROR(__xludf.DUMMYFUNCTION("GOOGLETRANSLATE(C8,""en"", ""fr"")"),"Numéro de contact principal")</f>
        <v>Numéro de contact principal</v>
      </c>
      <c r="E8" s="3"/>
      <c r="F8" s="3"/>
      <c r="G8" s="3"/>
      <c r="H8" s="3"/>
      <c r="I8" s="3"/>
      <c r="J8" s="3" t="b">
        <v>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2">
      <c r="A9" s="25" t="s">
        <v>33</v>
      </c>
      <c r="B9" s="3" t="s">
        <v>38</v>
      </c>
      <c r="C9" s="3" t="s">
        <v>39</v>
      </c>
      <c r="D9" s="3" t="str">
        <f ca="1">IFERROR(__xludf.DUMMYFUNCTION("GOOGLETRANSLATE(C9,""en"", ""fr"")"),"Numéro de contact secondaire")</f>
        <v>Numéro de contact secondaire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2">
      <c r="A10" s="25" t="s">
        <v>40</v>
      </c>
      <c r="B10" s="3" t="s">
        <v>41</v>
      </c>
      <c r="C10" s="3" t="s">
        <v>42</v>
      </c>
      <c r="D10" s="3" t="str">
        <f ca="1">IFERROR(__xludf.DUMMYFUNCTION("GOOGLETRANSLATE(C10,""en"", ""fr"")"),"revenu mensuel des ménages")</f>
        <v>revenu mensuel des ménages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2">
      <c r="A11" s="25" t="s">
        <v>43</v>
      </c>
      <c r="B11" s="19" t="s">
        <v>320</v>
      </c>
      <c r="C11" s="19" t="s">
        <v>320</v>
      </c>
      <c r="D11" s="19" t="s">
        <v>320</v>
      </c>
      <c r="E11" s="3"/>
      <c r="F11" s="3"/>
      <c r="G11" s="3"/>
      <c r="H11" s="3"/>
      <c r="I11" s="3"/>
      <c r="J11" s="3"/>
      <c r="K11" s="3"/>
      <c r="L11" s="3"/>
      <c r="M11" s="3" t="b">
        <v>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2">
      <c r="A12" s="25" t="s">
        <v>33</v>
      </c>
      <c r="B12" s="3" t="s">
        <v>44</v>
      </c>
      <c r="C12" s="3" t="s">
        <v>45</v>
      </c>
      <c r="D12" s="3" t="str">
        <f ca="1">IFERROR(__xludf.DUMMYFUNCTION("GOOGLETRANSLATE(C12,""en"", ""fr"")"),"Classe économique")</f>
        <v>Classe économique</v>
      </c>
      <c r="E12" s="3"/>
      <c r="F12" s="3"/>
      <c r="G12" s="3"/>
      <c r="H12" s="3"/>
      <c r="I12" s="3"/>
      <c r="J12" s="3"/>
      <c r="K12" s="3"/>
      <c r="L12" s="3"/>
      <c r="M12" s="3"/>
      <c r="N12" s="3" t="b">
        <v>1</v>
      </c>
      <c r="O12" s="3" t="s">
        <v>46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2">
      <c r="A13" s="3" t="s">
        <v>47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2"/>
    <row r="15" spans="1:27" ht="15.75" customHeight="1" x14ac:dyDescent="0.2"/>
    <row r="16" spans="1:27" ht="15.75" customHeight="1" x14ac:dyDescent="0.2">
      <c r="A16" s="5" t="s">
        <v>21</v>
      </c>
      <c r="B16" s="5" t="s">
        <v>48</v>
      </c>
      <c r="C16" s="5" t="s">
        <v>49</v>
      </c>
      <c r="D16" s="5" t="str">
        <f ca="1">IFERROR(__xludf.DUMMYFUNCTION("GOOGLETRANSLATE(C17,""en"", ""fr"")"),"Accès Internet")</f>
        <v>Accès Internet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 t="s">
        <v>24</v>
      </c>
      <c r="U16" s="5"/>
      <c r="V16" s="5"/>
      <c r="W16" s="5"/>
      <c r="X16" s="5"/>
      <c r="Y16" s="5"/>
      <c r="Z16" s="5"/>
      <c r="AA16" s="5"/>
    </row>
    <row r="17" spans="1:27" ht="15.75" customHeight="1" x14ac:dyDescent="0.2">
      <c r="A17" s="26" t="s">
        <v>50</v>
      </c>
      <c r="B17" s="5" t="s">
        <v>51</v>
      </c>
      <c r="C17" s="5" t="s">
        <v>52</v>
      </c>
      <c r="D17" s="5" t="str">
        <f ca="1">IFERROR(__xludf.DUMMYFUNCTION("GOOGLETRANSLATE(C18,""en"", ""fr"")"),"Le ménage a-t-il accès à Internet ?")</f>
        <v>Le ménage a-t-il accès à Internet ?</v>
      </c>
      <c r="E17" s="5"/>
      <c r="F17" s="5"/>
      <c r="G17" s="5"/>
      <c r="H17" s="5"/>
      <c r="I17" s="5"/>
      <c r="J17" s="5" t="b">
        <v>1</v>
      </c>
      <c r="K17" s="5"/>
      <c r="L17" s="5"/>
      <c r="M17" s="5"/>
      <c r="N17" s="5"/>
      <c r="O17" s="5"/>
      <c r="P17" s="5"/>
      <c r="Q17" s="5"/>
      <c r="R17" s="5"/>
      <c r="S17" s="5"/>
      <c r="T17" s="6" t="s">
        <v>53</v>
      </c>
      <c r="U17" s="5"/>
      <c r="V17" s="5"/>
      <c r="W17" s="5"/>
      <c r="X17" s="5"/>
      <c r="Y17" s="5"/>
      <c r="Z17" s="5"/>
      <c r="AA17" s="5"/>
    </row>
    <row r="18" spans="1:27" ht="15.75" customHeight="1" x14ac:dyDescent="0.2">
      <c r="A18" s="26" t="s">
        <v>54</v>
      </c>
      <c r="B18" s="5" t="s">
        <v>55</v>
      </c>
      <c r="C18" s="5" t="s">
        <v>56</v>
      </c>
      <c r="D18" s="5" t="str">
        <f ca="1">IFERROR(__xludf.DUMMYFUNCTION("GOOGLETRANSLATE(C19,""en"", ""fr"")"),"Type d'accès / couverture Internet")</f>
        <v>Type d'accès / couverture Internet</v>
      </c>
      <c r="E18" s="5"/>
      <c r="F18" s="5"/>
      <c r="G18" s="5"/>
      <c r="H18" s="5"/>
      <c r="I18" s="5"/>
      <c r="J18" s="5" t="b">
        <v>1</v>
      </c>
      <c r="K18" s="5"/>
      <c r="L18" s="5"/>
      <c r="M18" s="5" t="s">
        <v>57</v>
      </c>
      <c r="N18" s="5"/>
      <c r="O18" s="5"/>
      <c r="P18" s="5"/>
      <c r="Q18" s="5"/>
      <c r="R18" s="5"/>
      <c r="S18" s="5"/>
      <c r="T18" s="6" t="s">
        <v>53</v>
      </c>
      <c r="U18" s="5"/>
      <c r="V18" s="5"/>
      <c r="W18" s="5"/>
      <c r="X18" s="5"/>
      <c r="Y18" s="5"/>
      <c r="Z18" s="5"/>
      <c r="AA18" s="5"/>
    </row>
    <row r="19" spans="1:27" ht="15.75" customHeight="1" x14ac:dyDescent="0.2">
      <c r="A19" s="5" t="s">
        <v>47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 x14ac:dyDescent="0.2"/>
    <row r="21" spans="1:27" ht="15.75" customHeight="1" x14ac:dyDescent="0.2"/>
    <row r="22" spans="1:27" s="23" customFormat="1" ht="15.75" customHeight="1" x14ac:dyDescent="0.2">
      <c r="A22" s="20" t="s">
        <v>58</v>
      </c>
      <c r="B22" s="21" t="s">
        <v>59</v>
      </c>
      <c r="C22" s="21" t="s">
        <v>60</v>
      </c>
      <c r="D22" s="22" t="str">
        <f ca="1">IFERROR(__xludf.DUMMYFUNCTION("GOOGLETRANSLATE(C24,""en"", ""fr"")"),"Membres du foyer")</f>
        <v>Membres du foyer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ht="15.75" customHeight="1" x14ac:dyDescent="0.2">
      <c r="A23" s="9" t="s">
        <v>21</v>
      </c>
      <c r="B23" s="10" t="s">
        <v>61</v>
      </c>
      <c r="C23" s="10" t="s">
        <v>62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 x14ac:dyDescent="0.2">
      <c r="A24" s="26" t="s">
        <v>33</v>
      </c>
      <c r="B24" s="5" t="s">
        <v>63</v>
      </c>
      <c r="C24" s="5" t="s">
        <v>64</v>
      </c>
      <c r="D24" s="5" t="str">
        <f ca="1">IFERROR(__xludf.DUMMYFUNCTION("GOOGLETRANSLATE(C28,""en"", ""fr"")"),"Prénom")</f>
        <v>Prénom</v>
      </c>
      <c r="E24" s="5"/>
      <c r="F24" s="5"/>
      <c r="G24" s="5"/>
      <c r="H24" s="5"/>
      <c r="I24" s="5"/>
      <c r="J24" s="5" t="b">
        <v>1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75" customHeight="1" x14ac:dyDescent="0.2">
      <c r="A25" s="26" t="s">
        <v>65</v>
      </c>
      <c r="B25" s="5" t="s">
        <v>66</v>
      </c>
      <c r="C25" s="5" t="s">
        <v>67</v>
      </c>
      <c r="D25" s="5" t="str">
        <f ca="1">IFERROR(__xludf.DUMMYFUNCTION("GOOGLETRANSLATE(C29,""en"", ""fr"")"),"Genre")</f>
        <v>Genre</v>
      </c>
      <c r="E25" s="5"/>
      <c r="F25" s="5"/>
      <c r="G25" s="5"/>
      <c r="H25" s="5"/>
      <c r="I25" s="5"/>
      <c r="J25" s="5" t="b">
        <v>1</v>
      </c>
      <c r="K25" s="5"/>
      <c r="L25" s="5"/>
      <c r="M25" s="5"/>
      <c r="N25" s="5"/>
      <c r="O25" s="5"/>
      <c r="P25" s="5"/>
      <c r="Q25" s="5"/>
      <c r="R25" s="5"/>
      <c r="S25" s="5"/>
      <c r="T25" s="6" t="s">
        <v>53</v>
      </c>
      <c r="U25" s="5"/>
      <c r="V25" s="5"/>
      <c r="W25" s="5"/>
      <c r="X25" s="5"/>
      <c r="Y25" s="5"/>
      <c r="Z25" s="5"/>
      <c r="AA25" s="5"/>
    </row>
    <row r="26" spans="1:27" ht="15.75" customHeight="1" x14ac:dyDescent="0.2">
      <c r="A26" s="8"/>
    </row>
    <row r="27" spans="1:27" ht="15.75" customHeight="1" x14ac:dyDescent="0.2">
      <c r="A27" s="27" t="s">
        <v>21</v>
      </c>
      <c r="B27" s="12" t="s">
        <v>68</v>
      </c>
      <c r="C27" s="12" t="s">
        <v>69</v>
      </c>
      <c r="D27" s="12" t="str">
        <f ca="1">IFERROR(__xludf.DUMMYFUNCTION("GOOGLETRANSLATE(C32,""en"", ""fr"")"),"Santé")</f>
        <v>Santé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 t="s">
        <v>24</v>
      </c>
      <c r="U27" s="12"/>
      <c r="V27" s="12"/>
      <c r="W27" s="12"/>
      <c r="X27" s="12"/>
      <c r="Y27" s="12"/>
      <c r="Z27" s="12"/>
      <c r="AA27" s="12"/>
    </row>
    <row r="28" spans="1:27" ht="15.75" customHeight="1" x14ac:dyDescent="0.2">
      <c r="A28" s="28" t="s">
        <v>50</v>
      </c>
      <c r="B28" s="12" t="s">
        <v>70</v>
      </c>
      <c r="C28" s="12" t="s">
        <v>71</v>
      </c>
      <c r="D28" s="12" t="str">
        <f ca="1">IFERROR(__xludf.DUMMYFUNCTION("GOOGLETRANSLATE(C33,""en"", ""fr"")"),"Ont-ils consulté un médecin/un hôpital au cours des 12 derniers mois ?")</f>
        <v>Ont-ils consulté un médecin/un hôpital au cours des 12 derniers mois ?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 t="s">
        <v>53</v>
      </c>
      <c r="U28" s="12"/>
      <c r="V28" s="12"/>
      <c r="W28" s="12"/>
      <c r="X28" s="12"/>
      <c r="Y28" s="12"/>
      <c r="Z28" s="12"/>
      <c r="AA28" s="12"/>
    </row>
    <row r="29" spans="1:27" ht="15.75" customHeight="1" x14ac:dyDescent="0.2">
      <c r="A29" s="28" t="s">
        <v>72</v>
      </c>
      <c r="B29" s="12" t="s">
        <v>73</v>
      </c>
      <c r="C29" s="12" t="s">
        <v>74</v>
      </c>
      <c r="D29" s="12" t="str">
        <f ca="1">IFERROR(__xludf.DUMMYFUNCTION("GOOGLETRANSLATE(C34,""en"", ""fr"")"),"Type d’établissement consulté ?")</f>
        <v>Type d’établissement consulté ?</v>
      </c>
      <c r="E29" s="12" t="s">
        <v>75</v>
      </c>
      <c r="F29" s="12"/>
      <c r="G29" s="12"/>
      <c r="H29" s="12" t="s">
        <v>76</v>
      </c>
      <c r="I29" s="12" t="s">
        <v>77</v>
      </c>
      <c r="J29" s="12" t="b">
        <v>1</v>
      </c>
      <c r="K29" s="12"/>
      <c r="L29" s="12"/>
      <c r="M29" s="12" t="s">
        <v>78</v>
      </c>
      <c r="N29" s="12"/>
      <c r="O29" s="12"/>
      <c r="P29" s="12"/>
      <c r="Q29" s="12"/>
      <c r="R29" s="12"/>
      <c r="S29" s="12"/>
      <c r="T29" s="12" t="s">
        <v>53</v>
      </c>
      <c r="U29" s="12"/>
      <c r="V29" s="12"/>
      <c r="W29" s="12"/>
      <c r="X29" s="12"/>
      <c r="Y29" s="12"/>
      <c r="Z29" s="12"/>
      <c r="AA29" s="12"/>
    </row>
    <row r="30" spans="1:27" ht="15.75" customHeight="1" x14ac:dyDescent="0.2">
      <c r="A30" s="28" t="s">
        <v>79</v>
      </c>
      <c r="B30" s="12" t="s">
        <v>80</v>
      </c>
      <c r="C30" s="12" t="s">
        <v>81</v>
      </c>
      <c r="D30" s="12" t="str">
        <f ca="1">IFERROR(__xludf.DUMMYFUNCTION("GOOGLETRANSLATE(C35,""en"", ""fr"")"),"Raison pour laquelle vous n’avez pas accès aux établissements de santé ?")</f>
        <v>Raison pour laquelle vous n’avez pas accès aux établissements de santé ?</v>
      </c>
      <c r="E30" s="12" t="s">
        <v>82</v>
      </c>
      <c r="F30" s="12"/>
      <c r="G30" s="12"/>
      <c r="H30" s="12" t="s">
        <v>76</v>
      </c>
      <c r="I30" s="12" t="s">
        <v>77</v>
      </c>
      <c r="J30" s="12" t="b">
        <v>1</v>
      </c>
      <c r="K30" s="12"/>
      <c r="L30" s="12"/>
      <c r="M30" s="12" t="s">
        <v>83</v>
      </c>
      <c r="N30" s="12"/>
      <c r="O30" s="12"/>
      <c r="P30" s="12"/>
      <c r="Q30" s="12"/>
      <c r="R30" s="12"/>
      <c r="S30" s="12"/>
      <c r="T30" s="12" t="s">
        <v>53</v>
      </c>
      <c r="U30" s="12"/>
      <c r="V30" s="12"/>
      <c r="W30" s="12"/>
      <c r="X30" s="12"/>
      <c r="Y30" s="12"/>
      <c r="Z30" s="12"/>
      <c r="AA30" s="12"/>
    </row>
    <row r="31" spans="1:27" ht="15.75" customHeight="1" x14ac:dyDescent="0.2">
      <c r="A31" s="28" t="s">
        <v>84</v>
      </c>
      <c r="B31" s="12" t="s">
        <v>85</v>
      </c>
      <c r="C31" s="12" t="s">
        <v>86</v>
      </c>
      <c r="D31" s="12" t="str">
        <f ca="1">IFERROR(__xludf.DUMMYFUNCTION("GOOGLETRANSLATE(C36,""en"", ""fr"")"),"Ont-ils été diagnostiqués et prescrits des médicaments pour des maladies ?")</f>
        <v>Ont-ils été diagnostiqués et prescrits des médicaments pour des maladies ?</v>
      </c>
      <c r="E31" s="12" t="s">
        <v>87</v>
      </c>
      <c r="F31" s="12"/>
      <c r="G31" s="12"/>
      <c r="H31" s="12" t="s">
        <v>76</v>
      </c>
      <c r="I31" s="12" t="s">
        <v>77</v>
      </c>
      <c r="J31" s="12" t="b">
        <v>1</v>
      </c>
      <c r="K31" s="12"/>
      <c r="L31" s="12"/>
      <c r="M31" s="12"/>
      <c r="N31" s="12"/>
      <c r="O31" s="12"/>
      <c r="P31" s="12"/>
      <c r="Q31" s="12"/>
      <c r="R31" s="12"/>
      <c r="S31" s="12"/>
      <c r="T31" s="12" t="s">
        <v>53</v>
      </c>
      <c r="U31" s="12"/>
      <c r="V31" s="12"/>
      <c r="W31" s="12"/>
      <c r="X31" s="12"/>
      <c r="Y31" s="12"/>
      <c r="Z31" s="12"/>
      <c r="AA31" s="12"/>
    </row>
    <row r="32" spans="1:27" ht="15.75" customHeight="1" x14ac:dyDescent="0.2">
      <c r="A32" s="27" t="s">
        <v>47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ht="15.75" customHeight="1" x14ac:dyDescent="0.2">
      <c r="A33" s="9" t="s">
        <v>47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s="23" customFormat="1" ht="15.75" customHeight="1" x14ac:dyDescent="0.2">
      <c r="A34" s="24" t="s">
        <v>88</v>
      </c>
    </row>
    <row r="35" spans="1:27" ht="15.75" customHeight="1" x14ac:dyDescent="0.2">
      <c r="A35" s="8"/>
    </row>
    <row r="36" spans="1:27" ht="15.75" customHeight="1" x14ac:dyDescent="0.2">
      <c r="A36" s="11" t="s">
        <v>33</v>
      </c>
      <c r="B36" s="12" t="s">
        <v>89</v>
      </c>
      <c r="C36" s="12" t="s">
        <v>90</v>
      </c>
      <c r="D36" s="12" t="str">
        <f ca="1">IFERROR(__xludf.DUMMYFUNCTION("GOOGLETRANSLATE(C44,""en"", ""fr"")"),"Autres commentaires")</f>
        <v>Autres commentaires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3" t="s">
        <v>91</v>
      </c>
      <c r="U36" s="12"/>
      <c r="V36" s="12"/>
      <c r="W36" s="12"/>
      <c r="X36" s="12"/>
      <c r="Y36" s="12"/>
      <c r="Z36" s="12"/>
      <c r="AA36" s="12"/>
    </row>
    <row r="37" spans="1:27" ht="15.75" customHeight="1" x14ac:dyDescent="0.2"/>
    <row r="38" spans="1:27" ht="15.75" customHeight="1" x14ac:dyDescent="0.2"/>
    <row r="39" spans="1:27" ht="15.75" customHeight="1" x14ac:dyDescent="0.2"/>
    <row r="40" spans="1:27" ht="15.75" customHeight="1" x14ac:dyDescent="0.2"/>
    <row r="41" spans="1:27" ht="15.75" customHeight="1" x14ac:dyDescent="0.2"/>
    <row r="42" spans="1:27" ht="15.75" customHeight="1" x14ac:dyDescent="0.2"/>
    <row r="43" spans="1:27" ht="15.75" customHeight="1" x14ac:dyDescent="0.2"/>
    <row r="44" spans="1:27" ht="15.75" customHeight="1" x14ac:dyDescent="0.2"/>
    <row r="45" spans="1:27" ht="15.75" customHeight="1" x14ac:dyDescent="0.2"/>
    <row r="46" spans="1:27" ht="15.75" customHeight="1" x14ac:dyDescent="0.2"/>
    <row r="47" spans="1:27" ht="15.75" customHeight="1" x14ac:dyDescent="0.2"/>
    <row r="48" spans="1:2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26"/>
  <sheetViews>
    <sheetView workbookViewId="0"/>
  </sheetViews>
  <sheetFormatPr baseColWidth="10" defaultColWidth="11.1640625" defaultRowHeight="15" customHeight="1" x14ac:dyDescent="0.2"/>
  <cols>
    <col min="1" max="1" width="17.5" customWidth="1"/>
    <col min="2" max="2" width="20.83203125" customWidth="1"/>
    <col min="3" max="4" width="23.6640625" customWidth="1"/>
    <col min="5" max="5" width="20.83203125" customWidth="1"/>
    <col min="6" max="27" width="10.5" customWidth="1"/>
  </cols>
  <sheetData>
    <row r="1" spans="1:5" ht="15.75" customHeight="1" x14ac:dyDescent="0.2">
      <c r="A1" s="14" t="s">
        <v>92</v>
      </c>
      <c r="B1" s="7" t="s">
        <v>1</v>
      </c>
      <c r="C1" s="2" t="s">
        <v>2</v>
      </c>
      <c r="D1" s="2" t="s">
        <v>3</v>
      </c>
      <c r="E1" s="7" t="s">
        <v>26</v>
      </c>
    </row>
    <row r="2" spans="1:5" ht="15.75" customHeight="1" x14ac:dyDescent="0.2">
      <c r="A2" s="14" t="s">
        <v>26</v>
      </c>
      <c r="B2" s="15" t="s">
        <v>93</v>
      </c>
      <c r="C2" s="14" t="s">
        <v>93</v>
      </c>
      <c r="D2" s="14" t="str">
        <f ca="1">IFERROR(__xludf.DUMMYFUNCTION("GOOGLETRANSLATE(C2,""en"", ""fr"")"),"Sind")</f>
        <v>Sind</v>
      </c>
      <c r="E2" s="7" t="s">
        <v>94</v>
      </c>
    </row>
    <row r="3" spans="1:5" ht="15.75" customHeight="1" x14ac:dyDescent="0.2">
      <c r="A3" s="14" t="s">
        <v>26</v>
      </c>
      <c r="B3" s="15" t="s">
        <v>95</v>
      </c>
      <c r="C3" s="14" t="s">
        <v>95</v>
      </c>
      <c r="D3" s="14" t="str">
        <f ca="1">IFERROR(__xludf.DUMMYFUNCTION("GOOGLETRANSLATE(C3,""en"", ""fr"")"),"Pendjab")</f>
        <v>Pendjab</v>
      </c>
      <c r="E3" s="7"/>
    </row>
    <row r="4" spans="1:5" ht="15.75" customHeight="1" x14ac:dyDescent="0.2">
      <c r="A4" s="14" t="s">
        <v>26</v>
      </c>
      <c r="B4" s="15" t="s">
        <v>96</v>
      </c>
      <c r="C4" s="14" t="s">
        <v>96</v>
      </c>
      <c r="D4" s="14" t="str">
        <f ca="1">IFERROR(__xludf.DUMMYFUNCTION("GOOGLETRANSLATE(C4,""en"", ""fr"")"),"Baloutchistan")</f>
        <v>Baloutchistan</v>
      </c>
      <c r="E4" s="7"/>
    </row>
    <row r="5" spans="1:5" ht="15.75" customHeight="1" x14ac:dyDescent="0.2">
      <c r="A5" s="14" t="s">
        <v>26</v>
      </c>
      <c r="B5" s="15" t="s">
        <v>97</v>
      </c>
      <c r="C5" s="14" t="s">
        <v>98</v>
      </c>
      <c r="D5" s="14" t="str">
        <f ca="1">IFERROR(__xludf.DUMMYFUNCTION("GOOGLETRANSLATE(C5,""en"", ""fr"")"),"Khyber Pakhunkhwan")</f>
        <v>Khyber Pakhunkhwan</v>
      </c>
      <c r="E5" s="7"/>
    </row>
    <row r="6" spans="1:5" ht="15.75" customHeight="1" x14ac:dyDescent="0.2">
      <c r="A6" s="14" t="s">
        <v>26</v>
      </c>
      <c r="B6" s="15" t="s">
        <v>99</v>
      </c>
      <c r="C6" s="14" t="s">
        <v>100</v>
      </c>
      <c r="D6" s="14" t="str">
        <f ca="1">IFERROR(__xludf.DUMMYFUNCTION("GOOGLETRANSLATE(C6,""en"", ""fr"")"),"Azad Cachemire et Gilgit")</f>
        <v>Azad Cachemire et Gilgit</v>
      </c>
      <c r="E6" s="7"/>
    </row>
    <row r="7" spans="1:5" ht="15.75" customHeight="1" x14ac:dyDescent="0.2">
      <c r="B7" s="7"/>
      <c r="C7" s="7"/>
      <c r="D7" s="7"/>
      <c r="E7" s="7"/>
    </row>
    <row r="8" spans="1:5" ht="15.75" customHeight="1" x14ac:dyDescent="0.2">
      <c r="B8" s="7"/>
      <c r="C8" s="7"/>
      <c r="D8" s="7"/>
      <c r="E8" s="7"/>
    </row>
    <row r="9" spans="1:5" ht="15.75" customHeight="1" x14ac:dyDescent="0.2">
      <c r="A9" s="14" t="s">
        <v>30</v>
      </c>
      <c r="B9" s="15" t="s">
        <v>101</v>
      </c>
      <c r="C9" s="14" t="s">
        <v>102</v>
      </c>
      <c r="D9" s="14" t="str">
        <f ca="1">IFERROR(__xludf.DUMMYFUNCTION("GOOGLETRANSLATE(C9,""en"", ""fr"")"),"Karachi")</f>
        <v>Karachi</v>
      </c>
      <c r="E9" s="15" t="s">
        <v>93</v>
      </c>
    </row>
    <row r="10" spans="1:5" ht="15.75" customHeight="1" x14ac:dyDescent="0.2">
      <c r="A10" s="14" t="s">
        <v>30</v>
      </c>
      <c r="B10" s="15" t="s">
        <v>103</v>
      </c>
      <c r="C10" s="14" t="s">
        <v>104</v>
      </c>
      <c r="D10" s="14" t="str">
        <f ca="1">IFERROR(__xludf.DUMMYFUNCTION("GOOGLETRANSLATE(C10,""en"", ""fr"")"),"Sakhar")</f>
        <v>Sakhar</v>
      </c>
      <c r="E10" s="15" t="s">
        <v>93</v>
      </c>
    </row>
    <row r="11" spans="1:5" ht="15.75" customHeight="1" x14ac:dyDescent="0.2">
      <c r="A11" s="14" t="s">
        <v>30</v>
      </c>
      <c r="B11" s="15" t="s">
        <v>105</v>
      </c>
      <c r="C11" s="14" t="s">
        <v>105</v>
      </c>
      <c r="D11" s="14" t="str">
        <f ca="1">IFERROR(__xludf.DUMMYFUNCTION("GOOGLETRANSLATE(C11,""en"", ""fr"")"),"Hyderâbâd")</f>
        <v>Hyderâbâd</v>
      </c>
      <c r="E11" s="15" t="s">
        <v>93</v>
      </c>
    </row>
    <row r="12" spans="1:5" ht="15.75" customHeight="1" x14ac:dyDescent="0.2">
      <c r="A12" s="14" t="s">
        <v>30</v>
      </c>
      <c r="B12" s="15" t="s">
        <v>106</v>
      </c>
      <c r="C12" s="14" t="s">
        <v>107</v>
      </c>
      <c r="D12" s="14" t="str">
        <f ca="1">IFERROR(__xludf.DUMMYFUNCTION("GOOGLETRANSLATE(C12,""en"", ""fr"")"),"Tando Turel")</f>
        <v>Tando Turel</v>
      </c>
      <c r="E12" s="15" t="s">
        <v>93</v>
      </c>
    </row>
    <row r="13" spans="1:5" ht="15.75" customHeight="1" x14ac:dyDescent="0.2">
      <c r="A13" s="14" t="s">
        <v>30</v>
      </c>
      <c r="B13" s="15" t="s">
        <v>108</v>
      </c>
      <c r="C13" s="14" t="s">
        <v>109</v>
      </c>
      <c r="D13" s="14" t="str">
        <f ca="1">IFERROR(__xludf.DUMMYFUNCTION("GOOGLETRANSLATE(C13,""en"", ""fr"")"),"Thatta et Shah Bunder")</f>
        <v>Thatta et Shah Bunder</v>
      </c>
      <c r="E13" s="15" t="s">
        <v>93</v>
      </c>
    </row>
    <row r="14" spans="1:5" ht="15.75" customHeight="1" x14ac:dyDescent="0.2">
      <c r="A14" s="14" t="s">
        <v>30</v>
      </c>
      <c r="B14" s="15" t="s">
        <v>110</v>
      </c>
      <c r="C14" s="14" t="s">
        <v>110</v>
      </c>
      <c r="D14" s="14" t="str">
        <f ca="1">IFERROR(__xludf.DUMMYFUNCTION("GOOGLETRANSLATE(C14,""en"", ""fr"")"),"Hafizabad")</f>
        <v>Hafizabad</v>
      </c>
      <c r="E14" s="15" t="s">
        <v>95</v>
      </c>
    </row>
    <row r="15" spans="1:5" ht="15.75" customHeight="1" x14ac:dyDescent="0.2">
      <c r="A15" s="14" t="s">
        <v>30</v>
      </c>
      <c r="B15" s="15" t="s">
        <v>111</v>
      </c>
      <c r="C15" s="14" t="s">
        <v>112</v>
      </c>
      <c r="D15" s="14" t="str">
        <f ca="1">IFERROR(__xludf.DUMMYFUNCTION("GOOGLETRANSLATE(C15,""en"", ""fr"")"),"Lahore et Sialkot")</f>
        <v>Lahore et Sialkot</v>
      </c>
      <c r="E15" s="15" t="s">
        <v>95</v>
      </c>
    </row>
    <row r="16" spans="1:5" ht="15.75" customHeight="1" x14ac:dyDescent="0.2">
      <c r="A16" s="14" t="s">
        <v>30</v>
      </c>
      <c r="B16" s="15" t="s">
        <v>113</v>
      </c>
      <c r="C16" s="14" t="s">
        <v>114</v>
      </c>
      <c r="D16" s="14" t="str">
        <f ca="1">IFERROR(__xludf.DUMMYFUNCTION("GOOGLETRANSLATE(C16,""en"", ""fr"")"),"Multan et Bahawalpur")</f>
        <v>Multan et Bahawalpur</v>
      </c>
      <c r="E16" s="15" t="s">
        <v>95</v>
      </c>
    </row>
    <row r="17" spans="1:5" ht="15.75" customHeight="1" x14ac:dyDescent="0.2">
      <c r="A17" s="14" t="s">
        <v>30</v>
      </c>
      <c r="B17" s="15" t="s">
        <v>115</v>
      </c>
      <c r="C17" s="14" t="s">
        <v>115</v>
      </c>
      <c r="D17" s="14" t="str">
        <f ca="1">IFERROR(__xludf.DUMMYFUNCTION("GOOGLETRANSLATE(C17,""en"", ""fr"")"),"Rawalpindi")</f>
        <v>Rawalpindi</v>
      </c>
      <c r="E17" s="15" t="s">
        <v>95</v>
      </c>
    </row>
    <row r="18" spans="1:5" ht="15.75" customHeight="1" x14ac:dyDescent="0.2">
      <c r="A18" s="14" t="s">
        <v>30</v>
      </c>
      <c r="B18" s="15" t="s">
        <v>116</v>
      </c>
      <c r="C18" s="14" t="s">
        <v>116</v>
      </c>
      <c r="D18" s="14" t="str">
        <f ca="1">IFERROR(__xludf.DUMMYFUNCTION("GOOGLETRANSLATE(C18,""en"", ""fr"")"),"Sargodha")</f>
        <v>Sargodha</v>
      </c>
      <c r="E18" s="15" t="s">
        <v>95</v>
      </c>
    </row>
    <row r="19" spans="1:5" ht="15.75" customHeight="1" x14ac:dyDescent="0.2">
      <c r="A19" s="14" t="s">
        <v>30</v>
      </c>
      <c r="B19" s="15" t="s">
        <v>117</v>
      </c>
      <c r="C19" s="14" t="s">
        <v>117</v>
      </c>
      <c r="D19" s="14" t="str">
        <f ca="1">IFERROR(__xludf.DUMMYFUNCTION("GOOGLETRANSLATE(C19,""en"", ""fr"")"),"Arkari")</f>
        <v>Arkari</v>
      </c>
      <c r="E19" s="15" t="s">
        <v>97</v>
      </c>
    </row>
    <row r="20" spans="1:5" ht="15.75" customHeight="1" x14ac:dyDescent="0.2">
      <c r="A20" s="14" t="s">
        <v>30</v>
      </c>
      <c r="B20" s="15" t="s">
        <v>118</v>
      </c>
      <c r="C20" s="14" t="s">
        <v>119</v>
      </c>
      <c r="D20" s="14" t="str">
        <f ca="1">IFERROR(__xludf.DUMMYFUNCTION("GOOGLETRANSLATE(C20,""en"", ""fr"")"),"Ville de Chitral")</f>
        <v>Ville de Chitral</v>
      </c>
      <c r="E20" s="15" t="s">
        <v>97</v>
      </c>
    </row>
    <row r="21" spans="1:5" ht="15.75" customHeight="1" x14ac:dyDescent="0.2">
      <c r="A21" s="14" t="s">
        <v>30</v>
      </c>
      <c r="B21" s="15" t="s">
        <v>120</v>
      </c>
      <c r="C21" s="14" t="s">
        <v>120</v>
      </c>
      <c r="D21" s="14" t="str">
        <f ca="1">IFERROR(__xludf.DUMMYFUNCTION("GOOGLETRANSLATE(C21,""en"", ""fr"")"),"Garamchashma")</f>
        <v>Garamchashma</v>
      </c>
      <c r="E21" s="15" t="s">
        <v>97</v>
      </c>
    </row>
    <row r="22" spans="1:5" ht="15.75" customHeight="1" x14ac:dyDescent="0.2">
      <c r="A22" s="14" t="s">
        <v>30</v>
      </c>
      <c r="B22" s="15" t="s">
        <v>121</v>
      </c>
      <c r="C22" s="14" t="s">
        <v>121</v>
      </c>
      <c r="D22" s="14" t="str">
        <f ca="1">IFERROR(__xludf.DUMMYFUNCTION("GOOGLETRANSLATE(C22,""en"", ""fr"")"),"Madaklasht")</f>
        <v>Madaklasht</v>
      </c>
      <c r="E22" s="15" t="s">
        <v>97</v>
      </c>
    </row>
    <row r="23" spans="1:5" ht="15.75" customHeight="1" x14ac:dyDescent="0.2">
      <c r="A23" s="14" t="s">
        <v>30</v>
      </c>
      <c r="B23" s="15" t="s">
        <v>122</v>
      </c>
      <c r="C23" s="14" t="s">
        <v>122</v>
      </c>
      <c r="D23" s="14" t="str">
        <f ca="1">IFERROR(__xludf.DUMMYFUNCTION("GOOGLETRANSLATE(C23,""en"", ""fr"")"),"Parabeg")</f>
        <v>Parabeg</v>
      </c>
      <c r="E23" s="15" t="s">
        <v>97</v>
      </c>
    </row>
    <row r="24" spans="1:5" ht="15.75" customHeight="1" x14ac:dyDescent="0.2">
      <c r="A24" s="14" t="s">
        <v>30</v>
      </c>
      <c r="B24" s="15" t="s">
        <v>123</v>
      </c>
      <c r="C24" s="14" t="s">
        <v>123</v>
      </c>
      <c r="D24" s="14" t="str">
        <f ca="1">IFERROR(__xludf.DUMMYFUNCTION("GOOGLETRANSLATE(C24,""en"", ""fr"")"),"Shohore")</f>
        <v>Shohore</v>
      </c>
      <c r="E24" s="15" t="s">
        <v>97</v>
      </c>
    </row>
    <row r="25" spans="1:5" ht="15.75" customHeight="1" x14ac:dyDescent="0.2">
      <c r="A25" s="14" t="s">
        <v>30</v>
      </c>
      <c r="B25" s="15" t="s">
        <v>124</v>
      </c>
      <c r="C25" s="14" t="s">
        <v>124</v>
      </c>
      <c r="D25" s="14" t="str">
        <f ca="1">IFERROR(__xludf.DUMMYFUNCTION("GOOGLETRANSLATE(C25,""en"", ""fr"")"),"Susum")</f>
        <v>Susum</v>
      </c>
      <c r="E25" s="15" t="s">
        <v>97</v>
      </c>
    </row>
    <row r="26" spans="1:5" ht="15.75" customHeight="1" x14ac:dyDescent="0.2">
      <c r="A26" s="14" t="s">
        <v>30</v>
      </c>
      <c r="B26" s="15" t="s">
        <v>125</v>
      </c>
      <c r="C26" s="14" t="s">
        <v>125</v>
      </c>
      <c r="D26" s="14" t="str">
        <f ca="1">IFERROR(__xludf.DUMMYFUNCTION("GOOGLETRANSLATE(C26,""en"", ""fr"")"),"Claquer")</f>
        <v>Claquer</v>
      </c>
      <c r="E26" s="15" t="s">
        <v>97</v>
      </c>
    </row>
    <row r="27" spans="1:5" ht="15.75" customHeight="1" x14ac:dyDescent="0.2">
      <c r="A27" s="14" t="s">
        <v>30</v>
      </c>
      <c r="B27" s="15" t="s">
        <v>126</v>
      </c>
      <c r="C27" s="14" t="s">
        <v>126</v>
      </c>
      <c r="D27" s="14" t="str">
        <f ca="1">IFERROR(__xludf.DUMMYFUNCTION("GOOGLETRANSLATE(C27,""en"", ""fr"")"),"Booni")</f>
        <v>Booni</v>
      </c>
      <c r="E27" s="15" t="s">
        <v>97</v>
      </c>
    </row>
    <row r="28" spans="1:5" ht="15.75" customHeight="1" x14ac:dyDescent="0.2">
      <c r="A28" s="14" t="s">
        <v>30</v>
      </c>
      <c r="B28" s="15" t="s">
        <v>127</v>
      </c>
      <c r="C28" s="14" t="s">
        <v>127</v>
      </c>
      <c r="D28" s="14" t="str">
        <f ca="1">IFERROR(__xludf.DUMMYFUNCTION("GOOGLETRANSLATE(C28,""en"", ""fr"")"),"Brep")</f>
        <v>Brep</v>
      </c>
      <c r="E28" s="15" t="s">
        <v>97</v>
      </c>
    </row>
    <row r="29" spans="1:5" ht="15.75" customHeight="1" x14ac:dyDescent="0.2">
      <c r="A29" s="14" t="s">
        <v>30</v>
      </c>
      <c r="B29" s="15" t="s">
        <v>128</v>
      </c>
      <c r="C29" s="14" t="s">
        <v>128</v>
      </c>
      <c r="D29" s="14" t="str">
        <f ca="1">IFERROR(__xludf.DUMMYFUNCTION("GOOGLETRANSLATE(C29,""en"", ""fr"")"),"Khot")</f>
        <v>Khot</v>
      </c>
      <c r="E29" s="15" t="s">
        <v>97</v>
      </c>
    </row>
    <row r="30" spans="1:5" ht="15.75" customHeight="1" x14ac:dyDescent="0.2">
      <c r="A30" s="14" t="s">
        <v>30</v>
      </c>
      <c r="B30" s="15" t="s">
        <v>129</v>
      </c>
      <c r="C30" s="14" t="s">
        <v>129</v>
      </c>
      <c r="D30" s="14" t="str">
        <f ca="1">IFERROR(__xludf.DUMMYFUNCTION("GOOGLETRANSLATE(C30,""en"", ""fr"")"),"Laspur")</f>
        <v>Laspur</v>
      </c>
      <c r="E30" s="15" t="s">
        <v>97</v>
      </c>
    </row>
    <row r="31" spans="1:5" ht="15.75" customHeight="1" x14ac:dyDescent="0.2">
      <c r="A31" s="14" t="s">
        <v>30</v>
      </c>
      <c r="B31" s="15" t="s">
        <v>130</v>
      </c>
      <c r="C31" s="14" t="s">
        <v>130</v>
      </c>
      <c r="D31" s="14" t="str">
        <f ca="1">IFERROR(__xludf.DUMMYFUNCTION("GOOGLETRANSLATE(C31,""en"", ""fr"")"),"Chatoorkhand")</f>
        <v>Chatoorkhand</v>
      </c>
      <c r="E31" s="15" t="s">
        <v>96</v>
      </c>
    </row>
    <row r="32" spans="1:5" ht="15.75" customHeight="1" x14ac:dyDescent="0.2">
      <c r="A32" s="14" t="s">
        <v>30</v>
      </c>
      <c r="B32" s="15" t="s">
        <v>131</v>
      </c>
      <c r="C32" s="14" t="s">
        <v>131</v>
      </c>
      <c r="D32" s="14" t="str">
        <f ca="1">IFERROR(__xludf.DUMMYFUNCTION("GOOGLETRANSLATE(C32,""en"", ""fr"")"),"Damas")</f>
        <v>Damas</v>
      </c>
      <c r="E32" s="15" t="s">
        <v>96</v>
      </c>
    </row>
    <row r="33" spans="1:5" ht="15.75" customHeight="1" x14ac:dyDescent="0.2">
      <c r="A33" s="14" t="s">
        <v>30</v>
      </c>
      <c r="B33" s="15" t="s">
        <v>132</v>
      </c>
      <c r="C33" s="14" t="s">
        <v>132</v>
      </c>
      <c r="D33" s="14" t="str">
        <f ca="1">IFERROR(__xludf.DUMMYFUNCTION("GOOGLETRANSLATE(C33,""en"", ""fr"")"),"Gahkuch")</f>
        <v>Gahkuch</v>
      </c>
      <c r="E33" s="15" t="s">
        <v>96</v>
      </c>
    </row>
    <row r="34" spans="1:5" ht="15.75" customHeight="1" x14ac:dyDescent="0.2">
      <c r="A34" s="14" t="s">
        <v>30</v>
      </c>
      <c r="B34" s="15" t="s">
        <v>133</v>
      </c>
      <c r="C34" s="14" t="s">
        <v>133</v>
      </c>
      <c r="D34" s="14" t="str">
        <f ca="1">IFERROR(__xludf.DUMMYFUNCTION("GOOGLETRANSLATE(C34,""en"", ""fr"")"),"Immettre")</f>
        <v>Immettre</v>
      </c>
      <c r="E34" s="15" t="s">
        <v>96</v>
      </c>
    </row>
    <row r="35" spans="1:5" ht="15.75" customHeight="1" x14ac:dyDescent="0.2">
      <c r="A35" s="14" t="s">
        <v>30</v>
      </c>
      <c r="B35" s="15" t="s">
        <v>134</v>
      </c>
      <c r="C35" s="14" t="s">
        <v>134</v>
      </c>
      <c r="D35" s="14" t="str">
        <f ca="1">IFERROR(__xludf.DUMMYFUNCTION("GOOGLETRANSLATE(C35,""en"", ""fr"")"),"Ishkoman")</f>
        <v>Ishkoman</v>
      </c>
      <c r="E35" s="15" t="s">
        <v>96</v>
      </c>
    </row>
    <row r="36" spans="1:5" ht="15.75" customHeight="1" x14ac:dyDescent="0.2">
      <c r="A36" s="14" t="s">
        <v>30</v>
      </c>
      <c r="B36" s="15" t="s">
        <v>135</v>
      </c>
      <c r="C36" s="14" t="s">
        <v>135</v>
      </c>
      <c r="D36" s="14" t="str">
        <f ca="1">IFERROR(__xludf.DUMMYFUNCTION("GOOGLETRANSLATE(C36,""en"", ""fr"")"),"Sherquilla")</f>
        <v>Sherquilla</v>
      </c>
      <c r="E36" s="15" t="s">
        <v>96</v>
      </c>
    </row>
    <row r="37" spans="1:5" ht="15.75" customHeight="1" x14ac:dyDescent="0.2">
      <c r="A37" s="14" t="s">
        <v>30</v>
      </c>
      <c r="B37" s="15" t="s">
        <v>136</v>
      </c>
      <c r="C37" s="14" t="s">
        <v>136</v>
      </c>
      <c r="D37" s="14" t="str">
        <f ca="1">IFERROR(__xludf.DUMMYFUNCTION("GOOGLETRANSLATE(C37,""en"", ""fr"")"),"Singal")</f>
        <v>Singal</v>
      </c>
      <c r="E37" s="15" t="s">
        <v>96</v>
      </c>
    </row>
    <row r="38" spans="1:5" ht="15.75" customHeight="1" x14ac:dyDescent="0.2">
      <c r="A38" s="14" t="s">
        <v>30</v>
      </c>
      <c r="B38" s="15" t="s">
        <v>137</v>
      </c>
      <c r="C38" s="14" t="s">
        <v>137</v>
      </c>
      <c r="D38" s="14" t="str">
        <f ca="1">IFERROR(__xludf.DUMMYFUNCTION("GOOGLETRANSLATE(C38,""en"", ""fr"")"),"Gilgit")</f>
        <v>Gilgit</v>
      </c>
      <c r="E38" s="15" t="s">
        <v>99</v>
      </c>
    </row>
    <row r="39" spans="1:5" ht="15.75" customHeight="1" x14ac:dyDescent="0.2">
      <c r="A39" s="14" t="s">
        <v>30</v>
      </c>
      <c r="B39" s="15" t="s">
        <v>138</v>
      </c>
      <c r="C39" s="14" t="s">
        <v>138</v>
      </c>
      <c r="D39" s="14" t="str">
        <f ca="1">IFERROR(__xludf.DUMMYFUNCTION("GOOGLETRANSLATE(C39,""en"", ""fr"")"),"Skardu")</f>
        <v>Skardu</v>
      </c>
      <c r="E39" s="15" t="s">
        <v>99</v>
      </c>
    </row>
    <row r="40" spans="1:5" ht="15.75" customHeight="1" x14ac:dyDescent="0.2">
      <c r="A40" s="14" t="s">
        <v>30</v>
      </c>
      <c r="B40" s="15" t="s">
        <v>139</v>
      </c>
      <c r="C40" s="14" t="s">
        <v>140</v>
      </c>
      <c r="D40" s="14" t="str">
        <f ca="1">IFERROR(__xludf.DUMMYFUNCTION("GOOGLETRANSLATE(C40,""en"", ""fr"")"),"Sul, Dan et Oshikhandas")</f>
        <v>Sul, Dan et Oshikhandas</v>
      </c>
      <c r="E40" s="15" t="s">
        <v>99</v>
      </c>
    </row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>
      <c r="A44" s="14" t="s">
        <v>141</v>
      </c>
      <c r="B44" s="14">
        <v>1</v>
      </c>
      <c r="C44" s="14">
        <v>1</v>
      </c>
      <c r="D44" s="14" t="str">
        <f ca="1">IFERROR(__xludf.DUMMYFUNCTION("GOOGLETRANSLATE(C44,""en"", ""fr"")"),"1")</f>
        <v>1</v>
      </c>
    </row>
    <row r="45" spans="1:5" ht="15.75" customHeight="1" x14ac:dyDescent="0.2">
      <c r="A45" s="14" t="s">
        <v>141</v>
      </c>
      <c r="B45" s="14">
        <v>2</v>
      </c>
      <c r="C45" s="14">
        <v>2</v>
      </c>
      <c r="D45" s="14" t="str">
        <f ca="1">IFERROR(__xludf.DUMMYFUNCTION("GOOGLETRANSLATE(C45,""en"", ""fr"")"),"2")</f>
        <v>2</v>
      </c>
    </row>
    <row r="46" spans="1:5" ht="15.75" customHeight="1" x14ac:dyDescent="0.2">
      <c r="A46" s="14" t="s">
        <v>141</v>
      </c>
      <c r="B46" s="14">
        <v>3</v>
      </c>
      <c r="C46" s="14">
        <v>3</v>
      </c>
      <c r="D46" s="14" t="str">
        <f ca="1">IFERROR(__xludf.DUMMYFUNCTION("GOOGLETRANSLATE(C46,""en"", ""fr"")"),"3")</f>
        <v>3</v>
      </c>
    </row>
    <row r="47" spans="1:5" ht="15.75" customHeight="1" x14ac:dyDescent="0.2">
      <c r="A47" s="14" t="s">
        <v>141</v>
      </c>
      <c r="B47" s="14">
        <v>4</v>
      </c>
      <c r="C47" s="16" t="s">
        <v>142</v>
      </c>
      <c r="D47" s="14" t="str">
        <f ca="1">IFERROR(__xludf.DUMMYFUNCTION("GOOGLETRANSLATE(C47,""en"", ""fr"")"),"&gt;3")</f>
        <v>&gt;3</v>
      </c>
    </row>
    <row r="48" spans="1:5" ht="15.75" customHeight="1" x14ac:dyDescent="0.2"/>
    <row r="49" spans="1:4" ht="15.75" customHeight="1" x14ac:dyDescent="0.2"/>
    <row r="50" spans="1:4" ht="15.75" customHeight="1" x14ac:dyDescent="0.2">
      <c r="A50" s="14" t="s">
        <v>143</v>
      </c>
      <c r="B50" s="14">
        <v>1</v>
      </c>
      <c r="C50" s="14" t="s">
        <v>144</v>
      </c>
      <c r="D50" s="14" t="str">
        <f ca="1">IFERROR(__xludf.DUMMYFUNCTION("GOOGLETRANSLATE(C50,""en"", ""fr"")"),"Oui")</f>
        <v>Oui</v>
      </c>
    </row>
    <row r="51" spans="1:4" ht="15.75" customHeight="1" x14ac:dyDescent="0.2">
      <c r="A51" s="14" t="s">
        <v>143</v>
      </c>
      <c r="B51" s="14">
        <v>2</v>
      </c>
      <c r="C51" s="14" t="s">
        <v>145</v>
      </c>
      <c r="D51" s="14" t="str">
        <f ca="1">IFERROR(__xludf.DUMMYFUNCTION("GOOGLETRANSLATE(C51,""en"", ""fr"")"),"Non")</f>
        <v>Non</v>
      </c>
    </row>
    <row r="52" spans="1:4" ht="15.75" customHeight="1" x14ac:dyDescent="0.2"/>
    <row r="53" spans="1:4" ht="15.75" customHeight="1" x14ac:dyDescent="0.2"/>
    <row r="54" spans="1:4" ht="15.75" customHeight="1" x14ac:dyDescent="0.2">
      <c r="A54" s="14" t="s">
        <v>146</v>
      </c>
      <c r="B54" s="14">
        <v>1</v>
      </c>
      <c r="C54" s="14" t="s">
        <v>147</v>
      </c>
      <c r="D54" s="14" t="str">
        <f ca="1">IFERROR(__xludf.DUMMYFUNCTION("GOOGLETRANSLATE(C54,""en"", ""fr"")"),"Banque commerciale/islamique")</f>
        <v>Banque commerciale/islamique</v>
      </c>
    </row>
    <row r="55" spans="1:4" ht="15.75" customHeight="1" x14ac:dyDescent="0.2">
      <c r="A55" s="14" t="s">
        <v>146</v>
      </c>
      <c r="B55" s="14">
        <v>2</v>
      </c>
      <c r="C55" s="14" t="s">
        <v>148</v>
      </c>
      <c r="D55" s="14" t="str">
        <f ca="1">IFERROR(__xludf.DUMMYFUNCTION("GOOGLETRANSLATE(C55,""en"", ""fr"")"),"FMFB")</f>
        <v>FMFB</v>
      </c>
    </row>
    <row r="56" spans="1:4" ht="15.75" customHeight="1" x14ac:dyDescent="0.2">
      <c r="A56" s="14" t="s">
        <v>146</v>
      </c>
      <c r="B56" s="14">
        <v>3</v>
      </c>
      <c r="C56" s="14" t="s">
        <v>149</v>
      </c>
      <c r="D56" s="14" t="str">
        <f ca="1">IFERROR(__xludf.DUMMYFUNCTION("GOOGLETRANSLATE(C56,""en"", ""fr"")"),"Microfinance")</f>
        <v>Microfinance</v>
      </c>
    </row>
    <row r="57" spans="1:4" ht="15.75" customHeight="1" x14ac:dyDescent="0.2">
      <c r="A57" s="14" t="s">
        <v>146</v>
      </c>
      <c r="B57" s="14">
        <v>4</v>
      </c>
      <c r="C57" s="14" t="s">
        <v>150</v>
      </c>
      <c r="D57" s="14" t="str">
        <f ca="1">IFERROR(__xludf.DUMMYFUNCTION("GOOGLETRANSLATE(C57,""en"", ""fr"")"),"Société de crédit")</f>
        <v>Société de crédit</v>
      </c>
    </row>
    <row r="58" spans="1:4" ht="15.75" customHeight="1" x14ac:dyDescent="0.2">
      <c r="A58" s="14" t="s">
        <v>146</v>
      </c>
      <c r="B58" s="14">
        <v>5</v>
      </c>
      <c r="C58" s="14" t="s">
        <v>151</v>
      </c>
      <c r="D58" s="14" t="str">
        <f ca="1">IFERROR(__xludf.DUMMYFUNCTION("GOOGLETRANSLATE(C58,""en"", ""fr"")"),"LSO")</f>
        <v>LSO</v>
      </c>
    </row>
    <row r="59" spans="1:4" ht="15.75" customHeight="1" x14ac:dyDescent="0.2">
      <c r="A59" s="14" t="s">
        <v>146</v>
      </c>
      <c r="B59" s="14">
        <v>6</v>
      </c>
      <c r="C59" s="14" t="s">
        <v>152</v>
      </c>
      <c r="D59" s="14" t="str">
        <f ca="1">IFERROR(__xludf.DUMMYFUNCTION("GOOGLETRANSLATE(C59,""en"", ""fr"")"),"Je ne sais pas")</f>
        <v>Je ne sais pas</v>
      </c>
    </row>
    <row r="60" spans="1:4" ht="15.75" customHeight="1" x14ac:dyDescent="0.2">
      <c r="A60" s="14" t="s">
        <v>146</v>
      </c>
      <c r="B60" s="14">
        <v>7</v>
      </c>
      <c r="C60" s="14" t="s">
        <v>153</v>
      </c>
      <c r="D60" s="14" t="str">
        <f ca="1">IFERROR(__xludf.DUMMYFUNCTION("GOOGLETRANSLATE(C60,""en"", ""fr"")"),"Autre")</f>
        <v>Autre</v>
      </c>
    </row>
    <row r="61" spans="1:4" ht="15.75" customHeight="1" x14ac:dyDescent="0.2">
      <c r="A61" s="14" t="s">
        <v>146</v>
      </c>
      <c r="B61" s="14">
        <v>8</v>
      </c>
      <c r="C61" s="14" t="s">
        <v>154</v>
      </c>
      <c r="D61" s="14" t="str">
        <f ca="1">IFERROR(__xludf.DUMMYFUNCTION("GOOGLETRANSLATE(C61,""en"", ""fr"")"),"Pas de compte")</f>
        <v>Pas de compte</v>
      </c>
    </row>
    <row r="62" spans="1:4" ht="15.75" customHeight="1" x14ac:dyDescent="0.2"/>
    <row r="63" spans="1:4" ht="15.75" customHeight="1" x14ac:dyDescent="0.2"/>
    <row r="64" spans="1:4" ht="15.75" customHeight="1" x14ac:dyDescent="0.2">
      <c r="A64" s="14" t="s">
        <v>155</v>
      </c>
      <c r="B64" s="14">
        <v>1</v>
      </c>
      <c r="C64" s="14" t="s">
        <v>156</v>
      </c>
      <c r="D64" s="14" t="str">
        <f ca="1">IFERROR(__xludf.DUMMYFUNCTION("GOOGLETRANSLATE(C64,""en"", ""fr"")"),"Champ ouvert/buisson (pas de toilettes)")</f>
        <v>Champ ouvert/buisson (pas de toilettes)</v>
      </c>
    </row>
    <row r="65" spans="1:4" ht="15.75" customHeight="1" x14ac:dyDescent="0.2">
      <c r="A65" s="14" t="s">
        <v>155</v>
      </c>
      <c r="B65" s="14">
        <v>2</v>
      </c>
      <c r="C65" s="14" t="s">
        <v>157</v>
      </c>
      <c r="D65" s="14" t="str">
        <f ca="1">IFERROR(__xludf.DUMMYFUNCTION("GOOGLETRANSLATE(C65,""en"", ""fr"")"),"Toilettes partagées")</f>
        <v>Toilettes partagées</v>
      </c>
    </row>
    <row r="66" spans="1:4" ht="15.75" customHeight="1" x14ac:dyDescent="0.2">
      <c r="A66" s="14" t="s">
        <v>155</v>
      </c>
      <c r="B66" s="14">
        <v>3</v>
      </c>
      <c r="C66" s="14" t="s">
        <v>158</v>
      </c>
      <c r="D66" s="14" t="str">
        <f ca="1">IFERROR(__xludf.DUMMYFUNCTION("GOOGLETRANSLATE(C66,""en"", ""fr"")"),"Latrines sèches surélevées")</f>
        <v>Latrines sèches surélevées</v>
      </c>
    </row>
    <row r="67" spans="1:4" ht="15.75" customHeight="1" x14ac:dyDescent="0.2">
      <c r="A67" s="14" t="s">
        <v>155</v>
      </c>
      <c r="B67" s="14">
        <v>4</v>
      </c>
      <c r="C67" s="14" t="s">
        <v>159</v>
      </c>
      <c r="D67" s="14" t="str">
        <f ca="1">IFERROR(__xludf.DUMMYFUNCTION("GOOGLETRANSLATE(C67,""en"", ""fr"")"),"Toilettes appropriées (chasse d'eau reliée au tuyau d'égout)")</f>
        <v>Toilettes appropriées (chasse d'eau reliée au tuyau d'égout)</v>
      </c>
    </row>
    <row r="68" spans="1:4" ht="15.75" customHeight="1" x14ac:dyDescent="0.2">
      <c r="A68" s="14" t="s">
        <v>155</v>
      </c>
      <c r="B68" s="14">
        <v>5</v>
      </c>
      <c r="C68" s="14" t="s">
        <v>160</v>
      </c>
      <c r="D68" s="14" t="str">
        <f ca="1">IFERROR(__xludf.DUMMYFUNCTION("GOOGLETRANSLATE(C68,""en"", ""fr"")"),"Chasse d'eau reliée à la fosse")</f>
        <v>Chasse d'eau reliée à la fosse</v>
      </c>
    </row>
    <row r="69" spans="1:4" ht="15.75" customHeight="1" x14ac:dyDescent="0.2">
      <c r="A69" s="14" t="s">
        <v>155</v>
      </c>
      <c r="B69" s="14">
        <v>6</v>
      </c>
      <c r="C69" s="14" t="s">
        <v>161</v>
      </c>
      <c r="D69" s="14" t="str">
        <f ca="1">IFERROR(__xludf.DUMMYFUNCTION("GOOGLETRANSLATE(C69,""en"", ""fr"")"),"Flush connecté à un drain ouvert")</f>
        <v>Flush connecté à un drain ouvert</v>
      </c>
    </row>
    <row r="70" spans="1:4" ht="15.75" customHeight="1" x14ac:dyDescent="0.2">
      <c r="A70" s="14" t="s">
        <v>155</v>
      </c>
      <c r="B70" s="14">
        <v>7</v>
      </c>
      <c r="C70" s="14" t="s">
        <v>162</v>
      </c>
      <c r="D70" s="14" t="str">
        <f ca="1">IFERROR(__xludf.DUMMYFUNCTION("GOOGLETRANSLATE(C70,""en"", ""fr"")"),"Latrines à fosse sèche")</f>
        <v>Latrines à fosse sèche</v>
      </c>
    </row>
    <row r="71" spans="1:4" ht="15.75" customHeight="1" x14ac:dyDescent="0.2">
      <c r="A71" s="14" t="s">
        <v>155</v>
      </c>
      <c r="B71" s="14">
        <v>8</v>
      </c>
      <c r="C71" s="14" t="s">
        <v>163</v>
      </c>
      <c r="D71" s="14" t="str">
        <f ca="1">IFERROR(__xludf.DUMMYFUNCTION("GOOGLETRANSLATE(C71,""en"", ""fr"")"),"Autre")</f>
        <v>Autre</v>
      </c>
    </row>
    <row r="72" spans="1:4" ht="15.75" customHeight="1" x14ac:dyDescent="0.2"/>
    <row r="73" spans="1:4" ht="15.75" customHeight="1" x14ac:dyDescent="0.2"/>
    <row r="74" spans="1:4" ht="15.75" customHeight="1" x14ac:dyDescent="0.2">
      <c r="A74" s="14" t="s">
        <v>164</v>
      </c>
      <c r="B74" s="14">
        <v>1</v>
      </c>
      <c r="C74" s="14" t="s">
        <v>165</v>
      </c>
      <c r="D74" s="14" t="str">
        <f ca="1">IFERROR(__xludf.DUMMYFUNCTION("GOOGLETRANSLATE(C74,""en"", ""fr"")"),"Eau filtrée / minérale / bouillie")</f>
        <v>Eau filtrée / minérale / bouillie</v>
      </c>
    </row>
    <row r="75" spans="1:4" ht="15.75" customHeight="1" x14ac:dyDescent="0.2">
      <c r="A75" s="14" t="s">
        <v>164</v>
      </c>
      <c r="B75" s="14">
        <v>2</v>
      </c>
      <c r="C75" s="14" t="s">
        <v>166</v>
      </c>
      <c r="D75" s="14" t="str">
        <f ca="1">IFERROR(__xludf.DUMMYFUNCTION("GOOGLETRANSLATE(C75,""en"", ""fr"")"),"Bien ouvrir")</f>
        <v>Bien ouvrir</v>
      </c>
    </row>
    <row r="76" spans="1:4" ht="15.75" customHeight="1" x14ac:dyDescent="0.2">
      <c r="A76" s="14" t="s">
        <v>164</v>
      </c>
      <c r="B76" s="14">
        <v>3</v>
      </c>
      <c r="C76" s="14" t="s">
        <v>167</v>
      </c>
      <c r="D76" s="14" t="str">
        <f ca="1">IFERROR(__xludf.DUMMYFUNCTION("GOOGLETRANSLATE(C76,""en"", ""fr"")"),"Ruisseau courant / source")</f>
        <v>Ruisseau courant / source</v>
      </c>
    </row>
    <row r="77" spans="1:4" ht="15.75" customHeight="1" x14ac:dyDescent="0.2">
      <c r="A77" s="14" t="s">
        <v>164</v>
      </c>
      <c r="B77" s="14">
        <v>4</v>
      </c>
      <c r="C77" s="14" t="s">
        <v>168</v>
      </c>
      <c r="D77" s="14" t="str">
        <f ca="1">IFERROR(__xludf.DUMMYFUNCTION("GOOGLETRANSLATE(C77,""en"", ""fr"")"),"Eau du robinet (conduite principale)")</f>
        <v>Eau du robinet (conduite principale)</v>
      </c>
    </row>
    <row r="78" spans="1:4" ht="15.75" customHeight="1" x14ac:dyDescent="0.2">
      <c r="A78" s="14" t="s">
        <v>164</v>
      </c>
      <c r="B78" s="14">
        <v>5</v>
      </c>
      <c r="C78" s="14" t="s">
        <v>169</v>
      </c>
      <c r="D78" s="14" t="str">
        <f ca="1">IFERROR(__xludf.DUMMYFUNCTION("GOOGLETRANSLATE(C78,""en"", ""fr"")"),"Puits tubulaire et pompe")</f>
        <v>Puits tubulaire et pompe</v>
      </c>
    </row>
    <row r="79" spans="1:4" ht="15.75" customHeight="1" x14ac:dyDescent="0.2">
      <c r="A79" s="14" t="s">
        <v>164</v>
      </c>
      <c r="B79" s="14">
        <v>6</v>
      </c>
      <c r="C79" s="14" t="s">
        <v>163</v>
      </c>
      <c r="D79" s="14" t="str">
        <f ca="1">IFERROR(__xludf.DUMMYFUNCTION("GOOGLETRANSLATE(C79,""en"", ""fr"")"),"Autre")</f>
        <v>Autre</v>
      </c>
    </row>
    <row r="80" spans="1:4" ht="15.75" customHeight="1" x14ac:dyDescent="0.2">
      <c r="A80" s="14" t="s">
        <v>164</v>
      </c>
      <c r="B80" s="14">
        <v>7</v>
      </c>
      <c r="C80" s="14" t="s">
        <v>170</v>
      </c>
      <c r="D80" s="14" t="str">
        <f ca="1">IFERROR(__xludf.DUMMYFUNCTION("GOOGLETRANSLATE(C80,""en"", ""fr"")"),"Robinet WASEP")</f>
        <v>Robinet WASEP</v>
      </c>
    </row>
    <row r="81" spans="1:4" ht="15.75" customHeight="1" x14ac:dyDescent="0.2"/>
    <row r="82" spans="1:4" ht="15.75" customHeight="1" x14ac:dyDescent="0.2"/>
    <row r="83" spans="1:4" ht="15.75" customHeight="1" x14ac:dyDescent="0.2">
      <c r="A83" s="14" t="s">
        <v>171</v>
      </c>
      <c r="B83" s="14">
        <v>1</v>
      </c>
      <c r="C83" s="14" t="s">
        <v>144</v>
      </c>
      <c r="D83" s="14" t="str">
        <f ca="1">IFERROR(__xludf.DUMMYFUNCTION("GOOGLETRANSLATE(C83,""en"", ""fr"")"),"Oui")</f>
        <v>Oui</v>
      </c>
    </row>
    <row r="84" spans="1:4" ht="15.75" customHeight="1" x14ac:dyDescent="0.2">
      <c r="A84" s="14" t="s">
        <v>171</v>
      </c>
      <c r="B84" s="14">
        <v>2</v>
      </c>
      <c r="C84" s="14" t="s">
        <v>172</v>
      </c>
      <c r="D84" s="14" t="str">
        <f ca="1">IFERROR(__xludf.DUMMYFUNCTION("GOOGLETRANSLATE(C84,""en"", ""fr"")"),"Pour l'éclairage et la cuisson uniquement")</f>
        <v>Pour l'éclairage et la cuisson uniquement</v>
      </c>
    </row>
    <row r="85" spans="1:4" ht="15.75" customHeight="1" x14ac:dyDescent="0.2">
      <c r="A85" s="14" t="s">
        <v>171</v>
      </c>
      <c r="B85" s="14">
        <v>3</v>
      </c>
      <c r="C85" s="14" t="s">
        <v>173</v>
      </c>
      <c r="D85" s="14" t="str">
        <f ca="1">IFERROR(__xludf.DUMMYFUNCTION("GOOGLETRANSLATE(C85,""en"", ""fr"")"),"Pour la foudre uniquement")</f>
        <v>Pour la foudre uniquement</v>
      </c>
    </row>
    <row r="86" spans="1:4" ht="15.75" customHeight="1" x14ac:dyDescent="0.2">
      <c r="A86" s="14" t="s">
        <v>171</v>
      </c>
      <c r="B86" s="14">
        <v>4</v>
      </c>
      <c r="C86" s="14" t="s">
        <v>174</v>
      </c>
      <c r="D86" s="14" t="str">
        <f ca="1">IFERROR(__xludf.DUMMYFUNCTION("GOOGLETRANSLATE(C86,""en"", ""fr"")"),"Pour l'éclairage et le chauffage uniquement")</f>
        <v>Pour l'éclairage et le chauffage uniquement</v>
      </c>
    </row>
    <row r="87" spans="1:4" ht="15.75" customHeight="1" x14ac:dyDescent="0.2">
      <c r="A87" s="14" t="s">
        <v>171</v>
      </c>
      <c r="B87" s="14">
        <v>5</v>
      </c>
      <c r="C87" s="14" t="s">
        <v>152</v>
      </c>
      <c r="D87" s="14" t="str">
        <f ca="1">IFERROR(__xludf.DUMMYFUNCTION("GOOGLETRANSLATE(C87,""en"", ""fr"")"),"Je ne sais pas")</f>
        <v>Je ne sais pas</v>
      </c>
    </row>
    <row r="88" spans="1:4" ht="15.75" customHeight="1" x14ac:dyDescent="0.2"/>
    <row r="89" spans="1:4" ht="15.75" customHeight="1" x14ac:dyDescent="0.2"/>
    <row r="90" spans="1:4" ht="15.75" customHeight="1" x14ac:dyDescent="0.2">
      <c r="A90" s="14" t="s">
        <v>175</v>
      </c>
      <c r="B90" s="14">
        <v>1</v>
      </c>
      <c r="C90" s="14" t="s">
        <v>144</v>
      </c>
      <c r="D90" s="14" t="str">
        <f ca="1">IFERROR(__xludf.DUMMYFUNCTION("GOOGLETRANSLATE(C90,""en"", ""fr"")"),"Oui")</f>
        <v>Oui</v>
      </c>
    </row>
    <row r="91" spans="1:4" ht="15.75" customHeight="1" x14ac:dyDescent="0.2">
      <c r="A91" s="14" t="s">
        <v>175</v>
      </c>
      <c r="B91" s="14">
        <v>2</v>
      </c>
      <c r="C91" s="14" t="s">
        <v>145</v>
      </c>
      <c r="D91" s="14" t="str">
        <f ca="1">IFERROR(__xludf.DUMMYFUNCTION("GOOGLETRANSLATE(C91,""en"", ""fr"")"),"Non")</f>
        <v>Non</v>
      </c>
    </row>
    <row r="92" spans="1:4" ht="15.75" customHeight="1" x14ac:dyDescent="0.2">
      <c r="A92" s="14" t="s">
        <v>175</v>
      </c>
      <c r="B92" s="14">
        <v>3</v>
      </c>
      <c r="C92" s="14" t="s">
        <v>152</v>
      </c>
      <c r="D92" s="14" t="str">
        <f ca="1">IFERROR(__xludf.DUMMYFUNCTION("GOOGLETRANSLATE(C92,""en"", ""fr"")"),"Je ne sais pas")</f>
        <v>Je ne sais pas</v>
      </c>
    </row>
    <row r="93" spans="1:4" ht="15.75" customHeight="1" x14ac:dyDescent="0.2"/>
    <row r="94" spans="1:4" ht="15.75" customHeight="1" x14ac:dyDescent="0.2"/>
    <row r="95" spans="1:4" ht="15.75" customHeight="1" x14ac:dyDescent="0.2">
      <c r="A95" s="14" t="s">
        <v>55</v>
      </c>
      <c r="B95" s="14">
        <v>1</v>
      </c>
      <c r="C95" s="14" t="s">
        <v>176</v>
      </c>
      <c r="D95" s="14" t="str">
        <f ca="1">IFERROR(__xludf.DUMMYFUNCTION("GOOGLETRANSLATE(C95,""en"", ""fr"")"),"Accès disponible dans la zone, mais mon ménage n'est pas intéressé")</f>
        <v>Accès disponible dans la zone, mais mon ménage n'est pas intéressé</v>
      </c>
    </row>
    <row r="96" spans="1:4" ht="15.75" customHeight="1" x14ac:dyDescent="0.2">
      <c r="A96" s="14" t="s">
        <v>55</v>
      </c>
      <c r="B96" s="14">
        <v>2</v>
      </c>
      <c r="C96" s="14" t="s">
        <v>177</v>
      </c>
      <c r="D96" s="14" t="str">
        <f ca="1">IFERROR(__xludf.DUMMYFUNCTION("GOOGLETRANSLATE(C96,""en"", ""fr"")"),"Câble / LAN / DSL")</f>
        <v>Câble / LAN / DSL</v>
      </c>
    </row>
    <row r="97" spans="1:4" ht="15.75" customHeight="1" x14ac:dyDescent="0.2">
      <c r="A97" s="14" t="s">
        <v>55</v>
      </c>
      <c r="B97" s="14">
        <v>3</v>
      </c>
      <c r="C97" s="14" t="s">
        <v>178</v>
      </c>
      <c r="D97" s="14" t="str">
        <f ca="1">IFERROR(__xludf.DUMMYFUNCTION("GOOGLETRANSLATE(C97,""en"", ""fr"")"),"Pas d'accès internet (dans la région)")</f>
        <v>Pas d'accès internet (dans la région)</v>
      </c>
    </row>
    <row r="98" spans="1:4" ht="15.75" customHeight="1" x14ac:dyDescent="0.2">
      <c r="A98" s="14" t="s">
        <v>55</v>
      </c>
      <c r="B98" s="14">
        <v>4</v>
      </c>
      <c r="C98" s="14" t="s">
        <v>179</v>
      </c>
      <c r="D98" s="14" t="str">
        <f ca="1">IFERROR(__xludf.DUMMYFUNCTION("GOOGLETRANSLATE(C98,""en"", ""fr"")"),"Disponible via 2G")</f>
        <v>Disponible via 2G</v>
      </c>
    </row>
    <row r="99" spans="1:4" ht="15.75" customHeight="1" x14ac:dyDescent="0.2">
      <c r="A99" s="14" t="s">
        <v>55</v>
      </c>
      <c r="B99" s="14">
        <v>5</v>
      </c>
      <c r="C99" s="14" t="s">
        <v>180</v>
      </c>
      <c r="D99" s="14" t="str">
        <f ca="1">IFERROR(__xludf.DUMMYFUNCTION("GOOGLETRANSLATE(C99,""en"", ""fr"")"),"Disponible via 3G / 4G")</f>
        <v>Disponible via 3G / 4G</v>
      </c>
    </row>
    <row r="100" spans="1:4" ht="15.75" customHeight="1" x14ac:dyDescent="0.2">
      <c r="A100" s="14" t="s">
        <v>55</v>
      </c>
      <c r="B100" s="14">
        <v>6</v>
      </c>
      <c r="C100" s="14" t="s">
        <v>152</v>
      </c>
      <c r="D100" s="14" t="str">
        <f ca="1">IFERROR(__xludf.DUMMYFUNCTION("GOOGLETRANSLATE(C100,""en"", ""fr"")"),"Je ne sais pas")</f>
        <v>Je ne sais pas</v>
      </c>
    </row>
    <row r="101" spans="1:4" ht="15.75" customHeight="1" x14ac:dyDescent="0.2">
      <c r="A101" s="14" t="s">
        <v>55</v>
      </c>
      <c r="B101" s="14">
        <v>7</v>
      </c>
      <c r="C101" s="14" t="s">
        <v>163</v>
      </c>
      <c r="D101" s="14" t="str">
        <f ca="1">IFERROR(__xludf.DUMMYFUNCTION("GOOGLETRANSLATE(C101,""en"", ""fr"")"),"Autre")</f>
        <v>Autre</v>
      </c>
    </row>
    <row r="102" spans="1:4" ht="15.75" customHeight="1" x14ac:dyDescent="0.2"/>
    <row r="103" spans="1:4" ht="15.75" customHeight="1" x14ac:dyDescent="0.2"/>
    <row r="104" spans="1:4" ht="15.75" customHeight="1" x14ac:dyDescent="0.2"/>
    <row r="105" spans="1:4" ht="15.75" customHeight="1" x14ac:dyDescent="0.2"/>
    <row r="106" spans="1:4" ht="15.75" customHeight="1" x14ac:dyDescent="0.2">
      <c r="A106" s="14" t="s">
        <v>66</v>
      </c>
      <c r="B106" s="14">
        <v>1</v>
      </c>
      <c r="C106" s="14" t="s">
        <v>181</v>
      </c>
      <c r="D106" s="14" t="str">
        <f ca="1">IFERROR(__xludf.DUMMYFUNCTION("GOOGLETRANSLATE(C106,""en"", ""fr"")"),"Mâle")</f>
        <v>Mâle</v>
      </c>
    </row>
    <row r="107" spans="1:4" ht="15.75" customHeight="1" x14ac:dyDescent="0.2">
      <c r="A107" s="14" t="s">
        <v>66</v>
      </c>
      <c r="B107" s="14">
        <v>2</v>
      </c>
      <c r="C107" s="14" t="s">
        <v>182</v>
      </c>
      <c r="D107" s="14" t="str">
        <f ca="1">IFERROR(__xludf.DUMMYFUNCTION("GOOGLETRANSLATE(C107,""en"", ""fr"")"),"Femelle")</f>
        <v>Femelle</v>
      </c>
    </row>
    <row r="108" spans="1:4" ht="15.75" customHeight="1" x14ac:dyDescent="0.2">
      <c r="A108" s="14" t="s">
        <v>66</v>
      </c>
      <c r="B108" s="14">
        <v>3</v>
      </c>
      <c r="C108" s="14" t="s">
        <v>163</v>
      </c>
      <c r="D108" s="14" t="str">
        <f ca="1">IFERROR(__xludf.DUMMYFUNCTION("GOOGLETRANSLATE(C108,""en"", ""fr"")"),"Autre")</f>
        <v>Autre</v>
      </c>
    </row>
    <row r="109" spans="1:4" ht="15.75" customHeight="1" x14ac:dyDescent="0.2"/>
    <row r="110" spans="1:4" ht="15.75" customHeight="1" x14ac:dyDescent="0.2">
      <c r="A110" s="14" t="s">
        <v>183</v>
      </c>
      <c r="B110" s="14">
        <v>1</v>
      </c>
      <c r="C110" s="14" t="s">
        <v>184</v>
      </c>
      <c r="D110" s="14" t="str">
        <f ca="1">IFERROR(__xludf.DUMMYFUNCTION("GOOGLETRANSLATE(C110,""en"", ""fr"")"),"Célibataire jamais marié)")</f>
        <v>Célibataire jamais marié)</v>
      </c>
    </row>
    <row r="111" spans="1:4" ht="15.75" customHeight="1" x14ac:dyDescent="0.2">
      <c r="A111" s="14" t="s">
        <v>183</v>
      </c>
      <c r="B111" s="14">
        <v>2</v>
      </c>
      <c r="C111" s="14" t="s">
        <v>185</v>
      </c>
      <c r="D111" s="14" t="str">
        <f ca="1">IFERROR(__xludf.DUMMYFUNCTION("GOOGLETRANSLATE(C111,""en"", ""fr"")"),"Marié")</f>
        <v>Marié</v>
      </c>
    </row>
    <row r="112" spans="1:4" ht="15.75" customHeight="1" x14ac:dyDescent="0.2">
      <c r="A112" s="14" t="s">
        <v>183</v>
      </c>
      <c r="B112" s="14">
        <v>3</v>
      </c>
      <c r="C112" s="14" t="s">
        <v>186</v>
      </c>
      <c r="D112" s="14" t="str">
        <f ca="1">IFERROR(__xludf.DUMMYFUNCTION("GOOGLETRANSLATE(C112,""en"", ""fr"")"),"Séparé (non divorcé)")</f>
        <v>Séparé (non divorcé)</v>
      </c>
    </row>
    <row r="113" spans="1:4" ht="15.75" customHeight="1" x14ac:dyDescent="0.2">
      <c r="A113" s="14" t="s">
        <v>183</v>
      </c>
      <c r="B113" s="14">
        <v>4</v>
      </c>
      <c r="C113" s="14" t="s">
        <v>187</v>
      </c>
      <c r="D113" s="14" t="str">
        <f ca="1">IFERROR(__xludf.DUMMYFUNCTION("GOOGLETRANSLATE(C113,""en"", ""fr"")"),"Divorcé")</f>
        <v>Divorcé</v>
      </c>
    </row>
    <row r="114" spans="1:4" ht="15.75" customHeight="1" x14ac:dyDescent="0.2">
      <c r="A114" s="14" t="s">
        <v>183</v>
      </c>
      <c r="B114" s="14">
        <v>5</v>
      </c>
      <c r="C114" s="14" t="s">
        <v>188</v>
      </c>
      <c r="D114" s="14" t="str">
        <f ca="1">IFERROR(__xludf.DUMMYFUNCTION("GOOGLETRANSLATE(C114,""en"", ""fr"")"),"Veuve")</f>
        <v>Veuve</v>
      </c>
    </row>
    <row r="115" spans="1:4" ht="15.75" customHeight="1" x14ac:dyDescent="0.2"/>
    <row r="116" spans="1:4" ht="15.75" customHeight="1" x14ac:dyDescent="0.2"/>
    <row r="117" spans="1:4" ht="15.75" customHeight="1" x14ac:dyDescent="0.2">
      <c r="A117" s="14" t="s">
        <v>189</v>
      </c>
      <c r="B117" s="14">
        <v>1</v>
      </c>
      <c r="C117" s="14" t="s">
        <v>190</v>
      </c>
      <c r="D117" s="14" t="str">
        <f ca="1">IFERROR(__xludf.DUMMYFUNCTION("GOOGLETRANSLATE(C117,""en"", ""fr"")"),"Soi")</f>
        <v>Soi</v>
      </c>
    </row>
    <row r="118" spans="1:4" ht="15.75" customHeight="1" x14ac:dyDescent="0.2">
      <c r="A118" s="14" t="s">
        <v>189</v>
      </c>
      <c r="B118" s="14">
        <v>2</v>
      </c>
      <c r="C118" s="14" t="s">
        <v>191</v>
      </c>
      <c r="D118" s="14" t="str">
        <f ca="1">IFERROR(__xludf.DUMMYFUNCTION("GOOGLETRANSLATE(C118,""en"", ""fr"")"),"Conjoint (mari/femme)")</f>
        <v>Conjoint (mari/femme)</v>
      </c>
    </row>
    <row r="119" spans="1:4" ht="15.75" customHeight="1" x14ac:dyDescent="0.2">
      <c r="A119" s="14" t="s">
        <v>189</v>
      </c>
      <c r="B119" s="14">
        <v>3</v>
      </c>
      <c r="C119" s="14" t="s">
        <v>192</v>
      </c>
      <c r="D119" s="14" t="str">
        <f ca="1">IFERROR(__xludf.DUMMYFUNCTION("GOOGLETRANSLATE(C119,""en"", ""fr"")"),"Enfant")</f>
        <v>Enfant</v>
      </c>
    </row>
    <row r="120" spans="1:4" ht="15.75" customHeight="1" x14ac:dyDescent="0.2">
      <c r="A120" s="14" t="s">
        <v>189</v>
      </c>
      <c r="B120" s="14">
        <v>4</v>
      </c>
      <c r="C120" s="14" t="s">
        <v>193</v>
      </c>
      <c r="D120" s="14" t="str">
        <f ca="1">IFERROR(__xludf.DUMMYFUNCTION("GOOGLETRANSLATE(C120,""en"", ""fr"")"),"Nièce/neveu")</f>
        <v>Nièce/neveu</v>
      </c>
    </row>
    <row r="121" spans="1:4" ht="15.75" customHeight="1" x14ac:dyDescent="0.2">
      <c r="A121" s="14" t="s">
        <v>189</v>
      </c>
      <c r="B121" s="14">
        <v>5</v>
      </c>
      <c r="C121" s="14" t="s">
        <v>194</v>
      </c>
      <c r="D121" s="14" t="str">
        <f ca="1">IFERROR(__xludf.DUMMYFUNCTION("GOOGLETRANSLATE(C121,""en"", ""fr"")"),"Grand-parent")</f>
        <v>Grand-parent</v>
      </c>
    </row>
    <row r="122" spans="1:4" ht="15.75" customHeight="1" x14ac:dyDescent="0.2">
      <c r="A122" s="14" t="s">
        <v>189</v>
      </c>
      <c r="B122" s="14">
        <v>6</v>
      </c>
      <c r="C122" s="14" t="s">
        <v>195</v>
      </c>
      <c r="D122" s="14" t="str">
        <f ca="1">IFERROR(__xludf.DUMMYFUNCTION("GOOGLETRANSLATE(C122,""en"", ""fr"")"),"Beau-fils (fils / fille)")</f>
        <v>Beau-fils (fils / fille)</v>
      </c>
    </row>
    <row r="123" spans="1:4" ht="15.75" customHeight="1" x14ac:dyDescent="0.2">
      <c r="A123" s="14" t="s">
        <v>189</v>
      </c>
      <c r="B123" s="14">
        <v>7</v>
      </c>
      <c r="C123" s="14" t="s">
        <v>196</v>
      </c>
      <c r="D123" s="14" t="str">
        <f ca="1">IFERROR(__xludf.DUMMYFUNCTION("GOOGLETRANSLATE(C123,""en"", ""fr"")"),"Parent")</f>
        <v>Parent</v>
      </c>
    </row>
    <row r="124" spans="1:4" ht="15.75" customHeight="1" x14ac:dyDescent="0.2">
      <c r="A124" s="14" t="s">
        <v>189</v>
      </c>
      <c r="B124" s="14">
        <v>8</v>
      </c>
      <c r="C124" s="14" t="s">
        <v>197</v>
      </c>
      <c r="D124" s="14" t="str">
        <f ca="1">IFERROR(__xludf.DUMMYFUNCTION("GOOGLETRANSLATE(C124,""en"", ""fr"")"),"Sibiling (soeur/frère)")</f>
        <v>Sibiling (soeur/frère)</v>
      </c>
    </row>
    <row r="125" spans="1:4" ht="15.75" customHeight="1" x14ac:dyDescent="0.2">
      <c r="A125" s="14" t="s">
        <v>189</v>
      </c>
      <c r="B125" s="14">
        <v>9</v>
      </c>
      <c r="C125" s="14" t="s">
        <v>198</v>
      </c>
      <c r="D125" s="14" t="str">
        <f ca="1">IFERROR(__xludf.DUMMYFUNCTION("GOOGLETRANSLATE(C125,""en"", ""fr"")"),"Petits enfants")</f>
        <v>Petits enfants</v>
      </c>
    </row>
    <row r="126" spans="1:4" ht="15.75" customHeight="1" x14ac:dyDescent="0.2">
      <c r="A126" s="14" t="s">
        <v>189</v>
      </c>
      <c r="B126" s="14">
        <v>10</v>
      </c>
      <c r="C126" s="14" t="s">
        <v>199</v>
      </c>
      <c r="D126" s="14" t="str">
        <f ca="1">IFERROR(__xludf.DUMMYFUNCTION("GOOGLETRANSLATE(C126,""en"", ""fr"")"),"Belle-fille / gendre")</f>
        <v>Belle-fille / gendre</v>
      </c>
    </row>
    <row r="127" spans="1:4" ht="15.75" customHeight="1" x14ac:dyDescent="0.2">
      <c r="A127" s="14" t="s">
        <v>189</v>
      </c>
      <c r="B127" s="14">
        <v>11</v>
      </c>
      <c r="C127" s="14" t="s">
        <v>200</v>
      </c>
      <c r="D127" s="14" t="str">
        <f ca="1">IFERROR(__xludf.DUMMYFUNCTION("GOOGLETRANSLATE(C127,""en"", ""fr"")"),"Belle-mère/père")</f>
        <v>Belle-mère/père</v>
      </c>
    </row>
    <row r="128" spans="1:4" ht="15.75" customHeight="1" x14ac:dyDescent="0.2">
      <c r="A128" s="14" t="s">
        <v>189</v>
      </c>
      <c r="B128" s="14">
        <v>12</v>
      </c>
      <c r="C128" s="14" t="s">
        <v>201</v>
      </c>
      <c r="D128" s="14" t="str">
        <f ca="1">IFERROR(__xludf.DUMMYFUNCTION("GOOGLETRANSLATE(C128,""en"", ""fr"")"),"Oncle tante")</f>
        <v>Oncle tante</v>
      </c>
    </row>
    <row r="129" spans="1:4" ht="15.75" customHeight="1" x14ac:dyDescent="0.2">
      <c r="A129" s="14" t="s">
        <v>189</v>
      </c>
      <c r="B129" s="14">
        <v>13</v>
      </c>
      <c r="C129" s="14" t="s">
        <v>163</v>
      </c>
      <c r="D129" s="14" t="str">
        <f ca="1">IFERROR(__xludf.DUMMYFUNCTION("GOOGLETRANSLATE(C129,""en"", ""fr"")"),"Autre")</f>
        <v>Autre</v>
      </c>
    </row>
    <row r="130" spans="1:4" ht="15.75" customHeight="1" x14ac:dyDescent="0.2"/>
    <row r="131" spans="1:4" ht="15.75" customHeight="1" x14ac:dyDescent="0.2"/>
    <row r="132" spans="1:4" ht="15.75" customHeight="1" x14ac:dyDescent="0.2">
      <c r="A132" s="14" t="s">
        <v>202</v>
      </c>
      <c r="B132" s="14">
        <v>1</v>
      </c>
      <c r="C132" s="14" t="s">
        <v>203</v>
      </c>
      <c r="D132" s="14" t="str">
        <f ca="1">IFERROR(__xludf.DUMMYFUNCTION("GOOGLETRANSLATE(C132,""en"", ""fr"")"),"Salarié (emploi)")</f>
        <v>Salarié (emploi)</v>
      </c>
    </row>
    <row r="133" spans="1:4" ht="15.75" customHeight="1" x14ac:dyDescent="0.2">
      <c r="A133" s="14" t="s">
        <v>202</v>
      </c>
      <c r="B133" s="14">
        <v>2</v>
      </c>
      <c r="C133" s="14" t="s">
        <v>204</v>
      </c>
      <c r="D133" s="14" t="str">
        <f ca="1">IFERROR(__xludf.DUMMYFUNCTION("GOOGLETRANSLATE(C133,""en"", ""fr"")"),"Entreprise")</f>
        <v>Entreprise</v>
      </c>
    </row>
    <row r="134" spans="1:4" ht="15.75" customHeight="1" x14ac:dyDescent="0.2">
      <c r="A134" s="14" t="s">
        <v>202</v>
      </c>
      <c r="B134" s="14">
        <v>3</v>
      </c>
      <c r="C134" s="14" t="s">
        <v>205</v>
      </c>
      <c r="D134" s="14" t="str">
        <f ca="1">IFERROR(__xludf.DUMMYFUNCTION("GOOGLETRANSLATE(C134,""en"", ""fr"")"),"Travailleur indépendant")</f>
        <v>Travailleur indépendant</v>
      </c>
    </row>
    <row r="135" spans="1:4" ht="15.75" customHeight="1" x14ac:dyDescent="0.2">
      <c r="A135" s="14" t="s">
        <v>202</v>
      </c>
      <c r="B135" s="14">
        <v>4</v>
      </c>
      <c r="C135" s="14" t="s">
        <v>206</v>
      </c>
      <c r="D135" s="14" t="str">
        <f ca="1">IFERROR(__xludf.DUMMYFUNCTION("GOOGLETRANSLATE(C135,""en"", ""fr"")"),"Étudiant")</f>
        <v>Étudiant</v>
      </c>
    </row>
    <row r="136" spans="1:4" ht="15.75" customHeight="1" x14ac:dyDescent="0.2">
      <c r="A136" s="14" t="s">
        <v>202</v>
      </c>
      <c r="B136" s="14">
        <v>5</v>
      </c>
      <c r="C136" s="14" t="s">
        <v>207</v>
      </c>
      <c r="D136" s="14" t="str">
        <f ca="1">IFERROR(__xludf.DUMMYFUNCTION("GOOGLETRANSLATE(C136,""en"", ""fr"")"),"Ménagère")</f>
        <v>Ménagère</v>
      </c>
    </row>
    <row r="137" spans="1:4" ht="15.75" customHeight="1" x14ac:dyDescent="0.2">
      <c r="A137" s="14" t="s">
        <v>202</v>
      </c>
      <c r="B137" s="14">
        <v>6</v>
      </c>
      <c r="C137" s="14" t="s">
        <v>208</v>
      </c>
      <c r="D137" s="14" t="str">
        <f ca="1">IFERROR(__xludf.DUMMYFUNCTION("GOOGLETRANSLATE(C137,""en"", ""fr"")"),"À la retraite")</f>
        <v>À la retraite</v>
      </c>
    </row>
    <row r="138" spans="1:4" ht="15.75" customHeight="1" x14ac:dyDescent="0.2">
      <c r="A138" s="14" t="s">
        <v>202</v>
      </c>
      <c r="B138" s="14">
        <v>7</v>
      </c>
      <c r="C138" s="14" t="s">
        <v>209</v>
      </c>
      <c r="D138" s="14" t="str">
        <f ca="1">IFERROR(__xludf.DUMMYFUNCTION("GOOGLETRANSLATE(C138,""en"", ""fr"")"),"Pari quotidien (agriculture)")</f>
        <v>Pari quotidien (agriculture)</v>
      </c>
    </row>
    <row r="139" spans="1:4" ht="15.75" customHeight="1" x14ac:dyDescent="0.2">
      <c r="A139" s="14" t="s">
        <v>202</v>
      </c>
      <c r="B139" s="14">
        <v>8</v>
      </c>
      <c r="C139" s="14" t="s">
        <v>210</v>
      </c>
      <c r="D139" s="14" t="str">
        <f ca="1">IFERROR(__xludf.DUMMYFUNCTION("GOOGLETRANSLATE(C139,""en"", ""fr"")"),"Pari quotidien (non agricole)")</f>
        <v>Pari quotidien (non agricole)</v>
      </c>
    </row>
    <row r="140" spans="1:4" ht="15.75" customHeight="1" x14ac:dyDescent="0.2">
      <c r="A140" s="14" t="s">
        <v>202</v>
      </c>
      <c r="B140" s="14">
        <v>9</v>
      </c>
      <c r="C140" s="14" t="s">
        <v>211</v>
      </c>
      <c r="D140" s="14" t="str">
        <f ca="1">IFERROR(__xludf.DUMMYFUNCTION("GOOGLETRANSLATE(C140,""en"", ""fr"")"),"Sans emploi")</f>
        <v>Sans emploi</v>
      </c>
    </row>
    <row r="141" spans="1:4" ht="15.75" customHeight="1" x14ac:dyDescent="0.2">
      <c r="A141" s="14" t="s">
        <v>202</v>
      </c>
      <c r="B141" s="14">
        <v>10</v>
      </c>
      <c r="C141" s="14" t="s">
        <v>163</v>
      </c>
      <c r="D141" s="14" t="str">
        <f ca="1">IFERROR(__xludf.DUMMYFUNCTION("GOOGLETRANSLATE(C141,""en"", ""fr"")"),"Autre")</f>
        <v>Autre</v>
      </c>
    </row>
    <row r="142" spans="1:4" ht="15.75" customHeight="1" x14ac:dyDescent="0.2">
      <c r="A142" s="14" t="s">
        <v>202</v>
      </c>
      <c r="B142" s="14">
        <v>11</v>
      </c>
      <c r="C142" s="14" t="s">
        <v>212</v>
      </c>
      <c r="D142" s="14" t="str">
        <f ca="1">IFERROR(__xludf.DUMMYFUNCTION("GOOGLETRANSLATE(C142,""en"", ""fr"")"),"N'est pas applicable")</f>
        <v>N'est pas applicable</v>
      </c>
    </row>
    <row r="143" spans="1:4" ht="15.75" customHeight="1" x14ac:dyDescent="0.2">
      <c r="A143" s="14" t="s">
        <v>202</v>
      </c>
      <c r="B143" s="14">
        <v>12</v>
      </c>
      <c r="C143" s="14" t="s">
        <v>152</v>
      </c>
      <c r="D143" s="14" t="str">
        <f ca="1">IFERROR(__xludf.DUMMYFUNCTION("GOOGLETRANSLATE(C143,""en"", ""fr"")"),"Je ne sais pas")</f>
        <v>Je ne sais pas</v>
      </c>
    </row>
    <row r="144" spans="1:4" ht="15.75" customHeight="1" x14ac:dyDescent="0.2"/>
    <row r="145" spans="1:4" ht="15.75" customHeight="1" x14ac:dyDescent="0.2"/>
    <row r="146" spans="1:4" ht="15.75" customHeight="1" x14ac:dyDescent="0.2">
      <c r="A146" s="14" t="s">
        <v>213</v>
      </c>
      <c r="B146" s="14">
        <v>1</v>
      </c>
      <c r="C146" s="14" t="s">
        <v>214</v>
      </c>
      <c r="D146" s="14" t="str">
        <f ca="1">IFERROR(__xludf.DUMMYFUNCTION("GOOGLETRANSLATE(C146,""en"", ""fr"")"),"Secteur public/gouvernemental")</f>
        <v>Secteur public/gouvernemental</v>
      </c>
    </row>
    <row r="147" spans="1:4" ht="15.75" customHeight="1" x14ac:dyDescent="0.2">
      <c r="A147" s="14" t="s">
        <v>213</v>
      </c>
      <c r="B147" s="14">
        <v>2</v>
      </c>
      <c r="C147" s="14" t="s">
        <v>215</v>
      </c>
      <c r="D147" s="14" t="str">
        <f ca="1">IFERROR(__xludf.DUMMYFUNCTION("GOOGLETRANSLATE(C147,""en"", ""fr"")"),"Secteur privé")</f>
        <v>Secteur privé</v>
      </c>
    </row>
    <row r="148" spans="1:4" ht="15.75" customHeight="1" x14ac:dyDescent="0.2">
      <c r="A148" s="14" t="s">
        <v>213</v>
      </c>
      <c r="B148" s="14">
        <v>3</v>
      </c>
      <c r="C148" s="14" t="s">
        <v>216</v>
      </c>
      <c r="D148" s="14" t="str">
        <f ca="1">IFERROR(__xludf.DUMMYFUNCTION("GOOGLETRANSLATE(C148,""en"", ""fr"")"),"ONG")</f>
        <v>ONG</v>
      </c>
    </row>
    <row r="149" spans="1:4" ht="15.75" customHeight="1" x14ac:dyDescent="0.2">
      <c r="A149" s="14" t="s">
        <v>213</v>
      </c>
      <c r="B149" s="14">
        <v>4</v>
      </c>
      <c r="C149" s="14" t="s">
        <v>163</v>
      </c>
      <c r="D149" s="14" t="str">
        <f ca="1">IFERROR(__xludf.DUMMYFUNCTION("GOOGLETRANSLATE(C149,""en"", ""fr"")"),"Autre")</f>
        <v>Autre</v>
      </c>
    </row>
    <row r="150" spans="1:4" ht="15.75" customHeight="1" x14ac:dyDescent="0.2">
      <c r="A150" s="14" t="s">
        <v>213</v>
      </c>
      <c r="B150" s="14">
        <v>5</v>
      </c>
      <c r="C150" s="14" t="s">
        <v>152</v>
      </c>
      <c r="D150" s="14" t="str">
        <f ca="1">IFERROR(__xludf.DUMMYFUNCTION("GOOGLETRANSLATE(C150,""en"", ""fr"")"),"Je ne sais pas")</f>
        <v>Je ne sais pas</v>
      </c>
    </row>
    <row r="151" spans="1:4" ht="15.75" customHeight="1" x14ac:dyDescent="0.2"/>
    <row r="152" spans="1:4" ht="15.75" customHeight="1" x14ac:dyDescent="0.2"/>
    <row r="153" spans="1:4" ht="15.75" customHeight="1" x14ac:dyDescent="0.2">
      <c r="A153" s="14" t="s">
        <v>217</v>
      </c>
      <c r="B153" s="14">
        <v>1</v>
      </c>
      <c r="C153" s="14" t="s">
        <v>218</v>
      </c>
      <c r="D153" s="14" t="str">
        <f ca="1">IFERROR(__xludf.DUMMYFUNCTION("GOOGLETRANSLATE(C153,""en"", ""fr"")"),"Éducation")</f>
        <v>Éducation</v>
      </c>
    </row>
    <row r="154" spans="1:4" ht="15.75" customHeight="1" x14ac:dyDescent="0.2">
      <c r="A154" s="14" t="s">
        <v>217</v>
      </c>
      <c r="B154" s="14">
        <v>2</v>
      </c>
      <c r="C154" s="14" t="s">
        <v>219</v>
      </c>
      <c r="D154" s="14" t="str">
        <f ca="1">IFERROR(__xludf.DUMMYFUNCTION("GOOGLETRANSLATE(C154,""en"", ""fr"")"),"Professionel de l'informatique")</f>
        <v>Professionel de l'informatique</v>
      </c>
    </row>
    <row r="155" spans="1:4" ht="15.75" customHeight="1" x14ac:dyDescent="0.2">
      <c r="A155" s="14" t="s">
        <v>217</v>
      </c>
      <c r="B155" s="14">
        <v>3</v>
      </c>
      <c r="C155" s="14" t="s">
        <v>220</v>
      </c>
      <c r="D155" s="14" t="str">
        <f ca="1">IFERROR(__xludf.DUMMYFUNCTION("GOOGLETRANSLATE(C155,""en"", ""fr"")"),"ONG locale")</f>
        <v>ONG locale</v>
      </c>
    </row>
    <row r="156" spans="1:4" ht="15.75" customHeight="1" x14ac:dyDescent="0.2">
      <c r="A156" s="14" t="s">
        <v>217</v>
      </c>
      <c r="B156" s="14">
        <v>4</v>
      </c>
      <c r="C156" s="14" t="s">
        <v>221</v>
      </c>
      <c r="D156" s="14" t="str">
        <f ca="1">IFERROR(__xludf.DUMMYFUNCTION("GOOGLETRANSLATE(C156,""en"", ""fr"")"),"ONG internationale")</f>
        <v>ONG internationale</v>
      </c>
    </row>
    <row r="157" spans="1:4" ht="15.75" customHeight="1" x14ac:dyDescent="0.2">
      <c r="A157" s="14" t="s">
        <v>217</v>
      </c>
      <c r="B157" s="14">
        <v>5</v>
      </c>
      <c r="C157" s="14" t="s">
        <v>222</v>
      </c>
      <c r="D157" s="14" t="str">
        <f ca="1">IFERROR(__xludf.DUMMYFUNCTION("GOOGLETRANSLATE(C157,""en"", ""fr"")"),"Agriculture")</f>
        <v>Agriculture</v>
      </c>
    </row>
    <row r="158" spans="1:4" ht="15.75" customHeight="1" x14ac:dyDescent="0.2">
      <c r="A158" s="14" t="s">
        <v>217</v>
      </c>
      <c r="B158" s="14">
        <v>6</v>
      </c>
      <c r="C158" s="14" t="s">
        <v>69</v>
      </c>
      <c r="D158" s="14" t="str">
        <f ca="1">IFERROR(__xludf.DUMMYFUNCTION("GOOGLETRANSLATE(C158,""en"", ""fr"")"),"Santé")</f>
        <v>Santé</v>
      </c>
    </row>
    <row r="159" spans="1:4" ht="15.75" customHeight="1" x14ac:dyDescent="0.2">
      <c r="A159" s="14" t="s">
        <v>217</v>
      </c>
      <c r="B159" s="14">
        <v>7</v>
      </c>
      <c r="C159" s="14" t="s">
        <v>223</v>
      </c>
      <c r="D159" s="14" t="str">
        <f ca="1">IFERROR(__xludf.DUMMYFUNCTION("GOOGLETRANSLATE(C159,""en"", ""fr"")"),"Usine")</f>
        <v>Usine</v>
      </c>
    </row>
    <row r="160" spans="1:4" ht="15.75" customHeight="1" x14ac:dyDescent="0.2">
      <c r="A160" s="14" t="s">
        <v>217</v>
      </c>
      <c r="B160" s="14">
        <v>8</v>
      </c>
      <c r="C160" s="14" t="s">
        <v>224</v>
      </c>
      <c r="D160" s="14" t="str">
        <f ca="1">IFERROR(__xludf.DUMMYFUNCTION("GOOGLETRANSLATE(C160,""en"", ""fr"")"),"Civil / ingénierie / construction / architecture")</f>
        <v>Civil / ingénierie / construction / architecture</v>
      </c>
    </row>
    <row r="161" spans="1:4" ht="15.75" customHeight="1" x14ac:dyDescent="0.2">
      <c r="A161" s="14" t="s">
        <v>217</v>
      </c>
      <c r="B161" s="14">
        <v>9</v>
      </c>
      <c r="C161" s="14" t="s">
        <v>225</v>
      </c>
      <c r="D161" s="14" t="str">
        <f ca="1">IFERROR(__xludf.DUMMYFUNCTION("GOOGLETRANSLATE(C161,""en"", ""fr"")"),"Comptabilité / fiscalité / audit")</f>
        <v>Comptabilité / fiscalité / audit</v>
      </c>
    </row>
    <row r="162" spans="1:4" ht="15.75" customHeight="1" x14ac:dyDescent="0.2">
      <c r="A162" s="14" t="s">
        <v>217</v>
      </c>
      <c r="B162" s="14">
        <v>10</v>
      </c>
      <c r="C162" s="14" t="s">
        <v>226</v>
      </c>
      <c r="D162" s="14" t="str">
        <f ca="1">IFERROR(__xludf.DUMMYFUNCTION("GOOGLETRANSLATE(C162,""en"", ""fr"")"),"Institution financière (banque / société / société d'investissement / société de bourse / assurance)")</f>
        <v>Institution financière (banque / société / société d'investissement / société de bourse / assurance)</v>
      </c>
    </row>
    <row r="163" spans="1:4" ht="15.75" customHeight="1" x14ac:dyDescent="0.2">
      <c r="A163" s="14" t="s">
        <v>217</v>
      </c>
      <c r="B163" s="14">
        <v>11</v>
      </c>
      <c r="C163" s="14" t="s">
        <v>227</v>
      </c>
      <c r="D163" s="14" t="str">
        <f ca="1">IFERROR(__xludf.DUMMYFUNCTION("GOOGLETRANSLATE(C163,""en"", ""fr"")"),"Négoce (détail / gros)")</f>
        <v>Négoce (détail / gros)</v>
      </c>
    </row>
    <row r="164" spans="1:4" ht="15.75" customHeight="1" x14ac:dyDescent="0.2">
      <c r="A164" s="14" t="s">
        <v>217</v>
      </c>
      <c r="B164" s="14">
        <v>12</v>
      </c>
      <c r="C164" s="14" t="s">
        <v>228</v>
      </c>
      <c r="D164" s="14" t="str">
        <f ca="1">IFERROR(__xludf.DUMMYFUNCTION("GOOGLETRANSLATE(C164,""en"", ""fr"")"),"Médias / communications / relations publiques")</f>
        <v>Médias / communications / relations publiques</v>
      </c>
    </row>
    <row r="165" spans="1:4" ht="15.75" customHeight="1" x14ac:dyDescent="0.2">
      <c r="A165" s="14" t="s">
        <v>217</v>
      </c>
      <c r="B165" s="14">
        <v>13</v>
      </c>
      <c r="C165" s="14" t="s">
        <v>229</v>
      </c>
      <c r="D165" s="14" t="str">
        <f ca="1">IFERROR(__xludf.DUMMYFUNCTION("GOOGLETRANSLATE(C165,""en"", ""fr"")"),"Boutique (vente au détail / épicerie / stand de nourriture)")</f>
        <v>Boutique (vente au détail / épicerie / stand de nourriture)</v>
      </c>
    </row>
    <row r="166" spans="1:4" ht="15.75" customHeight="1" x14ac:dyDescent="0.2">
      <c r="A166" s="14" t="s">
        <v>217</v>
      </c>
      <c r="B166" s="14">
        <v>14</v>
      </c>
      <c r="C166" s="14" t="s">
        <v>163</v>
      </c>
      <c r="D166" s="14" t="str">
        <f ca="1">IFERROR(__xludf.DUMMYFUNCTION("GOOGLETRANSLATE(C166,""en"", ""fr"")"),"Autre")</f>
        <v>Autre</v>
      </c>
    </row>
    <row r="167" spans="1:4" ht="15.75" customHeight="1" x14ac:dyDescent="0.2">
      <c r="A167" s="14" t="s">
        <v>217</v>
      </c>
      <c r="B167" s="14">
        <v>15</v>
      </c>
      <c r="C167" s="14" t="s">
        <v>152</v>
      </c>
      <c r="D167" s="14" t="str">
        <f ca="1">IFERROR(__xludf.DUMMYFUNCTION("GOOGLETRANSLATE(C167,""en"", ""fr"")"),"Je ne sais pas")</f>
        <v>Je ne sais pas</v>
      </c>
    </row>
    <row r="168" spans="1:4" ht="15.75" customHeight="1" x14ac:dyDescent="0.2"/>
    <row r="169" spans="1:4" ht="15.75" customHeight="1" x14ac:dyDescent="0.2"/>
    <row r="170" spans="1:4" ht="15.75" customHeight="1" x14ac:dyDescent="0.2">
      <c r="A170" s="14" t="s">
        <v>230</v>
      </c>
      <c r="B170" s="14">
        <v>1</v>
      </c>
      <c r="C170" s="14" t="s">
        <v>231</v>
      </c>
      <c r="D170" s="14" t="str">
        <f ca="1">IFERROR(__xludf.DUMMYFUNCTION("GOOGLETRANSLATE(C170,""en"", ""fr"")"),"Agriculture (propriétaire foncier qui donne des terres pour l'agriculture)")</f>
        <v>Agriculture (propriétaire foncier qui donne des terres pour l'agriculture)</v>
      </c>
    </row>
    <row r="171" spans="1:4" ht="15.75" customHeight="1" x14ac:dyDescent="0.2">
      <c r="A171" s="14" t="s">
        <v>230</v>
      </c>
      <c r="B171" s="14">
        <v>2</v>
      </c>
      <c r="C171" s="14" t="s">
        <v>232</v>
      </c>
      <c r="D171" s="14" t="str">
        <f ca="1">IFERROR(__xludf.DUMMYFUNCTION("GOOGLETRANSLATE(C171,""en"", ""fr"")"),"Agriculture (agriculteur / élevage / production laitière)")</f>
        <v>Agriculture (agriculteur / élevage / production laitière)</v>
      </c>
    </row>
    <row r="172" spans="1:4" ht="15.75" customHeight="1" x14ac:dyDescent="0.2">
      <c r="A172" s="14" t="s">
        <v>230</v>
      </c>
      <c r="B172" s="14">
        <v>3</v>
      </c>
      <c r="C172" s="14" t="s">
        <v>233</v>
      </c>
      <c r="D172" s="14" t="str">
        <f ca="1">IFERROR(__xludf.DUMMYFUNCTION("GOOGLETRANSLATE(C172,""en"", ""fr"")"),"Commerçant (détail / grossiste)")</f>
        <v>Commerçant (détail / grossiste)</v>
      </c>
    </row>
    <row r="173" spans="1:4" ht="15.75" customHeight="1" x14ac:dyDescent="0.2">
      <c r="A173" s="14" t="s">
        <v>230</v>
      </c>
      <c r="B173" s="14">
        <v>4</v>
      </c>
      <c r="C173" s="14" t="s">
        <v>234</v>
      </c>
      <c r="D173" s="14" t="str">
        <f ca="1">IFERROR(__xludf.DUMMYFUNCTION("GOOGLETRANSLATE(C173,""en"", ""fr"")"),"Fabricant")</f>
        <v>Fabricant</v>
      </c>
    </row>
    <row r="174" spans="1:4" ht="15.75" customHeight="1" x14ac:dyDescent="0.2">
      <c r="A174" s="14" t="s">
        <v>230</v>
      </c>
      <c r="B174" s="14">
        <v>5</v>
      </c>
      <c r="C174" s="14" t="s">
        <v>235</v>
      </c>
      <c r="D174" s="14" t="str">
        <f ca="1">IFERROR(__xludf.DUMMYFUNCTION("GOOGLETRANSLATE(C174,""en"", ""fr"")"),"Transport (Careem / Uber / Rickshaw / taxi / camion / autres)")</f>
        <v>Transport (Careem / Uber / Rickshaw / taxi / camion / autres)</v>
      </c>
    </row>
    <row r="175" spans="1:4" ht="15.75" customHeight="1" x14ac:dyDescent="0.2">
      <c r="A175" s="14" t="s">
        <v>230</v>
      </c>
      <c r="B175" s="14">
        <v>6</v>
      </c>
      <c r="C175" s="14" t="s">
        <v>236</v>
      </c>
      <c r="D175" s="14" t="str">
        <f ca="1">IFERROR(__xludf.DUMMYFUNCTION("GOOGLETRANSLATE(C175,""en"", ""fr"")"),"Infrastructures / construction")</f>
        <v>Infrastructures / construction</v>
      </c>
    </row>
    <row r="176" spans="1:4" ht="15.75" customHeight="1" x14ac:dyDescent="0.2">
      <c r="A176" s="14" t="s">
        <v>230</v>
      </c>
      <c r="B176" s="14">
        <v>7</v>
      </c>
      <c r="C176" s="14" t="s">
        <v>237</v>
      </c>
      <c r="D176" s="14" t="str">
        <f ca="1">IFERROR(__xludf.DUMMYFUNCTION("GOOGLETRANSLATE(C176,""en"", ""fr"")"),"Fournisseur de services")</f>
        <v>Fournisseur de services</v>
      </c>
    </row>
    <row r="177" spans="1:4" ht="15.75" customHeight="1" x14ac:dyDescent="0.2">
      <c r="A177" s="14" t="s">
        <v>230</v>
      </c>
      <c r="B177" s="14">
        <v>8</v>
      </c>
      <c r="C177" s="14" t="s">
        <v>163</v>
      </c>
      <c r="D177" s="14" t="str">
        <f ca="1">IFERROR(__xludf.DUMMYFUNCTION("GOOGLETRANSLATE(C177,""en"", ""fr"")"),"Autre")</f>
        <v>Autre</v>
      </c>
    </row>
    <row r="178" spans="1:4" ht="15.75" customHeight="1" x14ac:dyDescent="0.2">
      <c r="A178" s="14" t="s">
        <v>230</v>
      </c>
      <c r="B178" s="14">
        <v>9</v>
      </c>
      <c r="C178" s="14" t="s">
        <v>212</v>
      </c>
      <c r="D178" s="14" t="str">
        <f ca="1">IFERROR(__xludf.DUMMYFUNCTION("GOOGLETRANSLATE(C178,""en"", ""fr"")"),"N'est pas applicable")</f>
        <v>N'est pas applicable</v>
      </c>
    </row>
    <row r="179" spans="1:4" ht="15.75" customHeight="1" x14ac:dyDescent="0.2">
      <c r="A179" s="14" t="s">
        <v>230</v>
      </c>
      <c r="B179" s="14">
        <v>10</v>
      </c>
      <c r="C179" s="14" t="s">
        <v>152</v>
      </c>
      <c r="D179" s="14" t="str">
        <f ca="1">IFERROR(__xludf.DUMMYFUNCTION("GOOGLETRANSLATE(C179,""en"", ""fr"")"),"Je ne sais pas")</f>
        <v>Je ne sais pas</v>
      </c>
    </row>
    <row r="180" spans="1:4" ht="15.75" customHeight="1" x14ac:dyDescent="0.2"/>
    <row r="181" spans="1:4" ht="15.75" customHeight="1" x14ac:dyDescent="0.2"/>
    <row r="182" spans="1:4" ht="15.75" customHeight="1" x14ac:dyDescent="0.2">
      <c r="A182" s="14" t="s">
        <v>238</v>
      </c>
      <c r="B182" s="14">
        <v>1</v>
      </c>
      <c r="C182" s="14" t="s">
        <v>239</v>
      </c>
      <c r="D182" s="14" t="str">
        <f ca="1">IFERROR(__xludf.DUMMYFUNCTION("GOOGLETRANSLATE(C182,""en"", ""fr"")"),"Ne veut pas divulguer")</f>
        <v>Ne veut pas divulguer</v>
      </c>
    </row>
    <row r="183" spans="1:4" ht="15.75" customHeight="1" x14ac:dyDescent="0.2">
      <c r="A183" s="14" t="s">
        <v>238</v>
      </c>
      <c r="B183" s="14">
        <v>2</v>
      </c>
      <c r="C183" s="14" t="s">
        <v>240</v>
      </c>
      <c r="D183" s="14" t="str">
        <f ca="1">IFERROR(__xludf.DUMMYFUNCTION("GOOGLETRANSLATE(C183,""en"", ""fr"")"),"Moins de 10 000")</f>
        <v>Moins de 10 000</v>
      </c>
    </row>
    <row r="184" spans="1:4" ht="15.75" customHeight="1" x14ac:dyDescent="0.2">
      <c r="A184" s="14" t="s">
        <v>238</v>
      </c>
      <c r="B184" s="14">
        <v>3</v>
      </c>
      <c r="C184" s="14" t="s">
        <v>241</v>
      </c>
      <c r="D184" s="14" t="str">
        <f ca="1">IFERROR(__xludf.DUMMYFUNCTION("GOOGLETRANSLATE(C184,""en"", ""fr"")"),"10 001 à 50 000")</f>
        <v>10 001 à 50 000</v>
      </c>
    </row>
    <row r="185" spans="1:4" ht="15.75" customHeight="1" x14ac:dyDescent="0.2">
      <c r="A185" s="14" t="s">
        <v>238</v>
      </c>
      <c r="B185" s="14">
        <v>4</v>
      </c>
      <c r="C185" s="14" t="s">
        <v>242</v>
      </c>
      <c r="D185" s="14" t="str">
        <f ca="1">IFERROR(__xludf.DUMMYFUNCTION("GOOGLETRANSLATE(C185,""en"", ""fr"")"),"50 001 à 60 000")</f>
        <v>50 001 à 60 000</v>
      </c>
    </row>
    <row r="186" spans="1:4" ht="15.75" customHeight="1" x14ac:dyDescent="0.2">
      <c r="A186" s="14" t="s">
        <v>238</v>
      </c>
      <c r="B186" s="14">
        <v>5</v>
      </c>
      <c r="C186" s="14" t="s">
        <v>243</v>
      </c>
      <c r="D186" s="14" t="str">
        <f ca="1">IFERROR(__xludf.DUMMYFUNCTION("GOOGLETRANSLATE(C186,""en"", ""fr"")"),"60 001 à 75 000")</f>
        <v>60 001 à 75 000</v>
      </c>
    </row>
    <row r="187" spans="1:4" ht="15.75" customHeight="1" x14ac:dyDescent="0.2">
      <c r="A187" s="14" t="s">
        <v>238</v>
      </c>
      <c r="B187" s="14">
        <v>6</v>
      </c>
      <c r="C187" s="14" t="s">
        <v>244</v>
      </c>
      <c r="D187" s="14" t="str">
        <f ca="1">IFERROR(__xludf.DUMMYFUNCTION("GOOGLETRANSLATE(C187,""en"", ""fr"")"),"75 001 à 100 000")</f>
        <v>75 001 à 100 000</v>
      </c>
    </row>
    <row r="188" spans="1:4" ht="15.75" customHeight="1" x14ac:dyDescent="0.2">
      <c r="A188" s="14" t="s">
        <v>238</v>
      </c>
      <c r="B188" s="14">
        <v>7</v>
      </c>
      <c r="C188" s="14" t="s">
        <v>245</v>
      </c>
      <c r="D188" s="14" t="str">
        <f ca="1">IFERROR(__xludf.DUMMYFUNCTION("GOOGLETRANSLATE(C188,""en"", ""fr"")"),"100 001 à 200 000")</f>
        <v>100 001 à 200 000</v>
      </c>
    </row>
    <row r="189" spans="1:4" ht="15.75" customHeight="1" x14ac:dyDescent="0.2">
      <c r="A189" s="14" t="s">
        <v>238</v>
      </c>
      <c r="B189" s="14">
        <v>8</v>
      </c>
      <c r="C189" s="14" t="s">
        <v>246</v>
      </c>
      <c r="D189" s="14" t="str">
        <f ca="1">IFERROR(__xludf.DUMMYFUNCTION("GOOGLETRANSLATE(C189,""en"", ""fr"")"),"Au-dessus de 200 000")</f>
        <v>Au-dessus de 200 000</v>
      </c>
    </row>
    <row r="190" spans="1:4" ht="15.75" customHeight="1" x14ac:dyDescent="0.2"/>
    <row r="191" spans="1:4" ht="15.75" customHeight="1" x14ac:dyDescent="0.2"/>
    <row r="192" spans="1:4" ht="15.75" customHeight="1" x14ac:dyDescent="0.2">
      <c r="A192" s="14" t="s">
        <v>247</v>
      </c>
      <c r="B192" s="14">
        <v>1</v>
      </c>
      <c r="C192" s="14" t="s">
        <v>248</v>
      </c>
      <c r="D192" s="14" t="str">
        <f ca="1">IFERROR(__xludf.DUMMYFUNCTION("GOOGLETRANSLATE(C192,""en"", ""fr"")"),"Moins d'un mois")</f>
        <v>Moins d'un mois</v>
      </c>
    </row>
    <row r="193" spans="1:4" ht="15.75" customHeight="1" x14ac:dyDescent="0.2">
      <c r="A193" s="14" t="s">
        <v>247</v>
      </c>
      <c r="B193" s="14">
        <v>2</v>
      </c>
      <c r="C193" s="17" t="s">
        <v>249</v>
      </c>
      <c r="D193" s="14" t="str">
        <f ca="1">IFERROR(__xludf.DUMMYFUNCTION("GOOGLETRANSLATE(C193,""en"", ""fr"")"),"1 - 3")</f>
        <v>1 - 3</v>
      </c>
    </row>
    <row r="194" spans="1:4" ht="15.75" customHeight="1" x14ac:dyDescent="0.2">
      <c r="A194" s="14" t="s">
        <v>247</v>
      </c>
      <c r="B194" s="14">
        <v>3</v>
      </c>
      <c r="C194" s="17" t="s">
        <v>250</v>
      </c>
      <c r="D194" s="14" t="str">
        <f ca="1">IFERROR(__xludf.DUMMYFUNCTION("GOOGLETRANSLATE(C194,""en"", ""fr"")"),"3 - 6")</f>
        <v>3 - 6</v>
      </c>
    </row>
    <row r="195" spans="1:4" ht="15.75" customHeight="1" x14ac:dyDescent="0.2">
      <c r="A195" s="14" t="s">
        <v>247</v>
      </c>
      <c r="B195" s="14">
        <v>4</v>
      </c>
      <c r="C195" s="17" t="s">
        <v>251</v>
      </c>
      <c r="D195" s="14" t="str">
        <f ca="1">IFERROR(__xludf.DUMMYFUNCTION("GOOGLETRANSLATE(C195,""en"", ""fr"")"),"6 - 12")</f>
        <v>6 - 12</v>
      </c>
    </row>
    <row r="196" spans="1:4" ht="15.75" customHeight="1" x14ac:dyDescent="0.2">
      <c r="A196" s="14" t="s">
        <v>247</v>
      </c>
      <c r="B196" s="14">
        <v>5</v>
      </c>
      <c r="C196" s="17" t="s">
        <v>252</v>
      </c>
      <c r="D196" s="14" t="str">
        <f ca="1">IFERROR(__xludf.DUMMYFUNCTION("GOOGLETRANSLATE(C196,""en"", ""fr"")"),"Plus de 12")</f>
        <v>Plus de 12</v>
      </c>
    </row>
    <row r="197" spans="1:4" ht="15.75" customHeight="1" x14ac:dyDescent="0.2"/>
    <row r="198" spans="1:4" ht="15.75" customHeight="1" x14ac:dyDescent="0.2"/>
    <row r="199" spans="1:4" ht="15.75" customHeight="1" x14ac:dyDescent="0.2">
      <c r="A199" s="14" t="s">
        <v>253</v>
      </c>
      <c r="B199" s="14">
        <v>1</v>
      </c>
      <c r="C199" s="17" t="s">
        <v>254</v>
      </c>
      <c r="D199" s="14" t="str">
        <f ca="1">IFERROR(__xludf.DUMMYFUNCTION("GOOGLETRANSLATE(C199,""en"", ""fr"")"),"Sans instruction/non qualifié")</f>
        <v>Sans instruction/non qualifié</v>
      </c>
    </row>
    <row r="200" spans="1:4" ht="15.75" customHeight="1" x14ac:dyDescent="0.2">
      <c r="A200" s="14" t="s">
        <v>253</v>
      </c>
      <c r="B200" s="14">
        <v>2</v>
      </c>
      <c r="C200" s="17" t="s">
        <v>255</v>
      </c>
      <c r="D200" s="14" t="str">
        <f ca="1">IFERROR(__xludf.DUMMYFUNCTION("GOOGLETRANSLATE(C200,""en"", ""fr"")"),"Non-disponibilité de l'emploi souhaité")</f>
        <v>Non-disponibilité de l'emploi souhaité</v>
      </c>
    </row>
    <row r="201" spans="1:4" ht="15.75" customHeight="1" x14ac:dyDescent="0.2">
      <c r="A201" s="14" t="s">
        <v>253</v>
      </c>
      <c r="B201" s="14">
        <v>3</v>
      </c>
      <c r="C201" s="17" t="s">
        <v>256</v>
      </c>
      <c r="D201" s="14" t="str">
        <f ca="1">IFERROR(__xludf.DUMMYFUNCTION("GOOGLETRANSLATE(C201,""en"", ""fr"")"),"La famille ne le permet pas")</f>
        <v>La famille ne le permet pas</v>
      </c>
    </row>
    <row r="202" spans="1:4" ht="15.75" customHeight="1" x14ac:dyDescent="0.2">
      <c r="A202" s="14" t="s">
        <v>253</v>
      </c>
      <c r="B202" s="14">
        <v>4</v>
      </c>
      <c r="C202" s="17" t="s">
        <v>257</v>
      </c>
      <c r="D202" s="14" t="str">
        <f ca="1">IFERROR(__xludf.DUMMYFUNCTION("GOOGLETRANSLATE(C202,""en"", ""fr"")"),"Les offres d'emploi ont un salaire inférieur au salaire souhaitable")</f>
        <v>Les offres d'emploi ont un salaire inférieur au salaire souhaitable</v>
      </c>
    </row>
    <row r="203" spans="1:4" ht="15.75" customHeight="1" x14ac:dyDescent="0.2">
      <c r="A203" s="14" t="s">
        <v>253</v>
      </c>
      <c r="B203" s="14">
        <v>5</v>
      </c>
      <c r="C203" s="17" t="s">
        <v>163</v>
      </c>
      <c r="D203" s="14" t="str">
        <f ca="1">IFERROR(__xludf.DUMMYFUNCTION("GOOGLETRANSLATE(C203,""en"", ""fr"")"),"Autre")</f>
        <v>Autre</v>
      </c>
    </row>
    <row r="204" spans="1:4" ht="15.75" customHeight="1" x14ac:dyDescent="0.2">
      <c r="A204" s="14" t="s">
        <v>253</v>
      </c>
      <c r="B204" s="14">
        <v>6</v>
      </c>
      <c r="C204" s="17" t="s">
        <v>212</v>
      </c>
      <c r="D204" s="14" t="str">
        <f ca="1">IFERROR(__xludf.DUMMYFUNCTION("GOOGLETRANSLATE(C204,""en"", ""fr"")"),"N'est pas applicable")</f>
        <v>N'est pas applicable</v>
      </c>
    </row>
    <row r="205" spans="1:4" ht="15.75" customHeight="1" x14ac:dyDescent="0.2">
      <c r="A205" s="14" t="s">
        <v>253</v>
      </c>
      <c r="B205" s="14">
        <v>7</v>
      </c>
      <c r="C205" s="17" t="s">
        <v>152</v>
      </c>
      <c r="D205" s="14" t="str">
        <f ca="1">IFERROR(__xludf.DUMMYFUNCTION("GOOGLETRANSLATE(C205,""en"", ""fr"")"),"Je ne sais pas")</f>
        <v>Je ne sais pas</v>
      </c>
    </row>
    <row r="206" spans="1:4" ht="15.75" customHeight="1" x14ac:dyDescent="0.2"/>
    <row r="207" spans="1:4" ht="15.75" customHeight="1" x14ac:dyDescent="0.2"/>
    <row r="208" spans="1:4" ht="15.75" customHeight="1" x14ac:dyDescent="0.2"/>
    <row r="209" spans="1:4" ht="15.75" customHeight="1" x14ac:dyDescent="0.2">
      <c r="A209" s="14" t="s">
        <v>73</v>
      </c>
      <c r="B209" s="14">
        <v>1</v>
      </c>
      <c r="C209" s="17" t="s">
        <v>258</v>
      </c>
      <c r="D209" s="14" t="str">
        <f ca="1">IFERROR(__xludf.DUMMYFUNCTION("GOOGLETRANSLATE(C209,""en"", ""fr"")"),"LHV ou Agent de Santé Communautaire")</f>
        <v>LHV ou Agent de Santé Communautaire</v>
      </c>
    </row>
    <row r="210" spans="1:4" ht="15.75" customHeight="1" x14ac:dyDescent="0.2">
      <c r="A210" s="14" t="s">
        <v>73</v>
      </c>
      <c r="B210" s="14">
        <v>2</v>
      </c>
      <c r="C210" s="17" t="s">
        <v>259</v>
      </c>
      <c r="D210" s="14" t="str">
        <f ca="1">IFERROR(__xludf.DUMMYFUNCTION("GOOGLETRANSLATE(C210,""en"", ""fr"")"),"Clinique gouvernementale")</f>
        <v>Clinique gouvernementale</v>
      </c>
    </row>
    <row r="211" spans="1:4" ht="15.75" customHeight="1" x14ac:dyDescent="0.2">
      <c r="A211" s="14" t="s">
        <v>73</v>
      </c>
      <c r="B211" s="14">
        <v>3</v>
      </c>
      <c r="C211" s="17" t="s">
        <v>260</v>
      </c>
      <c r="D211" s="14" t="str">
        <f ca="1">IFERROR(__xludf.DUMMYFUNCTION("GOOGLETRANSLATE(C211,""en"", ""fr"")"),"Clinique privée")</f>
        <v>Clinique privée</v>
      </c>
    </row>
    <row r="212" spans="1:4" ht="15.75" customHeight="1" x14ac:dyDescent="0.2">
      <c r="A212" s="14" t="s">
        <v>73</v>
      </c>
      <c r="B212" s="14">
        <v>4</v>
      </c>
      <c r="C212" s="17" t="s">
        <v>261</v>
      </c>
      <c r="D212" s="14" t="str">
        <f ca="1">IFERROR(__xludf.DUMMYFUNCTION("GOOGLETRANSLATE(C212,""en"", ""fr"")"),"Clinique des ONG")</f>
        <v>Clinique des ONG</v>
      </c>
    </row>
    <row r="213" spans="1:4" ht="15.75" customHeight="1" x14ac:dyDescent="0.2">
      <c r="A213" s="14" t="s">
        <v>73</v>
      </c>
      <c r="B213" s="14">
        <v>5</v>
      </c>
      <c r="C213" s="17" t="s">
        <v>262</v>
      </c>
      <c r="D213" s="14" t="str">
        <f ca="1">IFERROR(__xludf.DUMMYFUNCTION("GOOGLETRANSLATE(C213,""en"", ""fr"")"),"Guérisseurs traditionnels")</f>
        <v>Guérisseurs traditionnels</v>
      </c>
    </row>
    <row r="214" spans="1:4" ht="15.75" customHeight="1" x14ac:dyDescent="0.2">
      <c r="A214" s="14" t="s">
        <v>73</v>
      </c>
      <c r="B214" s="14">
        <v>6</v>
      </c>
      <c r="C214" s="17" t="s">
        <v>263</v>
      </c>
      <c r="D214" s="14" t="str">
        <f ca="1">IFERROR(__xludf.DUMMYFUNCTION("GOOGLETRANSLATE(C214,""en"", ""fr"")"),"Pharmacien")</f>
        <v>Pharmacien</v>
      </c>
    </row>
    <row r="215" spans="1:4" ht="15.75" customHeight="1" x14ac:dyDescent="0.2">
      <c r="A215" s="14" t="s">
        <v>73</v>
      </c>
      <c r="B215" s="14">
        <v>7</v>
      </c>
      <c r="C215" s="17" t="s">
        <v>163</v>
      </c>
      <c r="D215" s="14" t="str">
        <f ca="1">IFERROR(__xludf.DUMMYFUNCTION("GOOGLETRANSLATE(C215,""en"", ""fr"")"),"Autre")</f>
        <v>Autre</v>
      </c>
    </row>
    <row r="216" spans="1:4" ht="15.75" customHeight="1" x14ac:dyDescent="0.2"/>
    <row r="217" spans="1:4" ht="15.75" customHeight="1" x14ac:dyDescent="0.2"/>
    <row r="218" spans="1:4" ht="15.75" customHeight="1" x14ac:dyDescent="0.2">
      <c r="A218" s="14" t="s">
        <v>80</v>
      </c>
      <c r="B218" s="14">
        <v>1</v>
      </c>
      <c r="C218" s="17" t="s">
        <v>264</v>
      </c>
      <c r="D218" s="14" t="str">
        <f ca="1">IFERROR(__xludf.DUMMYFUNCTION("GOOGLETRANSLATE(C218,""en"", ""fr"")"),"Installation non disponible dans la région")</f>
        <v>Installation non disponible dans la région</v>
      </c>
    </row>
    <row r="219" spans="1:4" ht="15.75" customHeight="1" x14ac:dyDescent="0.2">
      <c r="A219" s="14" t="s">
        <v>80</v>
      </c>
      <c r="B219" s="14">
        <v>2</v>
      </c>
      <c r="C219" s="17" t="s">
        <v>265</v>
      </c>
      <c r="D219" s="14" t="str">
        <f ca="1">IFERROR(__xludf.DUMMYFUNCTION("GOOGLETRANSLATE(C219,""en"", ""fr"")"),"Manque de fonds")</f>
        <v>Manque de fonds</v>
      </c>
    </row>
    <row r="220" spans="1:4" ht="15.75" customHeight="1" x14ac:dyDescent="0.2">
      <c r="A220" s="14" t="s">
        <v>80</v>
      </c>
      <c r="B220" s="14">
        <v>3</v>
      </c>
      <c r="C220" s="17" t="s">
        <v>266</v>
      </c>
      <c r="D220" s="14" t="str">
        <f ca="1">IFERROR(__xludf.DUMMYFUNCTION("GOOGLETRANSLATE(C220,""en"", ""fr"")"),"Manque de temps")</f>
        <v>Manque de temps</v>
      </c>
    </row>
    <row r="221" spans="1:4" ht="15.75" customHeight="1" x14ac:dyDescent="0.2">
      <c r="A221" s="14" t="s">
        <v>80</v>
      </c>
      <c r="B221" s="14">
        <v>4</v>
      </c>
      <c r="C221" s="17" t="s">
        <v>267</v>
      </c>
      <c r="D221" s="14" t="str">
        <f ca="1">IFERROR(__xludf.DUMMYFUNCTION("GOOGLETRANSLATE(C221,""en"", ""fr"")"),"Sain - pas besoin")</f>
        <v>Sain - pas besoin</v>
      </c>
    </row>
    <row r="222" spans="1:4" ht="15.75" customHeight="1" x14ac:dyDescent="0.2">
      <c r="A222" s="14" t="s">
        <v>80</v>
      </c>
      <c r="B222" s="14">
        <v>5</v>
      </c>
      <c r="C222" s="17" t="s">
        <v>268</v>
      </c>
      <c r="D222" s="14" t="str">
        <f ca="1">IFERROR(__xludf.DUMMYFUNCTION("GOOGLETRANSLATE(C222,""en"", ""fr"")"),"Non mobile (lié au lit / handicapé)")</f>
        <v>Non mobile (lié au lit / handicapé)</v>
      </c>
    </row>
    <row r="223" spans="1:4" ht="15.75" customHeight="1" x14ac:dyDescent="0.2">
      <c r="A223" s="14" t="s">
        <v>80</v>
      </c>
      <c r="B223" s="14">
        <v>6</v>
      </c>
      <c r="C223" s="17" t="s">
        <v>269</v>
      </c>
      <c r="D223" s="14" t="str">
        <f ca="1">IFERROR(__xludf.DUMMYFUNCTION("GOOGLETRANSLATE(C223,""en"", ""fr"")"),"Problèmes de sécurité")</f>
        <v>Problèmes de sécurité</v>
      </c>
    </row>
    <row r="224" spans="1:4" ht="15.75" customHeight="1" x14ac:dyDescent="0.2">
      <c r="A224" s="14" t="s">
        <v>80</v>
      </c>
      <c r="B224" s="14">
        <v>7</v>
      </c>
      <c r="C224" s="17" t="s">
        <v>270</v>
      </c>
      <c r="D224" s="14" t="str">
        <f ca="1">IFERROR(__xludf.DUMMYFUNCTION("GOOGLETRANSLATE(C224,""en"", ""fr"")"),"Préférez les guérisseurs traditionnels")</f>
        <v>Préférez les guérisseurs traditionnels</v>
      </c>
    </row>
    <row r="225" spans="1:4" ht="15.75" customHeight="1" x14ac:dyDescent="0.2">
      <c r="A225" s="14" t="s">
        <v>80</v>
      </c>
      <c r="B225" s="14">
        <v>8</v>
      </c>
      <c r="C225" s="17" t="s">
        <v>271</v>
      </c>
      <c r="D225" s="14" t="str">
        <f ca="1">IFERROR(__xludf.DUMMYFUNCTION("GOOGLETRANSLATE(C225,""en"", ""fr"")"),"Préférer les remèdes maison/automédication")</f>
        <v>Préférer les remèdes maison/automédication</v>
      </c>
    </row>
    <row r="226" spans="1:4" ht="15.75" customHeight="1" x14ac:dyDescent="0.2">
      <c r="A226" s="14" t="s">
        <v>80</v>
      </c>
      <c r="B226" s="14">
        <v>9</v>
      </c>
      <c r="C226" s="17" t="s">
        <v>163</v>
      </c>
      <c r="D226" s="14" t="str">
        <f ca="1">IFERROR(__xludf.DUMMYFUNCTION("GOOGLETRANSLATE(C226,""en"", ""fr"")"),"Autre")</f>
        <v>Autre</v>
      </c>
    </row>
    <row r="227" spans="1:4" ht="15.75" customHeight="1" x14ac:dyDescent="0.2"/>
    <row r="228" spans="1:4" ht="15.75" customHeight="1" x14ac:dyDescent="0.2"/>
    <row r="229" spans="1:4" ht="15.75" customHeight="1" x14ac:dyDescent="0.2">
      <c r="A229" s="14" t="s">
        <v>85</v>
      </c>
      <c r="B229" s="14">
        <v>1</v>
      </c>
      <c r="C229" s="17" t="s">
        <v>272</v>
      </c>
      <c r="D229" s="18" t="str">
        <f ca="1">IFERROR(__xludf.DUMMYFUNCTION("GOOGLETRANSLATE(C229,""en"", ""fr"")"),"Diabète")</f>
        <v>Diabète</v>
      </c>
    </row>
    <row r="230" spans="1:4" ht="15.75" customHeight="1" x14ac:dyDescent="0.2">
      <c r="A230" s="14" t="s">
        <v>85</v>
      </c>
      <c r="B230" s="14">
        <v>2</v>
      </c>
      <c r="C230" s="17" t="s">
        <v>273</v>
      </c>
      <c r="D230" s="14" t="str">
        <f ca="1">IFERROR(__xludf.DUMMYFUNCTION("GOOGLETRANSLATE(C230,""en"", ""fr"")"),"Cardiovasculaire (Cœur)")</f>
        <v>Cardiovasculaire (Cœur)</v>
      </c>
    </row>
    <row r="231" spans="1:4" ht="15.75" customHeight="1" x14ac:dyDescent="0.2">
      <c r="A231" s="14" t="s">
        <v>85</v>
      </c>
      <c r="B231" s="14">
        <v>3</v>
      </c>
      <c r="C231" s="17" t="s">
        <v>274</v>
      </c>
      <c r="D231" s="14" t="str">
        <f ca="1">IFERROR(__xludf.DUMMYFUNCTION("GOOGLETRANSLATE(C231,""en"", ""fr"")"),"Hypertension")</f>
        <v>Hypertension</v>
      </c>
    </row>
    <row r="232" spans="1:4" ht="15.75" customHeight="1" x14ac:dyDescent="0.2">
      <c r="A232" s="14" t="s">
        <v>85</v>
      </c>
      <c r="B232" s="14">
        <v>4</v>
      </c>
      <c r="C232" s="17" t="s">
        <v>275</v>
      </c>
      <c r="D232" s="14" t="str">
        <f ca="1">IFERROR(__xludf.DUMMYFUNCTION("GOOGLETRANSLATE(C232,""en"", ""fr"")"),"Problème rénal chronique")</f>
        <v>Problème rénal chronique</v>
      </c>
    </row>
    <row r="233" spans="1:4" ht="15.75" customHeight="1" x14ac:dyDescent="0.2">
      <c r="A233" s="14" t="s">
        <v>85</v>
      </c>
      <c r="B233" s="14">
        <v>5</v>
      </c>
      <c r="C233" s="17" t="s">
        <v>276</v>
      </c>
      <c r="D233" s="14" t="str">
        <f ca="1">IFERROR(__xludf.DUMMYFUNCTION("GOOGLETRANSLATE(C233,""en"", ""fr"")"),"Problèmes respiratoires (asthme, infection pulmonaire)")</f>
        <v>Problèmes respiratoires (asthme, infection pulmonaire)</v>
      </c>
    </row>
    <row r="234" spans="1:4" ht="15.75" customHeight="1" x14ac:dyDescent="0.2">
      <c r="A234" s="14" t="s">
        <v>85</v>
      </c>
      <c r="B234" s="14">
        <v>6</v>
      </c>
      <c r="C234" s="17" t="s">
        <v>277</v>
      </c>
      <c r="D234" s="14" t="str">
        <f ca="1">IFERROR(__xludf.DUMMYFUNCTION("GOOGLETRANSLATE(C234,""en"", ""fr"")"),"Arthrite")</f>
        <v>Arthrite</v>
      </c>
    </row>
    <row r="235" spans="1:4" ht="15.75" customHeight="1" x14ac:dyDescent="0.2">
      <c r="A235" s="14" t="s">
        <v>85</v>
      </c>
      <c r="B235" s="14">
        <v>7</v>
      </c>
      <c r="C235" s="17" t="s">
        <v>278</v>
      </c>
      <c r="D235" s="14" t="str">
        <f ca="1">IFERROR(__xludf.DUMMYFUNCTION("GOOGLETRANSLATE(C235,""en"", ""fr"")"),"Cancer")</f>
        <v>Cancer</v>
      </c>
    </row>
    <row r="236" spans="1:4" ht="15.75" customHeight="1" x14ac:dyDescent="0.2">
      <c r="A236" s="14" t="s">
        <v>85</v>
      </c>
      <c r="B236" s="14">
        <v>8</v>
      </c>
      <c r="C236" s="17" t="s">
        <v>279</v>
      </c>
      <c r="D236" s="14" t="str">
        <f ca="1">IFERROR(__xludf.DUMMYFUNCTION("GOOGLETRANSLATE(C236,""en"", ""fr"")"),"Santé mentale (dépression, etc.)")</f>
        <v>Santé mentale (dépression, etc.)</v>
      </c>
    </row>
    <row r="237" spans="1:4" ht="15.75" customHeight="1" x14ac:dyDescent="0.2">
      <c r="A237" s="14" t="s">
        <v>85</v>
      </c>
      <c r="B237" s="14">
        <v>9</v>
      </c>
      <c r="C237" s="17" t="s">
        <v>163</v>
      </c>
      <c r="D237" s="14" t="str">
        <f ca="1">IFERROR(__xludf.DUMMYFUNCTION("GOOGLETRANSLATE(C237,""en"", ""fr"")"),"Autre")</f>
        <v>Autre</v>
      </c>
    </row>
    <row r="238" spans="1:4" ht="15.75" customHeight="1" x14ac:dyDescent="0.2">
      <c r="A238" s="14" t="s">
        <v>85</v>
      </c>
      <c r="B238" s="14">
        <v>10</v>
      </c>
      <c r="C238" s="17" t="s">
        <v>212</v>
      </c>
      <c r="D238" s="14" t="str">
        <f ca="1">IFERROR(__xludf.DUMMYFUNCTION("GOOGLETRANSLATE(C238,""en"", ""fr"")"),"N'est pas applicable")</f>
        <v>N'est pas applicable</v>
      </c>
    </row>
    <row r="239" spans="1:4" ht="15.75" customHeight="1" x14ac:dyDescent="0.2">
      <c r="A239" s="14" t="s">
        <v>85</v>
      </c>
      <c r="B239" s="14">
        <v>11</v>
      </c>
      <c r="C239" s="17" t="s">
        <v>152</v>
      </c>
      <c r="D239" s="14" t="str">
        <f ca="1">IFERROR(__xludf.DUMMYFUNCTION("GOOGLETRANSLATE(C239,""en"", ""fr"")"),"Je ne sais pas")</f>
        <v>Je ne sais pas</v>
      </c>
    </row>
    <row r="240" spans="1:4" ht="15.75" customHeight="1" x14ac:dyDescent="0.2"/>
    <row r="241" spans="1:4" ht="15.75" customHeight="1" x14ac:dyDescent="0.2"/>
    <row r="242" spans="1:4" ht="15.75" customHeight="1" x14ac:dyDescent="0.2">
      <c r="A242" s="14" t="s">
        <v>280</v>
      </c>
      <c r="B242" s="14">
        <v>1</v>
      </c>
      <c r="C242" s="17" t="s">
        <v>281</v>
      </c>
      <c r="D242" s="14" t="str">
        <f ca="1">IFERROR(__xludf.DUMMYFUNCTION("GOOGLETRANSLATE(C242,""en"", ""fr"")"),"Auto-acheté")</f>
        <v>Auto-acheté</v>
      </c>
    </row>
    <row r="243" spans="1:4" ht="15.75" customHeight="1" x14ac:dyDescent="0.2">
      <c r="A243" s="14" t="s">
        <v>280</v>
      </c>
      <c r="B243" s="14">
        <v>2</v>
      </c>
      <c r="C243" s="17" t="s">
        <v>282</v>
      </c>
      <c r="D243" s="14" t="str">
        <f ca="1">IFERROR(__xludf.DUMMYFUNCTION("GOOGLETRANSLATE(C243,""en"", ""fr"")"),"Fourni par l'employeur")</f>
        <v>Fourni par l'employeur</v>
      </c>
    </row>
    <row r="244" spans="1:4" ht="15.75" customHeight="1" x14ac:dyDescent="0.2">
      <c r="A244" s="14" t="s">
        <v>280</v>
      </c>
      <c r="B244" s="14">
        <v>3</v>
      </c>
      <c r="C244" s="17" t="s">
        <v>283</v>
      </c>
      <c r="D244" s="14" t="str">
        <f ca="1">IFERROR(__xludf.DUMMYFUNCTION("GOOGLETRANSLATE(C244,""en"", ""fr"")"),"Fourni par un organisme communautaire/ONG")</f>
        <v>Fourni par un organisme communautaire/ONG</v>
      </c>
    </row>
    <row r="245" spans="1:4" ht="15.75" customHeight="1" x14ac:dyDescent="0.2">
      <c r="A245" s="14" t="s">
        <v>280</v>
      </c>
      <c r="B245" s="14">
        <v>4</v>
      </c>
      <c r="C245" s="17" t="s">
        <v>284</v>
      </c>
      <c r="D245" s="14" t="str">
        <f ca="1">IFERROR(__xludf.DUMMYFUNCTION("GOOGLETRANSLATE(C245,""en"", ""fr"")"),"Disponible via un produit bancaire/financier")</f>
        <v>Disponible via un produit bancaire/financier</v>
      </c>
    </row>
    <row r="246" spans="1:4" ht="15.75" customHeight="1" x14ac:dyDescent="0.2">
      <c r="A246" s="14" t="s">
        <v>280</v>
      </c>
      <c r="B246" s="14">
        <v>5</v>
      </c>
      <c r="C246" s="17" t="s">
        <v>163</v>
      </c>
      <c r="D246" s="14" t="str">
        <f ca="1">IFERROR(__xludf.DUMMYFUNCTION("GOOGLETRANSLATE(C246,""en"", ""fr"")"),"Autre")</f>
        <v>Autre</v>
      </c>
    </row>
    <row r="247" spans="1:4" ht="15.75" customHeight="1" x14ac:dyDescent="0.2">
      <c r="A247" s="14" t="s">
        <v>280</v>
      </c>
      <c r="B247" s="14">
        <v>6</v>
      </c>
      <c r="C247" s="17" t="s">
        <v>212</v>
      </c>
      <c r="D247" s="14" t="str">
        <f ca="1">IFERROR(__xludf.DUMMYFUNCTION("GOOGLETRANSLATE(C247,""en"", ""fr"")"),"N'est pas applicable")</f>
        <v>N'est pas applicable</v>
      </c>
    </row>
    <row r="248" spans="1:4" ht="15.75" customHeight="1" x14ac:dyDescent="0.2">
      <c r="A248" s="14" t="s">
        <v>280</v>
      </c>
      <c r="B248" s="14">
        <v>7</v>
      </c>
      <c r="C248" s="17" t="s">
        <v>152</v>
      </c>
      <c r="D248" s="14" t="str">
        <f ca="1">IFERROR(__xludf.DUMMYFUNCTION("GOOGLETRANSLATE(C248,""en"", ""fr"")"),"Je ne sais pas")</f>
        <v>Je ne sais pas</v>
      </c>
    </row>
    <row r="249" spans="1:4" ht="15.75" customHeight="1" x14ac:dyDescent="0.2"/>
    <row r="250" spans="1:4" ht="15.75" customHeight="1" x14ac:dyDescent="0.2"/>
    <row r="251" spans="1:4" ht="15.75" customHeight="1" x14ac:dyDescent="0.2">
      <c r="A251" s="14" t="s">
        <v>285</v>
      </c>
      <c r="B251" s="14">
        <v>1</v>
      </c>
      <c r="C251" s="17" t="s">
        <v>286</v>
      </c>
      <c r="D251" s="14" t="str">
        <f ca="1">IFERROR(__xludf.DUMMYFUNCTION("GOOGLETRANSLATE(C251,""en"", ""fr"")"),"Je ne peux pas me permettre")</f>
        <v>Je ne peux pas me permettre</v>
      </c>
    </row>
    <row r="252" spans="1:4" ht="15.75" customHeight="1" x14ac:dyDescent="0.2">
      <c r="A252" s="14" t="s">
        <v>285</v>
      </c>
      <c r="B252" s="14">
        <v>2</v>
      </c>
      <c r="C252" s="17" t="s">
        <v>287</v>
      </c>
      <c r="D252" s="14" t="str">
        <f ca="1">IFERROR(__xludf.DUMMYFUNCTION("GOOGLETRANSLATE(C252,""en"", ""fr"")"),"Pas intéressé")</f>
        <v>Pas intéressé</v>
      </c>
    </row>
    <row r="253" spans="1:4" ht="15.75" customHeight="1" x14ac:dyDescent="0.2">
      <c r="A253" s="14" t="s">
        <v>285</v>
      </c>
      <c r="B253" s="14">
        <v>3</v>
      </c>
      <c r="C253" s="17" t="s">
        <v>288</v>
      </c>
      <c r="D253" s="14" t="str">
        <f ca="1">IFERROR(__xludf.DUMMYFUNCTION("GOOGLETRANSLATE(C253,""en"", ""fr"")"),"Pas besoin")</f>
        <v>Pas besoin</v>
      </c>
    </row>
    <row r="254" spans="1:4" ht="15.75" customHeight="1" x14ac:dyDescent="0.2">
      <c r="A254" s="14" t="s">
        <v>285</v>
      </c>
      <c r="B254" s="14">
        <v>4</v>
      </c>
      <c r="C254" s="17" t="s">
        <v>289</v>
      </c>
      <c r="D254" s="14" t="str">
        <f ca="1">IFERROR(__xludf.DUMMYFUNCTION("GOOGLETRANSLATE(C254,""en"", ""fr"")"),"Aucun établissement de santé disponible dans la région")</f>
        <v>Aucun établissement de santé disponible dans la région</v>
      </c>
    </row>
    <row r="255" spans="1:4" ht="15.75" customHeight="1" x14ac:dyDescent="0.2">
      <c r="A255" s="14" t="s">
        <v>285</v>
      </c>
      <c r="B255" s="14">
        <v>5</v>
      </c>
      <c r="C255" s="17" t="s">
        <v>163</v>
      </c>
      <c r="D255" s="14" t="str">
        <f ca="1">IFERROR(__xludf.DUMMYFUNCTION("GOOGLETRANSLATE(C255,""en"", ""fr"")"),"Autre")</f>
        <v>Autre</v>
      </c>
    </row>
    <row r="256" spans="1:4" ht="15.75" customHeight="1" x14ac:dyDescent="0.2">
      <c r="A256" s="14" t="s">
        <v>285</v>
      </c>
      <c r="B256" s="14">
        <v>6</v>
      </c>
      <c r="C256" s="17" t="s">
        <v>212</v>
      </c>
      <c r="D256" s="14" t="str">
        <f ca="1">IFERROR(__xludf.DUMMYFUNCTION("GOOGLETRANSLATE(C256,""en"", ""fr"")"),"N'est pas applicable")</f>
        <v>N'est pas applicable</v>
      </c>
    </row>
    <row r="257" spans="1:4" ht="15.75" customHeight="1" x14ac:dyDescent="0.2">
      <c r="A257" s="14" t="s">
        <v>285</v>
      </c>
      <c r="B257" s="14">
        <v>7</v>
      </c>
      <c r="C257" s="17" t="s">
        <v>152</v>
      </c>
      <c r="D257" s="14" t="str">
        <f ca="1">IFERROR(__xludf.DUMMYFUNCTION("GOOGLETRANSLATE(C257,""en"", ""fr"")"),"Je ne sais pas")</f>
        <v>Je ne sais pas</v>
      </c>
    </row>
    <row r="258" spans="1:4" ht="15.75" customHeight="1" x14ac:dyDescent="0.2"/>
    <row r="259" spans="1:4" ht="15.75" customHeight="1" x14ac:dyDescent="0.2"/>
    <row r="260" spans="1:4" ht="15.75" customHeight="1" x14ac:dyDescent="0.2">
      <c r="A260" s="14" t="s">
        <v>290</v>
      </c>
      <c r="B260" s="14">
        <v>1</v>
      </c>
      <c r="C260" s="17" t="s">
        <v>291</v>
      </c>
      <c r="D260" s="14" t="str">
        <f ca="1">IFERROR(__xludf.DUMMYFUNCTION("GOOGLETRANSLATE(C260,""en"", ""fr"")"),"Enfant spécial")</f>
        <v>Enfant spécial</v>
      </c>
    </row>
    <row r="261" spans="1:4" ht="15.75" customHeight="1" x14ac:dyDescent="0.2">
      <c r="A261" s="14" t="s">
        <v>290</v>
      </c>
      <c r="B261" s="14">
        <v>2</v>
      </c>
      <c r="C261" s="17" t="s">
        <v>292</v>
      </c>
      <c r="D261" s="14" t="str">
        <f ca="1">IFERROR(__xludf.DUMMYFUNCTION("GOOGLETRANSLATE(C261,""en"", ""fr"")"),"Handicap de naissance")</f>
        <v>Handicap de naissance</v>
      </c>
    </row>
    <row r="262" spans="1:4" ht="15.75" customHeight="1" x14ac:dyDescent="0.2">
      <c r="A262" s="14" t="s">
        <v>290</v>
      </c>
      <c r="B262" s="14">
        <v>3</v>
      </c>
      <c r="C262" s="17" t="s">
        <v>293</v>
      </c>
      <c r="D262" s="14" t="str">
        <f ca="1">IFERROR(__xludf.DUMMYFUNCTION("GOOGLETRANSLATE(C262,""en"", ""fr"")"),"Physique (y compris polio, visuel, auditif, parole)")</f>
        <v>Physique (y compris polio, visuel, auditif, parole)</v>
      </c>
    </row>
    <row r="263" spans="1:4" ht="15.75" customHeight="1" x14ac:dyDescent="0.2">
      <c r="A263" s="14" t="s">
        <v>290</v>
      </c>
      <c r="B263" s="14">
        <v>4</v>
      </c>
      <c r="C263" s="17" t="s">
        <v>294</v>
      </c>
      <c r="D263" s="14" t="str">
        <f ca="1">IFERROR(__xludf.DUMMYFUNCTION("GOOGLETRANSLATE(C263,""en"", ""fr"")"),"Psychologique")</f>
        <v>Psychologique</v>
      </c>
    </row>
    <row r="264" spans="1:4" ht="15.75" customHeight="1" x14ac:dyDescent="0.2">
      <c r="A264" s="14" t="s">
        <v>290</v>
      </c>
      <c r="B264" s="14">
        <v>5</v>
      </c>
      <c r="C264" s="17" t="s">
        <v>163</v>
      </c>
      <c r="D264" s="14" t="str">
        <f ca="1">IFERROR(__xludf.DUMMYFUNCTION("GOOGLETRANSLATE(C264,""en"", ""fr"")"),"Autre")</f>
        <v>Autre</v>
      </c>
    </row>
    <row r="265" spans="1:4" ht="15.75" customHeight="1" x14ac:dyDescent="0.2">
      <c r="A265" s="14" t="s">
        <v>290</v>
      </c>
      <c r="B265" s="14">
        <v>6</v>
      </c>
      <c r="C265" s="17" t="s">
        <v>152</v>
      </c>
      <c r="D265" s="14" t="str">
        <f ca="1">IFERROR(__xludf.DUMMYFUNCTION("GOOGLETRANSLATE(C265,""en"", ""fr"")"),"Je ne sais pas")</f>
        <v>Je ne sais pas</v>
      </c>
    </row>
    <row r="266" spans="1:4" ht="15.75" customHeight="1" x14ac:dyDescent="0.2"/>
    <row r="267" spans="1:4" ht="15.75" customHeight="1" x14ac:dyDescent="0.2"/>
    <row r="268" spans="1:4" ht="15.75" customHeight="1" x14ac:dyDescent="0.2">
      <c r="A268" s="14" t="s">
        <v>295</v>
      </c>
      <c r="B268" s="14">
        <v>1</v>
      </c>
      <c r="C268" s="17" t="s">
        <v>296</v>
      </c>
      <c r="D268" s="14" t="str">
        <f ca="1">IFERROR(__xludf.DUMMYFUNCTION("GOOGLETRANSLATE(C268,""en"", ""fr"")"),"Aucune différence")</f>
        <v>Aucune différence</v>
      </c>
    </row>
    <row r="269" spans="1:4" ht="15.75" customHeight="1" x14ac:dyDescent="0.2">
      <c r="A269" s="14" t="s">
        <v>295</v>
      </c>
      <c r="B269" s="14">
        <v>2</v>
      </c>
      <c r="C269" s="17" t="s">
        <v>297</v>
      </c>
      <c r="D269" s="14" t="str">
        <f ca="1">IFERROR(__xludf.DUMMYFUNCTION("GOOGLETRANSLATE(C269,""en"", ""fr"")"),"Rarement")</f>
        <v>Rarement</v>
      </c>
    </row>
    <row r="270" spans="1:4" ht="15.75" customHeight="1" x14ac:dyDescent="0.2">
      <c r="A270" s="14" t="s">
        <v>295</v>
      </c>
      <c r="B270" s="14">
        <v>3</v>
      </c>
      <c r="C270" s="17" t="s">
        <v>298</v>
      </c>
      <c r="D270" s="14" t="str">
        <f ca="1">IFERROR(__xludf.DUMMYFUNCTION("GOOGLETRANSLATE(C270,""en"", ""fr"")"),"Impossible de participer")</f>
        <v>Impossible de participer</v>
      </c>
    </row>
    <row r="271" spans="1:4" ht="15.75" customHeight="1" x14ac:dyDescent="0.2">
      <c r="A271" s="14" t="s">
        <v>295</v>
      </c>
      <c r="B271" s="14">
        <v>4</v>
      </c>
      <c r="C271" s="17" t="s">
        <v>152</v>
      </c>
      <c r="D271" s="14" t="str">
        <f ca="1">IFERROR(__xludf.DUMMYFUNCTION("GOOGLETRANSLATE(C271,""en"", ""fr"")"),"Je ne sais pas")</f>
        <v>Je ne sais pas</v>
      </c>
    </row>
    <row r="272" spans="1:4" ht="15.75" customHeight="1" x14ac:dyDescent="0.2"/>
    <row r="273" spans="1:4" ht="15.75" customHeight="1" x14ac:dyDescent="0.2"/>
    <row r="274" spans="1:4" ht="15.75" customHeight="1" x14ac:dyDescent="0.2">
      <c r="A274" s="14" t="s">
        <v>299</v>
      </c>
      <c r="B274" s="14">
        <v>1</v>
      </c>
      <c r="C274" s="17" t="s">
        <v>249</v>
      </c>
      <c r="D274" s="14" t="str">
        <f ca="1">IFERROR(__xludf.DUMMYFUNCTION("GOOGLETRANSLATE(C274,""en"", ""fr"")"),"1 - 3")</f>
        <v>1 - 3</v>
      </c>
    </row>
    <row r="275" spans="1:4" ht="15.75" customHeight="1" x14ac:dyDescent="0.2">
      <c r="A275" s="14" t="s">
        <v>299</v>
      </c>
      <c r="B275" s="14">
        <v>2</v>
      </c>
      <c r="C275" s="17" t="s">
        <v>300</v>
      </c>
      <c r="D275" s="14" t="str">
        <f ca="1">IFERROR(__xludf.DUMMYFUNCTION("GOOGLETRANSLATE(C275,""en"", ""fr"")"),"4 - 8")</f>
        <v>4 - 8</v>
      </c>
    </row>
    <row r="276" spans="1:4" ht="15.75" customHeight="1" x14ac:dyDescent="0.2">
      <c r="A276" s="14" t="s">
        <v>299</v>
      </c>
      <c r="B276" s="14">
        <v>3</v>
      </c>
      <c r="C276" s="17" t="s">
        <v>301</v>
      </c>
      <c r="D276" s="14" t="str">
        <f ca="1">IFERROR(__xludf.DUMMYFUNCTION("GOOGLETRANSLATE(C276,""en"", ""fr"")"),"9 - 12")</f>
        <v>9 - 12</v>
      </c>
    </row>
    <row r="277" spans="1:4" ht="15.75" customHeight="1" x14ac:dyDescent="0.2">
      <c r="A277" s="14" t="s">
        <v>299</v>
      </c>
      <c r="B277" s="14">
        <v>4</v>
      </c>
      <c r="C277" s="17" t="s">
        <v>302</v>
      </c>
      <c r="D277" s="14" t="str">
        <f ca="1">IFERROR(__xludf.DUMMYFUNCTION("GOOGLETRANSLATE(C277,""en"", ""fr"")"),"Plus de 13")</f>
        <v>Plus de 13</v>
      </c>
    </row>
    <row r="278" spans="1:4" ht="15.75" customHeight="1" x14ac:dyDescent="0.2">
      <c r="A278" s="14" t="s">
        <v>299</v>
      </c>
      <c r="B278" s="14">
        <v>5</v>
      </c>
      <c r="C278" s="17" t="s">
        <v>152</v>
      </c>
      <c r="D278" s="14" t="str">
        <f ca="1">IFERROR(__xludf.DUMMYFUNCTION("GOOGLETRANSLATE(C278,""en"", ""fr"")"),"Je ne sais pas")</f>
        <v>Je ne sais pas</v>
      </c>
    </row>
    <row r="279" spans="1:4" ht="15.75" customHeight="1" x14ac:dyDescent="0.2"/>
    <row r="280" spans="1:4" ht="15.75" customHeight="1" x14ac:dyDescent="0.2"/>
    <row r="281" spans="1:4" ht="15.75" customHeight="1" x14ac:dyDescent="0.2">
      <c r="A281" s="14" t="s">
        <v>303</v>
      </c>
      <c r="B281" s="14">
        <v>1</v>
      </c>
      <c r="C281" s="17" t="s">
        <v>304</v>
      </c>
      <c r="D281" s="14" t="str">
        <f ca="1">IFERROR(__xludf.DUMMYFUNCTION("GOOGLETRANSLATE(C281,""en"", ""fr"")"),"N'ont pas le temps")</f>
        <v>N'ont pas le temps</v>
      </c>
    </row>
    <row r="282" spans="1:4" ht="15.75" customHeight="1" x14ac:dyDescent="0.2">
      <c r="A282" s="14" t="s">
        <v>303</v>
      </c>
      <c r="B282" s="14">
        <v>2</v>
      </c>
      <c r="C282" s="17" t="s">
        <v>287</v>
      </c>
      <c r="D282" s="14" t="str">
        <f ca="1">IFERROR(__xludf.DUMMYFUNCTION("GOOGLETRANSLATE(C282,""en"", ""fr"")"),"Pas intéressé")</f>
        <v>Pas intéressé</v>
      </c>
    </row>
    <row r="283" spans="1:4" ht="15.75" customHeight="1" x14ac:dyDescent="0.2">
      <c r="A283" s="14" t="s">
        <v>303</v>
      </c>
      <c r="B283" s="14">
        <v>3</v>
      </c>
      <c r="C283" s="17" t="s">
        <v>305</v>
      </c>
      <c r="D283" s="14" t="str">
        <f ca="1">IFERROR(__xludf.DUMMYFUNCTION("GOOGLETRANSLATE(C283,""en"", ""fr"")"),"Je ne connais pas les programmes")</f>
        <v>Je ne connais pas les programmes</v>
      </c>
    </row>
    <row r="284" spans="1:4" ht="15.75" customHeight="1" x14ac:dyDescent="0.2">
      <c r="A284" s="14" t="s">
        <v>303</v>
      </c>
      <c r="B284" s="14">
        <v>4</v>
      </c>
      <c r="C284" s="17" t="s">
        <v>306</v>
      </c>
      <c r="D284" s="14" t="str">
        <f ca="1">IFERROR(__xludf.DUMMYFUNCTION("GOOGLETRANSLATE(C284,""en"", ""fr"")"),"Je n'ai pas les moyens de payer (frais des participants et/ou frais de transport pour se rendre au lieu du programme)")</f>
        <v>Je n'ai pas les moyens de payer (frais des participants et/ou frais de transport pour se rendre au lieu du programme)</v>
      </c>
    </row>
    <row r="285" spans="1:4" ht="15.75" customHeight="1" x14ac:dyDescent="0.2">
      <c r="A285" s="14" t="s">
        <v>303</v>
      </c>
      <c r="B285" s="14">
        <v>5</v>
      </c>
      <c r="C285" s="17" t="s">
        <v>307</v>
      </c>
      <c r="D285" s="14" t="str">
        <f ca="1">IFERROR(__xludf.DUMMYFUNCTION("GOOGLETRANSLATE(C285,""en"", ""fr"")"),"Handicap / au lit")</f>
        <v>Handicap / au lit</v>
      </c>
    </row>
    <row r="286" spans="1:4" ht="15.75" customHeight="1" x14ac:dyDescent="0.2">
      <c r="A286" s="14" t="s">
        <v>303</v>
      </c>
      <c r="B286" s="14">
        <v>6</v>
      </c>
      <c r="C286" s="17" t="s">
        <v>308</v>
      </c>
      <c r="D286" s="14" t="str">
        <f ca="1">IFERROR(__xludf.DUMMYFUNCTION("GOOGLETRANSLATE(C286,""en"", ""fr"")"),"Occupé dans d'autres activités liées à la maison")</f>
        <v>Occupé dans d'autres activités liées à la maison</v>
      </c>
    </row>
    <row r="287" spans="1:4" ht="15.75" customHeight="1" x14ac:dyDescent="0.2">
      <c r="A287" s="14" t="s">
        <v>303</v>
      </c>
      <c r="B287" s="14">
        <v>7</v>
      </c>
      <c r="C287" s="17" t="s">
        <v>163</v>
      </c>
      <c r="D287" s="14" t="str">
        <f ca="1">IFERROR(__xludf.DUMMYFUNCTION("GOOGLETRANSLATE(C287,""en"", ""fr"")"),"Autre")</f>
        <v>Autre</v>
      </c>
    </row>
    <row r="288" spans="1:4" ht="15.75" customHeight="1" x14ac:dyDescent="0.2"/>
    <row r="289" spans="1:4" ht="15.75" customHeight="1" x14ac:dyDescent="0.2"/>
    <row r="290" spans="1:4" ht="15.75" customHeight="1" x14ac:dyDescent="0.2"/>
    <row r="291" spans="1:4" ht="15.75" customHeight="1" x14ac:dyDescent="0.2">
      <c r="A291" s="14" t="s">
        <v>309</v>
      </c>
      <c r="B291" s="14">
        <v>1</v>
      </c>
      <c r="C291" s="14" t="s">
        <v>310</v>
      </c>
      <c r="D291" s="14" t="str">
        <f ca="1">IFERROR(__xludf.DUMMYFUNCTION("GOOGLETRANSLATE(C291,""en"", ""fr"")"),"Inconnu")</f>
        <v>Inconnu</v>
      </c>
    </row>
    <row r="292" spans="1:4" ht="15.75" customHeight="1" x14ac:dyDescent="0.2">
      <c r="A292" s="14" t="s">
        <v>309</v>
      </c>
      <c r="B292" s="14">
        <v>2</v>
      </c>
      <c r="C292" s="14" t="s">
        <v>311</v>
      </c>
      <c r="D292" s="14" t="str">
        <f ca="1">IFERROR(__xludf.DUMMYFUNCTION("GOOGLETRANSLATE(C292,""en"", ""fr"")"),"Inférieur")</f>
        <v>Inférieur</v>
      </c>
    </row>
    <row r="293" spans="1:4" ht="15.75" customHeight="1" x14ac:dyDescent="0.2">
      <c r="A293" s="14" t="s">
        <v>309</v>
      </c>
      <c r="B293" s="14">
        <v>3</v>
      </c>
      <c r="C293" s="14" t="s">
        <v>311</v>
      </c>
      <c r="D293" s="14" t="str">
        <f ca="1">IFERROR(__xludf.DUMMYFUNCTION("GOOGLETRANSLATE(C293,""en"", ""fr"")"),"Inférieur")</f>
        <v>Inférieur</v>
      </c>
    </row>
    <row r="294" spans="1:4" ht="15.75" customHeight="1" x14ac:dyDescent="0.2">
      <c r="A294" s="14" t="s">
        <v>309</v>
      </c>
      <c r="B294" s="14">
        <v>4</v>
      </c>
      <c r="C294" s="14" t="s">
        <v>312</v>
      </c>
      <c r="D294" s="14" t="str">
        <f ca="1">IFERROR(__xludf.DUMMYFUNCTION("GOOGLETRANSLATE(C294,""en"", ""fr"")"),"Milieu")</f>
        <v>Milieu</v>
      </c>
    </row>
    <row r="295" spans="1:4" ht="15.75" customHeight="1" x14ac:dyDescent="0.2">
      <c r="A295" s="14" t="s">
        <v>309</v>
      </c>
      <c r="B295" s="14">
        <v>5</v>
      </c>
      <c r="C295" s="14" t="s">
        <v>312</v>
      </c>
      <c r="D295" s="14" t="str">
        <f ca="1">IFERROR(__xludf.DUMMYFUNCTION("GOOGLETRANSLATE(C295,""en"", ""fr"")"),"Milieu")</f>
        <v>Milieu</v>
      </c>
    </row>
    <row r="296" spans="1:4" ht="15.75" customHeight="1" x14ac:dyDescent="0.2">
      <c r="A296" s="14" t="s">
        <v>309</v>
      </c>
      <c r="B296" s="14">
        <v>6</v>
      </c>
      <c r="C296" s="14" t="s">
        <v>312</v>
      </c>
      <c r="D296" s="14" t="str">
        <f ca="1">IFERROR(__xludf.DUMMYFUNCTION("GOOGLETRANSLATE(C296,""en"", ""fr"")"),"Milieu")</f>
        <v>Milieu</v>
      </c>
    </row>
    <row r="297" spans="1:4" ht="15.75" customHeight="1" x14ac:dyDescent="0.2">
      <c r="A297" s="14" t="s">
        <v>309</v>
      </c>
      <c r="B297" s="14">
        <v>7</v>
      </c>
      <c r="C297" s="14" t="s">
        <v>313</v>
      </c>
      <c r="D297" s="14" t="str">
        <f ca="1">IFERROR(__xludf.DUMMYFUNCTION("GOOGLETRANSLATE(C297,""en"", ""fr"")"),"Moyenne supérieure")</f>
        <v>Moyenne supérieure</v>
      </c>
    </row>
    <row r="298" spans="1:4" ht="15.75" customHeight="1" x14ac:dyDescent="0.2">
      <c r="A298" s="14" t="s">
        <v>309</v>
      </c>
      <c r="B298" s="14">
        <v>8</v>
      </c>
      <c r="C298" s="14" t="s">
        <v>314</v>
      </c>
      <c r="D298" s="14" t="str">
        <f ca="1">IFERROR(__xludf.DUMMYFUNCTION("GOOGLETRANSLATE(C298,""en"", ""fr"")"),"Supérieur")</f>
        <v>Supérieur</v>
      </c>
    </row>
    <row r="299" spans="1:4" ht="15.75" customHeight="1" x14ac:dyDescent="0.2"/>
    <row r="300" spans="1:4" ht="15.75" customHeight="1" x14ac:dyDescent="0.2"/>
    <row r="301" spans="1:4" ht="15.75" customHeight="1" x14ac:dyDescent="0.2"/>
    <row r="302" spans="1:4" ht="15.75" customHeight="1" x14ac:dyDescent="0.2"/>
    <row r="303" spans="1:4" ht="15.75" customHeight="1" x14ac:dyDescent="0.2"/>
    <row r="304" spans="1: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zoomScale="119" workbookViewId="0">
      <selection activeCell="C2" sqref="C2"/>
    </sheetView>
  </sheetViews>
  <sheetFormatPr baseColWidth="10" defaultColWidth="11.1640625" defaultRowHeight="15" customHeight="1" x14ac:dyDescent="0.2"/>
  <cols>
    <col min="1" max="1" width="20" customWidth="1"/>
    <col min="2" max="2" width="34" customWidth="1"/>
    <col min="3" max="3" width="22.6640625" customWidth="1"/>
    <col min="4" max="26" width="10.5" customWidth="1"/>
  </cols>
  <sheetData>
    <row r="1" spans="1:4" ht="15.75" customHeight="1" x14ac:dyDescent="0.2">
      <c r="A1" s="14" t="s">
        <v>315</v>
      </c>
      <c r="B1" s="14" t="s">
        <v>316</v>
      </c>
      <c r="C1" s="14" t="s">
        <v>317</v>
      </c>
      <c r="D1" s="14" t="s">
        <v>318</v>
      </c>
    </row>
    <row r="2" spans="1:4" ht="15.75" customHeight="1" x14ac:dyDescent="0.2">
      <c r="A2" s="14" t="s">
        <v>319</v>
      </c>
      <c r="B2" s="29" t="s">
        <v>321</v>
      </c>
      <c r="C2" s="30" t="s">
        <v>322</v>
      </c>
    </row>
    <row r="3" spans="1:4" ht="15.75" customHeight="1" x14ac:dyDescent="0.2"/>
    <row r="4" spans="1:4" ht="15.75" customHeight="1" x14ac:dyDescent="0.2"/>
    <row r="5" spans="1:4" ht="15.75" customHeight="1" x14ac:dyDescent="0.2"/>
    <row r="6" spans="1:4" ht="15.75" customHeight="1" x14ac:dyDescent="0.2"/>
    <row r="7" spans="1:4" ht="15.75" customHeight="1" x14ac:dyDescent="0.2"/>
    <row r="8" spans="1:4" ht="15.75" customHeight="1" x14ac:dyDescent="0.2"/>
    <row r="9" spans="1:4" ht="15.75" customHeight="1" x14ac:dyDescent="0.2"/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Sadiq Khoja</cp:lastModifiedBy>
  <dcterms:modified xsi:type="dcterms:W3CDTF">2024-09-27T19:49:40Z</dcterms:modified>
</cp:coreProperties>
</file>