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ne podniky" sheetId="1" r:id="rId4"/>
    <sheet state="visible" name="Zoznam template" sheetId="2" r:id="rId5"/>
    <sheet state="visible" name="Vianoce - Zoznam template" sheetId="3" r:id="rId6"/>
    <sheet state="visible" name="Mapa template" sheetId="4" r:id="rId7"/>
    <sheet state="visible" name="READ ME" sheetId="5" r:id="rId8"/>
    <sheet state="visible" name="ODSTRANENÉ RSP" sheetId="6" r:id="rId9"/>
    <sheet state="visible" name="Tovary a služby" sheetId="7" r:id="rId10"/>
    <sheet state="visible" name="ROZNE INFO k upravam" sheetId="8" r:id="rId11"/>
    <sheet state="visible" name="Štatistika" sheetId="9" r:id="rId12"/>
  </sheets>
  <definedNames>
    <definedName name="GeocodeAddressColumn_Socialnepodniky">'Socialne podniky'!$O$1</definedName>
    <definedName hidden="1" localSheetId="6" name="_xlnm._FilterDatabase">'Tovary a služby'!$A$1:$A$1000</definedName>
  </definedNames>
  <calcPr/>
</workbook>
</file>

<file path=xl/sharedStrings.xml><?xml version="1.0" encoding="utf-8"?>
<sst xmlns="http://schemas.openxmlformats.org/spreadsheetml/2006/main" count="7067" uniqueCount="4484">
  <si>
    <t>Code</t>
  </si>
  <si>
    <t>Číslo</t>
  </si>
  <si>
    <t>Názov sociálneho podniku</t>
  </si>
  <si>
    <t>KRAJ (Tu vkladať dáta)</t>
  </si>
  <si>
    <t>KRAJ</t>
  </si>
  <si>
    <t>KATEGÓRIA (Tu vkladať dáta)</t>
  </si>
  <si>
    <t>KATEGÓRIA</t>
  </si>
  <si>
    <t>POČET ZAMESTNANCOV (Tu vkladať dáta)</t>
  </si>
  <si>
    <t>ZAMESTNANCI</t>
  </si>
  <si>
    <t>INÉ</t>
  </si>
  <si>
    <t>Random</t>
  </si>
  <si>
    <t>Napíšte, čo hľadáte ...</t>
  </si>
  <si>
    <t>Ulica</t>
  </si>
  <si>
    <t>Mesto</t>
  </si>
  <si>
    <t xml:space="preserve">Sídlo RSP </t>
  </si>
  <si>
    <t>Latitude</t>
  </si>
  <si>
    <t>Longitude</t>
  </si>
  <si>
    <t>Profil firmy / Čo ponúkate?</t>
  </si>
  <si>
    <t>Spoločenská prospešnosť</t>
  </si>
  <si>
    <t>Obrázok</t>
  </si>
  <si>
    <t>Link na kartu RSP</t>
  </si>
  <si>
    <t>Telefónne číslo</t>
  </si>
  <si>
    <t>Mailová adresa</t>
  </si>
  <si>
    <t>Názov prevádzkarne 1</t>
  </si>
  <si>
    <t>činnosť prevádzky 1</t>
  </si>
  <si>
    <r>
      <rPr>
        <rFont val="Arial"/>
        <b val="0"/>
        <color theme="1"/>
      </rPr>
      <t xml:space="preserve">Ponuka tovarov a služieb </t>
    </r>
    <r>
      <rPr>
        <rFont val="Arial"/>
        <b/>
        <color theme="1"/>
      </rPr>
      <t>- kľúčové slová 1</t>
    </r>
  </si>
  <si>
    <t>Máte viac prevádzkarní? 2</t>
  </si>
  <si>
    <t>Názov prevádzkarne 2</t>
  </si>
  <si>
    <t>činnosť prevádzky 2</t>
  </si>
  <si>
    <t>Ponuka tovarov a služieb - kľúčové slová 2</t>
  </si>
  <si>
    <t>Máte viac prevádzkarní? 3</t>
  </si>
  <si>
    <t>Názov prevádzkarne 3</t>
  </si>
  <si>
    <t>činnosť prevádzky 3</t>
  </si>
  <si>
    <t>Ponuka tovarov a služieb - kľúčové slová 3</t>
  </si>
  <si>
    <t>Máte viac prevádzkarní? 4</t>
  </si>
  <si>
    <t>Názov prevádzkarne 4</t>
  </si>
  <si>
    <t>činnosť prevádzky 4</t>
  </si>
  <si>
    <t>Ponuka tovarov a služieb - kľúčové slová 4</t>
  </si>
  <si>
    <t>SERVISNE POUKÁŽKY</t>
  </si>
  <si>
    <t>Register partnerov VS</t>
  </si>
  <si>
    <t>Náhradné plnenie</t>
  </si>
  <si>
    <t>SEARCH bez DIAKRITIKY</t>
  </si>
  <si>
    <t>Hidden</t>
  </si>
  <si>
    <t>csvFilterOr(G,I,J)</t>
  </si>
  <si>
    <t>csvFilterOr(I,J)</t>
  </si>
  <si>
    <t>csvFilterOr(J)</t>
  </si>
  <si>
    <t>csvFilterOr</t>
  </si>
  <si>
    <t>StringFilter</t>
  </si>
  <si>
    <t>MapsLat - Hidden - NoFilter</t>
  </si>
  <si>
    <t>MapsLong - Hidden - NoFilter</t>
  </si>
  <si>
    <t>POMÁHAJ a CHRÁŇ, občianske združenie</t>
  </si>
  <si>
    <t>Prešovský kraj</t>
  </si>
  <si>
    <t>zvieratá</t>
  </si>
  <si>
    <t>1 - 5</t>
  </si>
  <si>
    <t xml:space="preserve">Štefánikova 27, 066 01 Humenné </t>
  </si>
  <si>
    <t>Zabezpečujeme zákonný odchyt túlavých zvierat a následnú starostlivosť o ne.</t>
  </si>
  <si>
    <t xml:space="preserve">Chránime zvieratá, životné prostredie, prepájame túto činnosť s trhom práce, na ktorom vyhľadávame znevýhodnené a zraniteľné skupiny obyvateľov, ktorým ponúkame možnosť zamestnania a osobného rozvoja (napr. jeden z našich dobrovoľníkov sa postupne stal zamestnancom a aktuálne študuje kynológiu). </t>
  </si>
  <si>
    <t>https://katalogsp.gov.sk/wp-content/uploads/2021/12/Pomahaj-a-chran-banner1-E-katalog-RSP.jpg</t>
  </si>
  <si>
    <t>https://katalogsp.gov.sk/pomahaj-a-chran-obcianske-zdruzenie/</t>
  </si>
  <si>
    <t>+421 907 100 736</t>
  </si>
  <si>
    <t>tomase.kizak@gmail.com</t>
  </si>
  <si>
    <t>Karanténna stanica Humenské Labky</t>
  </si>
  <si>
    <t>Ponúkame psíkov a mačky.</t>
  </si>
  <si>
    <t>pes, mačka, ochrana zvierat, útulok</t>
  </si>
  <si>
    <t>NIE</t>
  </si>
  <si>
    <t>Krasplast spol. s r.o.</t>
  </si>
  <si>
    <t>Žilinský kraj</t>
  </si>
  <si>
    <t>odpady a recyklácia, auto-moto, iné (tovary a služby)</t>
  </si>
  <si>
    <t>16 - 20</t>
  </si>
  <si>
    <t>Krasňany 285, 013 03 Krasňany</t>
  </si>
  <si>
    <t>Montáž jednoduchých komponentov pre automobilový priemysel,  výroba gázových výrobkov, triedenie a drvenie čistých priemyselných plastov - výroba plastovej drviny, balenie a distribúcia čistiacich a priemyselných rohoží.</t>
  </si>
  <si>
    <t>Zamestnávame zamestnancov so zdravotným znevýhodnením, umožňujeme aj inklúziu občanov s ťažším zdravotným postihnutím v pracovnom procese.</t>
  </si>
  <si>
    <t>https://katalogsp.gov.sk/wp-content/uploads/2022/06/KRASPLAST-3-KatalogSP.jpg</t>
  </si>
  <si>
    <t>https://katalogsp.gov.sk/krasplast-spol-s-r-o/</t>
  </si>
  <si>
    <t>+421 907 822 474</t>
  </si>
  <si>
    <t>krasplast@krasplast.sk</t>
  </si>
  <si>
    <t>Krasplast</t>
  </si>
  <si>
    <t>Montáž jednoduchých komponentov pre automobilový priemysel, výroba gázových výrobkov, triedenie a drvenie čistých plastov - výroba plastovej drviny, balenie a distribúcia čistiacich a priemyselných rohoží</t>
  </si>
  <si>
    <t>plastová drvina, čistiace rohože, priemyselné rohože, ručné operácie, automotive, montáž</t>
  </si>
  <si>
    <t>CNCteam, s.r.o.</t>
  </si>
  <si>
    <t>Trnavský kraj</t>
  </si>
  <si>
    <t>obaly, reklama, iné (tovary a služby), kovovýroba</t>
  </si>
  <si>
    <t>11 - 15</t>
  </si>
  <si>
    <t>Kasárenská 1504/51, 905 01 Senica</t>
  </si>
  <si>
    <t>Tlač, výroba obalov, výroba kartónových krabíc, CNC frézovanie, reklama.</t>
  </si>
  <si>
    <t>Zamestnávame prevažne ľudí s telesným znevýhodnením.</t>
  </si>
  <si>
    <t>https://katalogsp.gov.sk/wp-content/uploads/2022/01/ekatalog_podnikanie-so-srdcomRSP.jpg</t>
  </si>
  <si>
    <t>https://katalogsp.gov.sk/cncteam-s-r-o/</t>
  </si>
  <si>
    <t>+421 918 478 195</t>
  </si>
  <si>
    <t>sales@flyteam-sk.com</t>
  </si>
  <si>
    <t>CNCteam</t>
  </si>
  <si>
    <t>Výroba kartónových obalov, reklamná tlač, CNC frézovanie.</t>
  </si>
  <si>
    <t>kartónové krabice, 3D reklama, obaly, kartón, CNC, kovovýroba</t>
  </si>
  <si>
    <t>LAW &amp; POLITICAL SCIENCE AGENCY s.r.o., r. s. p., skratka L&amp;P s.r.o., r. s. p.</t>
  </si>
  <si>
    <t>Bratislavský kraj</t>
  </si>
  <si>
    <t>čistiace a upratovacie služby, ochrana a bezpečnosť, vzdelávanie, účtovníctvo a poradenstvo, kultúra a šport, krása-zdravie-relax, reklama, odevy a obuv, iné (tovary a služby)</t>
  </si>
  <si>
    <t>6 - 10</t>
  </si>
  <si>
    <t>Betliarska 22, 851 07 Bratislava - mestská časť Petržalka</t>
  </si>
  <si>
    <t xml:space="preserve">Patríme medzi stabilné a silné spoločnosti v Slovenskej republike. Svojím portfóliom služieb a ich komplexnosťou sme jedineční a rozumieme korporátnym procesom. Prinášame kvalitné služby, meníme postoje ľudí a zbavujeme ich predsudkov. Prinášame moderný pohľad na sociálne podnikanie a sny o vzájomnej užitočnosti a prospešnosti znevýhodnených a zraniteľných ľudí na otvorenom trhu pretvárame na realitu.
Naše služby sú zamerané na:
- administratívu,
- poradenskú činnosť v oblasti GDPR, BOZP a PO,
- marketing a reklamné predmety,
- potlač predmetov,
- školenia zamestnancov,
- organizovanie eventov a firemných akcií,
- grafické práce a dizajn,
- služby na kľúč.
Transformujeme dobré nápady do atraktívnych produktov a služieb pre našich zákazníkov a partnerov. Budeme poctení, ak si nás zvolíte ako svojho dodávateľa či partnera.
</t>
  </si>
  <si>
    <t xml:space="preserve">Naša spoločnosť je spoločensky prospešná v dvoch smeroch.  Prvý je integračný sociálny podnik, ktorý zamestnáva znevýhodnené a zraniteľné osoby. 
Druhý je všeobecný sociálny podnik, čo je v našom podaní služba pridanej spoločenskej hodnoty, a to v poskytovaní informovanosti pre FO a PO v oblasti integrácie a socializácie ľudí so zdravotným znevýhodnením do spoločenského a pracovného života. 
Uvedená služba je bezplatná a je súčasťou každej našej služby, či už existujúcej alebo novovznikajúcej. Našou snahou je zvyšovať povedomie o vzájomnej prospešnosti a užitočnosti spolupráce medzi zdravou populáciou a populáciou so zdravotným znevýhodnením.  
Pre fyzické osoby je služba zameraná na:
a) 	oboznámenie sa s možnosťami uplatnenia sa na trhu práce,
b) 	získanie podpory formou kompenzácií v súkromnom a pracovnom živote,
c) 	analýzu stavu fyzických osôb, či spĺňajú podmienky aby mali nárok na body a) a b); ide napríklad o možnosti získania kompenzácií na osobnú asistenciu, kompenzačné pomôcky, napr. invalidný vozík, PC, multifunkčné zariadenie, výcvik s pomôckou, kúpu osobného automobilu a pod.
Pre právnické osoby je služba zameraná na:
a) 	oboznámenie sa s možnosťami uplatnenia integrácie a socializácie ľudí so zdravotným znevýhodnením na trhu práce,
b) 	získanie podpory formou kompenzácií v pracovnom živote,
c) 	analýza stavu právnických osôb, či spĺňajú podmienky aby mali nárok na body a) a b); ide napríklad o možnosti získania kompenzácií na pracovnú asistenciu, tvorbu pracovných miest, bezbariérovosť pracovísk a pod.
</t>
  </si>
  <si>
    <t>https://katalogsp.gov.sk/wp-content/uploads/2021/12/LP-logo1-E-katalog-RSP.jpg</t>
  </si>
  <si>
    <t>https://katalogsp.gov.sk/law-political-science-agency-s-r-o-r-s-p-skratka-lp-s-r-o-r-s-p/</t>
  </si>
  <si>
    <t>+421 948 434 088</t>
  </si>
  <si>
    <t>office@lpsa.sk</t>
  </si>
  <si>
    <t>LAW &amp; POLITICAL SCIENCE AGENCY s.r.o., r. s. p. , skratka L&amp;P s.r.o., r. s .p.</t>
  </si>
  <si>
    <t xml:space="preserve">Integračný sociálny podnik sa zameriava na poskytovanie komerčných služieb, ako:
- aAdministratíva,
- grafické práce,
- oOrganizovanie eventov, firemných akcií,
- šŠkolenia a mentoring,
- 	BOZP a P,O 
- ochrana osobných údajov GDPR
- potlač predmetov,
- poradenstvo v oblasti zamestnávania znevýhodnených uchádzačov o zamestnanie
</t>
  </si>
  <si>
    <t>administratíva, grafika, reklamné predmety, BOZP, GDPR, PO, eventy, firemné akcie, školenia, služby na kľúč, potlač predmetov, poradenstvo, ochranné pracovné pomôcky</t>
  </si>
  <si>
    <t>Lesnica - tradícia Pienin s.r.o., r.s.p.</t>
  </si>
  <si>
    <t>čistiace a upratovacie služby, stavebníctvo</t>
  </si>
  <si>
    <t>Lesnica 26, 065 33 Lesnica</t>
  </si>
  <si>
    <t>Čistiace a upratovacie služby, prípravné práce k realizácii stavby, zimná a letná údržba komunikácií.</t>
  </si>
  <si>
    <t>Sme zamestnávateľom osôb zo zraniteľných skupín a znevýhodnených osôb.</t>
  </si>
  <si>
    <t>https://katalogsp.gov.sk/lesnica-tradicia-pienin-s-r-o-r-s-p/</t>
  </si>
  <si>
    <t>+421 907 923 981</t>
  </si>
  <si>
    <t>lesnica.rsp@gmail.com</t>
  </si>
  <si>
    <t>nemáme</t>
  </si>
  <si>
    <t>čistiace služby, upratovanie, prípravné práce k realizácii stavby, zimná údržba komunikácií, letná údržba komunikácií, prípravné práce, stavba, stavebné práce</t>
  </si>
  <si>
    <t>SVDM s. r. o.</t>
  </si>
  <si>
    <t>vzdelávanie, pre deti, odpady a recyklácia, iné (tovary a služby)</t>
  </si>
  <si>
    <t xml:space="preserve">Ulica Hospodárska 45, 917 01 Trnava </t>
  </si>
  <si>
    <t xml:space="preserve">Primárne sa spoločnosť vo všetkých svojich aktivitách sústredí na podporu cirkulárnej ekonomiky. Prostredníctvom tovarov (bezobalová drogéria), služieb (konzultácie, odborné poradenstvo v oblasti CE), podujatí (kurzy, swapy, prednášky), vzdelávania (verejnosť a školy) a prevádzkovania reuse centier dáva zákazníkom nástroje na udržateľnejší život,  ohľaduplnejší k prírode i k ostatným. </t>
  </si>
  <si>
    <t xml:space="preserve">Spoločenský dopad spočíva v ochrane životného prostredia, vzdelávaní a výchove, rozvoji duchovných a kultúrnych hodnôt a v poskytovaní sociálnej pomoci organizáciám a ľuďom v núdzi. Dopadom je budovanie zodpovednej, uvedomelej a spravodlivej spoločnosti prostredníctvom osvojovania si nových zručností a vedomostí, ako i generovanie sociálneho kapitálu.
</t>
  </si>
  <si>
    <t>https://katalogsp.gov.sk/wp-content/uploads/2021/12/SVDM-banner61-E-katalog-RSP.jpg</t>
  </si>
  <si>
    <t>https://katalogsp.gov.sk/svdm-s-r-o/</t>
  </si>
  <si>
    <t>+421 904 849 122</t>
  </si>
  <si>
    <t>ahoj@baterkaren.sk</t>
  </si>
  <si>
    <t>Baterkáreň</t>
  </si>
  <si>
    <t>Baterkáreň v sebe skrýva bezobalovú drogériu, miesto pre podujatia, vzdelávanie, dobrovoľníctvo a 1. reuse centrum na Slovensku, v ktorom mesačne vrátime do obehu viac ako 1000 ks zdanlivo nepotrebných vecí (oblečenie, knihy, hračky, rastliny, ...).</t>
  </si>
  <si>
    <t xml:space="preserve">bezobalová drogéria, prírodná kozmetika, potreby do domácnosti, sady na tvorenie, konzultácie, poradenstvo, cirkulárna ekonomika, vzdelávanie, kurzy, swapy, second hand, komunita, dobrovoľníctvo, aktivizmus </t>
  </si>
  <si>
    <t>ÁNO</t>
  </si>
  <si>
    <t>Reuse Centrum Back2Life</t>
  </si>
  <si>
    <t>Prevádzka sa zameriava výlučne na kolobeh predmetov. Reuse centrum je miestom, do ktorého môžu zákazníci priniesť nepotrebné, no funkčné predmety a odniesť si predmety prinesené inými zákazníkmi za symbolické príspevky.  Nájdu tu potreby do domácnosti, knihy, hračky, potreby na cestovanie či šport, detské potreby, ...</t>
  </si>
  <si>
    <t>reuse centrum, bazár, cirkulárna ekonomika, z druhej ruky, komunita, knihy, hračky, domácnosť, dom a záhrada, dekorácie, darčeky, ekológia,</t>
  </si>
  <si>
    <t>Obecné služby Nová Bošáca s. r. o.</t>
  </si>
  <si>
    <t>Trenčiansky kraj</t>
  </si>
  <si>
    <t>čistiace a upratovacie služby, poľnohospodárstvo a lesníctvo, stavebníctvo, doprava, ubytovacie a stravovacie služby, odpady a recyklácia, dom a záhrada</t>
  </si>
  <si>
    <t>Nová Bošáca 79, 913 08 Nová Bošáca</t>
  </si>
  <si>
    <t>Ponuka hlavných pracovných činností:
podnikanie v oblasti nakladania s iným ako nebezpečným odpadom, preprava materiálu,
správa bytového a nebytového fondu, stavebné práce, 
diagnostika kanalizačných potrubí a čistenie kanalizačných systémov, služby v poľnohospodárstve, kosenie, mulčovanie, štiepkovanie, orezávanie stromov,  výroba a opracovanie jednoduchých výrobkov z kovu, výroba zastáviek HD, lavičiek, prístreškov,  prevádzkovanie verejných kanalizácií a vodovodov, zemné, výkopové a búracie práce, práce so zvíhacím zariadením, s hydraulickou rukou, oprava verejného osvetlenia, verejného rozhlasu, čistiace a upratovacie služby, údržba budov, prenájom výsuvného rebríka, párty stanov, záhradných pivných setov, prenájom vibračnej dosky, ubytovacie služby, výroba a rozvod tepla, výkon činnosti stavbyvedúceho, kalendár,  cenník služieb, odpady, vzory žiadostí, SMS rozhlas</t>
  </si>
  <si>
    <t>Integrácia občanov so zdravotným znevýhodnením, výkon pracovných činností v prospech občanov obce - verejného záujmu.</t>
  </si>
  <si>
    <t>https://katalogsp.gov.sk/obecne-sluzby-nova-bosaca-s-r-o/</t>
  </si>
  <si>
    <t>+421 902 405 053</t>
  </si>
  <si>
    <t>jan.zucha@nova-bosaca.dcom.sk</t>
  </si>
  <si>
    <t>Obecné služby Nová Bošáca s.r.o.</t>
  </si>
  <si>
    <t>Podnikanie v oblasti nakladania s iným ako nebezpečným odpadom, preprava materiálu, správa bytového a nebytového fondu, stavebné práce, diagnostika kanalizačných potrubí a čistenie kanalizačných systémov, služby v poľnohospodárstve, kosenie, mulčovanie, štiepkovanie, orezávanie stromov, výroba a opracovanie jednoduchých výrobkov z kovu, výroba zastáviek HD, lavičiek, prístreškov, prevádzkovanie verejných kanalizácií, prevádzkovanie verejných vodovodov, zemné, výkopové a búracie práce, práce so zvíhacím zariadením, hydraulickou rukou, oprava verejného osvetlenia, verejného rozhlasu, čistiace a upratovacie služby, údržba budov, prenájom výsuvného rebríka, párty stanov,  záhradných pivných setov, prenájom vibračnej dosky, ubytovacie služby, výroba tepla, rozvod tepla, výkon činnosti stavbyvedúceho</t>
  </si>
  <si>
    <t>stavebná činnosť, zemné práce, búracie práce, kosenie, výroba tepla, správa bytových domov, autobusové zastávky, lavičky, úprava verejných priestranstiev, triedenie odpadov, verejné osvetlenie, verejná zeleň, opravy, kanalizácie</t>
  </si>
  <si>
    <t>MH ASIST, s. r. o.</t>
  </si>
  <si>
    <t>čistiace a upratovacie služby, poľnohospodárstvo a lesníctvo, dom a záhrada, účtovníctvo a poradenstvo, odpady a recyklácia</t>
  </si>
  <si>
    <t xml:space="preserve">Partizánska 1859/33, 038 53 Turany </t>
  </si>
  <si>
    <t xml:space="preserve">Spoločnosť MH ASIST vznikla vo februári 2020, ako spoločnosť, ktorá sa zaoberá lesopestevnou činnosťou (výsadba a ošetrovanie lesa), ako aj upratovacími prácami v rámci regiónu. V tejto dobe sa sústreďujeme na budúcu nosnú činnosť spoločnosti, a to je poskytovanie služieb pri spracovaní a zhodnocovaní BRO a BRKO ( biologicky rozložiteľné a kuchynské odpady) formou edukácie, zabezpečenia technologického zázemia, ale aj reálne poskytovanie spracovania vlastnou technikou. Momentálne pracujeme aj na vybavovaní povolení pre zriadenie ambulantnej kompostárne. </t>
  </si>
  <si>
    <t>Nielen že zamestnávame zraniteľné a znevýhodnené osoby, ale sa snažíme pôsobiť aj poradensky pre ostatné sociálne podniky, nakoľko sme absolvovali schvaľovací proces v rámci výzvy INVESTIČNÁ POMOC PRE SOCIÁLNE PODNIKY - NENÁVRATNÁ ZLOŽKA a tak isto pôsobiť edukatívne v oblasti ekológie.</t>
  </si>
  <si>
    <t>https://katalogsp.gov.sk/mh-asist-s-r-o/</t>
  </si>
  <si>
    <t>+421 905 393 725</t>
  </si>
  <si>
    <t>mh.asist@gmail.com</t>
  </si>
  <si>
    <t>MH ASIST</t>
  </si>
  <si>
    <t>Lesopestevná činnosť, upratovacie práce, služby pri spracovaní a zhodnocovaní BRO a BRKO, poradenská činnosť pri spracovaní BRO a BRKO a zabezpečovanie technického a technologického zázemia.</t>
  </si>
  <si>
    <t>spracovanie BRO a BRKO, dodávka technológií skladovania a spracovania BRO a BRKO, biologický odpad, odpadové technológie</t>
  </si>
  <si>
    <t>Minifarma s. r. o.</t>
  </si>
  <si>
    <t>cestovný ruch, vzdelávanie, pre deti, zvieratá</t>
  </si>
  <si>
    <t>Lubina 821, 916 12 Lubina</t>
  </si>
  <si>
    <t xml:space="preserve">Spoločnosť Minifarma s.r.o. bola založená v roku 2013. Jej hlavnou podnikateľskou činnosťou je cestovný ruch - prevádzkovanie detského areálu MiniFARMA, mimoškolská vzdelávacia činnosť a organizovanie podujatí. Hlavnou myšlienkou prevádzky Minifarma je poskytnúť deťom a ich rodičom čo najväčší zážitok z priameho kontaktu so zvieratkami v lone krásnej prírody. </t>
  </si>
  <si>
    <t xml:space="preserve">MiniFARMA zamestnáva a bude zamestnávať zraniteľné a znevýhodnené osoby. Ich zamestnávaním spoločnosť sleduje cieľ ich sociálneho začlenenia. MiniFARMA prevádzkuje detský vonkajší areál, zameraný na prezentáciu hospodárskych zvierat a na aktívny oddych rodín v prírode. V neposlednom rade, MiniFARMA organizuje tvorivé dielne,  podujatia a workshopy v spolupráci s remeselníkmi a drobnými živnostníkmi. </t>
  </si>
  <si>
    <t>https://katalogsp.gov.sk/wp-content/uploads/2021/12/MiniFARMA-banner11-E-katalog-RSP.jpg</t>
  </si>
  <si>
    <t>https://katalogsp.gov.sk/minifarma-s-r-o/</t>
  </si>
  <si>
    <t>+421 917 661 263</t>
  </si>
  <si>
    <t>ahoj@minifarma.sk</t>
  </si>
  <si>
    <t>MiniFARMA</t>
  </si>
  <si>
    <t xml:space="preserve">Hlavnou myšlienkou prevádzky MiniFARMA je poskytnúť deťom a ich rodičom čo najväčší zážitok z priameho kontaktu so zvieratkami v lone krásnej prírody. Na priestore presahujúcom jeden hektár žije celoročne viac ako 100 zvierat, ktoré sú jedinečné hlavne malým vzrastom. Zvieratá si návštevníci môžu pozrieť zblízka, kŕmiť, hladkať ich alebo pozorovať, ako sa správajú v ich prirodzenom prostredí. Súčasťou prevádzky sú aj oddychové zóny – lavičky, ihriská, hojdacie siete, či sedacie vaky. Pre návštevníkov sú atraktívne aj pravidelné podujatia, konajúce sa na farme pri rôznych príležitostiach. </t>
  </si>
  <si>
    <t>kontaktná farma, zážitok, výlet, zoo, organizované skupiny</t>
  </si>
  <si>
    <t>Obecné služby Raslavice, s. r. o.</t>
  </si>
  <si>
    <t>poľnohospodárstvo a lesníctvo, stavebníctvo, iné (tovary a služby)</t>
  </si>
  <si>
    <t>21 a viac</t>
  </si>
  <si>
    <t>Hlavná 154, 086 41  Raslavice</t>
  </si>
  <si>
    <t>Stavebná činnosť, autobusová doprava, výkopové práce strojom JCB, pestovanie a predaj zeleniny.</t>
  </si>
  <si>
    <t>Percentom zamestnávania znevýhodnených osôb.</t>
  </si>
  <si>
    <t>https://katalogsp.gov.sk/obecne-sluzby-raslavice-s-r-o/</t>
  </si>
  <si>
    <t>+421 915 546 655,         +421 919 298 899</t>
  </si>
  <si>
    <t>marek.rakos@raslavice.sk, zuzana.vanova@raslavice.sk</t>
  </si>
  <si>
    <t>Obecné služby Raslavice, s.r.o.</t>
  </si>
  <si>
    <t>Stavebná činnosť, výkopové práce, predaj zeleniny.</t>
  </si>
  <si>
    <t>stavebné práce, predaj zeleniny, zemiaky, koreňová zelenina, stavebné práce</t>
  </si>
  <si>
    <t>KNK NAKO, výrobné družstvo</t>
  </si>
  <si>
    <t>Banskobystrický kraj</t>
  </si>
  <si>
    <t>nábytok a bytové doplnky, dom a záhrada, auto-moto, iné (tovary a služby), kovovýroba</t>
  </si>
  <si>
    <t>Sklárska 1958, 962 05 Hriňová</t>
  </si>
  <si>
    <t>Sme tradičný slovenský výrobca nábytkových kovaní a komponentov, ako aj iných výrobkov z ocele, nerezovej ocele, hliníka, odliatkov zo zinkozliatiny alebo plastov pre nábytkársky i automobilový priemysel a iné odvetvia.</t>
  </si>
  <si>
    <t xml:space="preserve">Naša firma je spoločensky prospešná v tom, že zamestnávame znevýhodnené a zraniteľné osoby, aby sa mohli pracovne realizovať, začleniť sa do pracovného prostredia. </t>
  </si>
  <si>
    <t>https://katalogsp.gov.sk/wp-content/uploads/2023/03/KNK-interier-scaled.jpg</t>
  </si>
  <si>
    <t>https://katalogsp.gov.sk/knk-nako-vyrobne-druzstvo/</t>
  </si>
  <si>
    <t>+421 919 077 909</t>
  </si>
  <si>
    <t>knknako@knknako.sk</t>
  </si>
  <si>
    <t>KNK NAKO, výrobné družstvo, registrovaný sociálny podnik</t>
  </si>
  <si>
    <t>Nábytkové kovania, dielce pre automobilový priemysel, kovovýroba.</t>
  </si>
  <si>
    <t>nábytkové kovania, dielce pre automobilový priemysel, kovovýroba, oceľové konštrukcie na školský nábytok, konštrukcie na postele, stoličky, prezentačné stoly, vozíky pre obchodné domy, nákupné vozíky, komponenty na kovové a šatňové skrinky, stĺpiky zábradlí, vetracie kryty strojov</t>
  </si>
  <si>
    <t>AfB Slovakia s. r. o.</t>
  </si>
  <si>
    <t>elektro, počítačová a kancelárska technika</t>
  </si>
  <si>
    <t>Strojárenská 1C, 917 02 Trnava</t>
  </si>
  <si>
    <t>IT-služby a IT–remarketing; AfB je najväčším neziskovým IT-podnikom v Európe, ktorý pôsobí v Nemecku, Rakúsku, Švajčiarsku, Francúzsku a na Slovensku. Od roku 2004 sa AfB špecializuje na preberanie vyradeného hardvéru od spoločností a verejných inštitúcií. Po zadokumentovanom vymazaní dát a zrepasovaní ho opätovne uvádza na trh.
Skĺbenie dvoch najvýznamnejších rozmerov našej činnosti, teda ekologického prínosu a podpory zamestnanosti ľudí so zdravotným znevýhodnením z nás robí jedinečný podnik v oblasti IT na slovenskom trhu. Našim partnerom ponúkame množstvo riešení starostlivosti o ich použitý hardvér, od zberu, cez certifikované mazanie dát, až po jeho odpredaj zamestnancom i podporu neziskových spoločností a organizácií, či charitatívnych projektov podľa ich výberu. Postaráme sa o celý Váš hardvér, odpadnú Vám starosti s jeho likvidáciou, odpredajom alebo mazaním dát.</t>
  </si>
  <si>
    <t>75% zamestnancov tvoria ľudia so zdravotným znevýhodnením, 100% zisku je reinvestovaného do spoločnosti.</t>
  </si>
  <si>
    <t>https://katalogsp.gov.sk/wp-content/uploads/2021/12/AfB-Slovakia-banner2-E-katalog-RSP.jpg</t>
  </si>
  <si>
    <t>https://katalogsp.gov.sk/afb-slovakia-s-r-o/</t>
  </si>
  <si>
    <t>+421 335 532 222</t>
  </si>
  <si>
    <t>info@afb-group.sk</t>
  </si>
  <si>
    <t>AfB Slovakia s.r.o.</t>
  </si>
  <si>
    <t>Renovácia a repasovanie použitého IT hardvéru.</t>
  </si>
  <si>
    <t>Počítače, výpočtová technika, repasácia počítačov</t>
  </si>
  <si>
    <t>Združenie na pomoc ľuďom s mentálnym postihnutím v Slovenskej republike</t>
  </si>
  <si>
    <t>čistiace a upratovacie služby, ubytovacie a stravovacie služby, cestovný ruch, vzdelávanie</t>
  </si>
  <si>
    <t xml:space="preserve">Alstrova 6073/153, 831 06 Bratislava - Rača </t>
  </si>
  <si>
    <t>V rámci podniku prevádzkujeme reštauráciu, ubytovacie zariadenie a práčovňu.</t>
  </si>
  <si>
    <t>Zamestnávame ľudí s mentálnym postihnutím a zaúčame/pripravujeme ľudí s mentálnym postihnutím na zamestnanie na otvorenom trhu práce.</t>
  </si>
  <si>
    <t>https://katalogsp.gov.sk/wp-content/uploads/2021/12/Bivio-logo1-E-katalog-RSP.jpg</t>
  </si>
  <si>
    <t>https://katalogsp.gov.sk/zdruzenie-na-pomoc-ludom-s-mentalnym-postihnutim-v-slovenskej-republike/</t>
  </si>
  <si>
    <t>+421 903 244 553</t>
  </si>
  <si>
    <t>bivio@bivio.sk</t>
  </si>
  <si>
    <t>BIVIO</t>
  </si>
  <si>
    <t>Teplá kuchyňa, studená kuchyňa, catering, ubytovanie, seminárne priestory, práčovňa.</t>
  </si>
  <si>
    <t>reštaurácia, hotel, práčovňa, prenájom priestorov, sociálne poradenstvo</t>
  </si>
  <si>
    <t>Centrum Pointé, n.o.</t>
  </si>
  <si>
    <t>Košický kraj</t>
  </si>
  <si>
    <t>ochrana a bezpečnosť, vzdelávanie, potraviny a nápoje, obaly, reklama, iné (tovary a služby)</t>
  </si>
  <si>
    <t>Pod Horou 476/51, 040 16  Košice-Myslava</t>
  </si>
  <si>
    <t xml:space="preserve">Základnou službou je poskytovanie marketingových a IT aktivít, ktoré sú zamerané aj na priamy predaj tovarov a služieb v závislosti od požiadaviek partnera, v mene ktorého je služba vykonávaná. Našim partnerom tak ponúkame výnimočnú príležitosť zvýšiť svoj predaj a zákaznícku klientelu. Z pohľadu zákazníka sa jedná o jedinečné produkty, ktoré sa oproti bežnej ponuke líšia kvalitatívne, cenovo, zložením alebo kombináciou jednotlivých faktorov.
V súčasnosti spolupracujeme s mobilným operátorom, zdravotnou poisťovňou, výrobcom zariadení pre ochranu seniorov v domácnostiach, ale sme taktiež výhradným dodávateľom zdravých snackov a pochutín. Zároveň tvoríme aj vlastné portfólio zdravej výživy, ktorú sami vyrábame. V IT sektore sa snažíme vybranými spôsobmi podporovať povedomie našich partnerov vytváraním reklamy, online nákupov a prezentácií. 
</t>
  </si>
  <si>
    <t xml:space="preserve">Prioritou je integrácia znevýhodnených, zraniteľných a ZŤP osôb do pracovného procesu. Minimálny pomer takýchto osôb bude 50% všetkých zamestnancov. Okrem pravidelného režimu súvisiaceho s pracovným pomerom a pravidelného príjmu je hlavným pozitívom postupné vzdelávanie, zvyšovanie kvalifikácie a získavanie informácií smerujúcich k možnosti založenia vlastného podnikania. </t>
  </si>
  <si>
    <t>https://katalogsp.gov.sk/centrum-pointe-n-o/</t>
  </si>
  <si>
    <t>+421 948 143 506</t>
  </si>
  <si>
    <t>sabo@centrumpointe.sk</t>
  </si>
  <si>
    <t>Centrum Pointé, n.o., r. s. p.</t>
  </si>
  <si>
    <t>IT, marketing, priamy predaj, zdravý snack, pochutiny, zdravá výživa</t>
  </si>
  <si>
    <t>ADMIX s.r.o. r.s.p.</t>
  </si>
  <si>
    <t>Nitriansky kraj</t>
  </si>
  <si>
    <t>účtovníctvo a poradenstvo, bižutéria a darčekové predmety</t>
  </si>
  <si>
    <t>Poštová 28, 937 01 Želiezovce</t>
  </si>
  <si>
    <t>Výroba darčekových a ozdobných predmetov z korálok; poradenské, účtovnícke a administratívne služby; pomocné práce v domácnosti a záhrade.</t>
  </si>
  <si>
    <t>Ponúkame poradenstvo začínajúcim podnikateľom, často aj z radov nezamestnaných, pomáhame občanom, občianskym združeniam, chráneným dielňam poskytovaním administratívnych a účtovníckych služieb, osobám z etnických menšín, aby sa mohli zaradiť do pracovného procesu a uplatnili sa aj ako živnostníci.
Zároveň sa zaoberáme ručnou výrobou bižutérie a darčekových predmetov z korálok, kde zamestnávame ľudí ťažko uplatniteľných na trhu práce, t.j. osoby nad 50 rokov, absolventov, ZŤP pracovníkov a dlhodobo nezamestnaných.
Prijímame objednávky aj na pomocné práce v domácnosti a v záhrade u odkázaných obyvateľov na výpomoc.</t>
  </si>
  <si>
    <t>https://katalogsp.gov.sk/admix-s-r-o-r-s-p/</t>
  </si>
  <si>
    <t>+421 918 074 888</t>
  </si>
  <si>
    <t>zamecnikova.erika.erika@gmail.com</t>
  </si>
  <si>
    <t>Ručná výroba suvenírov a bižutérie</t>
  </si>
  <si>
    <t>V tejto prevádzke zamestnávame znevýhodnené osoby, ktoré ručne vyrábajú rôzne darčekové a ozdobné predmety z korálok, napr.vianočné ozdoby - anjelikov, čertov, mikulášov, ale aj rôzne zvieratká, prívesky, retiazky, zapichovačky napr.do kytíc a magnetky.</t>
  </si>
  <si>
    <t>ozdoba, darček, figúrka, prívesok, retiazka, magnetka, handmade, suveníry</t>
  </si>
  <si>
    <t>Účtovná kancelária</t>
  </si>
  <si>
    <t>Ponúkame vypracovanie daňových priznaní, účtovné služby, administratívne služby, poradenstvo, pomoc pri vypĺňaní tlačív, zastupovanie na úradoch.</t>
  </si>
  <si>
    <t>daňové priznanie, účtovníctvo a poradenstvo, podnikanie</t>
  </si>
  <si>
    <t>Liana Blahová</t>
  </si>
  <si>
    <t>potraviny a nápoje</t>
  </si>
  <si>
    <t>Diaková 131, 038 02 Diaková</t>
  </si>
  <si>
    <t xml:space="preserve">Predajňa potravín a rozličného tovaru a Pohostinstvo </t>
  </si>
  <si>
    <t>Naše potravinky sú zaujímavé a pre našich zákazníkov atraktívne hlavne tým, že ponúkame každý deň čerstvé pečivo, ovocie a zeleninku, 3-krát do týždňa ponúkame čerstvé zákusky i sezónne darčekové predmety. Pohostinstvo sme prispôsobili hlavne pre mladé rodinky s detičkami, ktorým sme vybudovali ihrisko s hračkami a preliezkami. Okrem mamičiek na MD naše služby oceňujú dôchodcovia, ktorí už nechodia do mesta.</t>
  </si>
  <si>
    <t>https://katalogsp.gov.sk/liana-blahova/</t>
  </si>
  <si>
    <t>+421 905 181 737</t>
  </si>
  <si>
    <t>blahovaliana22@gmail.com</t>
  </si>
  <si>
    <t>Potraviny Blahová Liana</t>
  </si>
  <si>
    <t>Ponúkame denne čerstvé pečivo, ovocie a zeleninu, mäsové a mliečne výrobky, priemyselný tovar, alko a nealko nápoje, čerstvé zákusky a krásne sezónne dekoračné predmety</t>
  </si>
  <si>
    <t>potraviny, rozličný tovar, darčeky, zákusky, priemyselný tovar, dekorácie</t>
  </si>
  <si>
    <t>Poctivý Dražkovský výčap</t>
  </si>
  <si>
    <t>Pivo, víno, alko, nealko nápoje</t>
  </si>
  <si>
    <t>pohostinstvo, potraviny</t>
  </si>
  <si>
    <t xml:space="preserve">VEGAODEVY s. r. o. </t>
  </si>
  <si>
    <t>odevy a obuv</t>
  </si>
  <si>
    <t>A. Hlinku 756/20, 965 01 Žiar nad Hronom</t>
  </si>
  <si>
    <t>Výroba pracovných odevov a predaj OOPP</t>
  </si>
  <si>
    <t>Zamestnávaním zdravotne znevýhodnených osôb.</t>
  </si>
  <si>
    <t>https://katalogsp.gov.sk/wp-content/uploads/2021/12/Vegaodevy-banner21-E-katalog-RSP-1.jpg</t>
  </si>
  <si>
    <t>https://katalogsp.gov.sk/vegaodevy-s-r-o/</t>
  </si>
  <si>
    <t>+421 905 627 466</t>
  </si>
  <si>
    <t>vega@vegaodevy.sk</t>
  </si>
  <si>
    <t>VEGAODEVY s. r. o.</t>
  </si>
  <si>
    <t>Výroba a predaj pracovných odevov a OOPP</t>
  </si>
  <si>
    <t>pracovné odevy, ochranné pracovné prostriedky, pracovná obuv, pracovné rukavice, prilba, okuliare, maska, rúško, respirátor, drogéria</t>
  </si>
  <si>
    <t>Občianske združenie JASENSKÁ DOLINA</t>
  </si>
  <si>
    <t>Belá-Dulice 385, 038 11 Belá-Dulice</t>
  </si>
  <si>
    <t>Uskutočňovanie stavieb a ich zmien, práce v poľnohospodárstve - údržbu verejných priestranstiev.</t>
  </si>
  <si>
    <t>Vytvorením pracovných miest na vykonávanie verejnoprospešných činností, ochranu a tvorbu životného prostredia.</t>
  </si>
  <si>
    <t>https://katalogsp.gov.sk/obcianske-zdruzenie-jasenska-dolina/</t>
  </si>
  <si>
    <t>+421 905 838 999</t>
  </si>
  <si>
    <t>jasenskadolina@gmail.com</t>
  </si>
  <si>
    <t>OZ Jasenská dolina, r.s.p.</t>
  </si>
  <si>
    <t>Pomocné stavebné práce , údržba verejných priestranstiev.</t>
  </si>
  <si>
    <t>zemné práce, kosenie, ochrana životného prostredia</t>
  </si>
  <si>
    <t>Služby Kalná s.r.o., r.s.p.</t>
  </si>
  <si>
    <t>ubytovacie a stravovacie služby, stavebníctvo, potraviny a nápoje, iné (tovary a služby)</t>
  </si>
  <si>
    <t>Červenej armády 55, 935 32 Kalná nad Hronom</t>
  </si>
  <si>
    <t>RSP ponúka zabezpečenie stravovania, upratovacie služby, prevádzkovanie dohľadového pracoviska kamerového systému, stavebné práce, pestovateľské pálenie ovocia, podnikanie v oblasti nakladania s iným ako nebezpečným odpadom.</t>
  </si>
  <si>
    <t>Zamestnávame viac ako 30 percent zraniteľných a znevýhodnených obyvateľov z okolia.</t>
  </si>
  <si>
    <t>https://katalogsp.gov.sk/wp-content/uploads/2021/12/Sluzby-Kalna-main1.jpg</t>
  </si>
  <si>
    <t>https://katalogsp.gov.sk/sluzby-kalna-s-r-o-r-s-p/</t>
  </si>
  <si>
    <t>+421 948 073 770</t>
  </si>
  <si>
    <t>socialnypodnik@kalna.eu</t>
  </si>
  <si>
    <t>Rešti-Ka</t>
  </si>
  <si>
    <t>Zabezpečenie stravy pre seniorov a obyvateľov.</t>
  </si>
  <si>
    <t>reštaurácia</t>
  </si>
  <si>
    <t>Pálen-ka, pestovateľská pálenica</t>
  </si>
  <si>
    <t>Pestovateľské pálenie ovocia.</t>
  </si>
  <si>
    <t>zakladanie kvasu, pálenie ovocia, pálenica</t>
  </si>
  <si>
    <t>Prevádzka dohľadového pracoviska kamerového systému</t>
  </si>
  <si>
    <t>Zabezpečenie ochrany objektov a priestoru v obci Kalná nad Hronom.</t>
  </si>
  <si>
    <t>bezpečnosť</t>
  </si>
  <si>
    <t>Stavebné práce</t>
  </si>
  <si>
    <t>stavebné práce</t>
  </si>
  <si>
    <t>stavebné práce, dokončovacie stavebné práce</t>
  </si>
  <si>
    <t>ZBOR - STAV, s. r. o.</t>
  </si>
  <si>
    <t>stavebníctvo, kovovýroba</t>
  </si>
  <si>
    <t>Lesná 10, 086 33 Zborov</t>
  </si>
  <si>
    <t>Predmet podnikateľskej činnosti: 
Prípravné práce k realizácii stavby,
uskutočňovanie stavieb a ich zmien,
dokončovacie stavebné práce pri realizácii exteriérov a interiérov,
výroba nekovových minerálnych výrobkov a výrobkov z betónu, sadry a cementu,
výroba a opracovanie jednoduchých výrobkov z kovu,
výroba jednoduchých výrobkov z dreva, korku, slamy, prútia a ich úprava, oprava a údržba,
nákladná cestná doprava vozidlami s celkovou hmotnosťou do 3,5 t vrátane prípojného vozidla,
prenájom hnuteľných vecí,
kúpa tovaru na účely jeho predaja konečnému spotrebiteľovi (maloobchod) alebo iným prevádzkovateľom živností (veľkoobchod),
sprostredkovateľská činnosť v oblasti obchodu, služieb a výroby,
skladovanie a pomocné činnosti v doprave,
výkon činnosti stavbyvedúceho,
výkon činnosti stavebného dozoru.</t>
  </si>
  <si>
    <t>Hlavným cieľom RSP ZBOR - STAV, s. r. o. nie je iba vytváranie zisku, ale predovšetkým dosahovanie merateľného pozitívneho sociálneho vplyvu poskytovaním spoločensky prospešnej služby na podporu regionálneho rozvoja a zamestnanosti.</t>
  </si>
  <si>
    <t>https://katalogsp.gov.sk/zbor-stav-s-r-o/</t>
  </si>
  <si>
    <t>+421 544 798 306</t>
  </si>
  <si>
    <t>zborstavsro@gmail.com</t>
  </si>
  <si>
    <t>RSP ZBOR - STAV, s. r. o.</t>
  </si>
  <si>
    <t>Stavebná činnosť</t>
  </si>
  <si>
    <t>stavebné práce, kovovýroba, drevovýroba</t>
  </si>
  <si>
    <t>Živá Záhrada, s. r. o.</t>
  </si>
  <si>
    <t>dom a záhrada, poľnohospodárstvo a lesníctvo, vzdelávanie, iné (tovary a služby)</t>
  </si>
  <si>
    <t>M. R. Štefánika 260/30, 920 41 Leopoldov</t>
  </si>
  <si>
    <t>Svojim zákazníkom pomáhame ozdraviť ich životné prostredie a byť lepšie pripravenými na klimatické zmeny. 
1. Kompostujeme pre vysoký obsah prospešného mikrobiómu s následnou obnovou mikrobiálne zdegradovanej pôdy.
2. Robíme laboratórne analýzy mikrobiálnej biomasy kompostu a pôdy. Vďaka nim vie zákazník posúdiť, ako naložiť s kompostom neznámej kvality pre použitie pri konkrétnej pôde a rastline alebo potvrdiť prítomnosť parazitických nematód.
3. Občanom ponúkame záhradné práce. Záhradný odpad kompostujeme a aplikujeme späť do záhrad, čím uzatvárame prírodný kolobeh živín a zvyšujeme množstvo uhlíka viazaného v pôde.
4. Samosprávam a obhospodarovateľom pôdy po celom Slovensku pomáhame regenerovať zeleň a biodiverzitu pôdy v záhradách, parkoch, na poliach, lúkach a v lesoch. Pomáhame realizovať naplnenie uhlíkových stratégií. Odmenou je zároveň zdravšia zeleň, vyššie výnosy, potraviny bohatšie na živiny spojené s nižšou spotrebou vody, umelého hnojenia a pesticídov.
5. Pomôžeme postaviť komunitnú záhradu šitú na mieru od podpory pri jej koncipovaní, cez stavanie až po udržiavanie aktívnej komunity.
6. Pomáhame realizovať zelené strechy, zelené steny, vyvýšené záhony a ďalšie práce vyžadujúce si drevo- a kovovýrobu.
7. Pomôžeme pri navrhovaní a realizácii adaptačných opatrení na klimatické zmeny.
8. Robíme prednášky a zážitkové stretnutia s cieľom vzdelať zodpovedných pracovníkov, laickú verejnosť aj deti v školách o význame a spôsobe regeneratívneho hospodárenia s pôdou.
9. Existujúcim zákazníkom ponúkame kvalitný kompost vhodný na regeneráciu degradovanej pôdy alebo na očkovanie nových kompostových zakládok. Ponúkame tekuté prípravky z kompostu určené na okamžitú spotrebu.</t>
  </si>
  <si>
    <t>Regenerujeme mikrobióm degradovanej pôdy. Prispievame tým k zvýšeniu produkčnej schopnosti pôdy, potravinovej sebestačnosti, zdraviu zelene a životného prostredia. Zároveň dochádza k zlepšeniu ekosystémových služieb pôdy, akými sú viazanie uhlíka a dusíka v pôde, k zadržiavaniu a fitrovaniu vody, schopnosti pôdy biodegradovať toxické látky a iné. 
Robíme výskum a vývoj nástrojov spojených so šetrným obrábaním pôdy a aplikáciou prospešného mikrobiómu na pôdu či už vo forme kompostu alebo tekutých prípravkov z kompostu. 
Vzdelávame o kompostovaní zameranom na vysoký obsah prospešného mikrobiómu, o ochrane pôdy a jej vzťahu so zdravím zelene, životného prostredia a človeka. 
Integrujeme zdravotne znevýhodnených a zraniteľných občanov.</t>
  </si>
  <si>
    <t>https://katalogsp.gov.sk/wp-content/uploads/2021/12/Ziva-zahrada-banner31-E-katalog-RSP.jpg</t>
  </si>
  <si>
    <t>https://katalogsp.gov.sk/ziva-zahrada-s-r-o/</t>
  </si>
  <si>
    <t>+421 917 454 497</t>
  </si>
  <si>
    <t>zivazahradaSK@gmail.com</t>
  </si>
  <si>
    <t>analýza pôdy, kompostovanie, obnova pôdy, regenerácia pôdy, záhradné práce, prednáška, zážitok</t>
  </si>
  <si>
    <t>Servisné poukážky</t>
  </si>
  <si>
    <t>KASprof-SECURITY agency s.r.o, r.s.p</t>
  </si>
  <si>
    <t xml:space="preserve">ochrana a bezpečnosť </t>
  </si>
  <si>
    <t>Oravské Veselé 440, 029 62 Oravské Veselé</t>
  </si>
  <si>
    <t xml:space="preserve">KASprof SECURITY agency s.r.o, r.s.p na trhu pôsobí v oblasti strážnej služby a súkromnej bezpečnosti už 25 rokov v zmysle § 3 písm. a), b), c), d), e), f), g), h)  i) zákona o súkromnej bezpečnosti na základe licencie číslo: PS 001159 vydanej Krajským riaditeľstvom Policajného zboru v Žiline dňa 13.8.2020. Zároveň sme prevádzkovateľom technickej služby podľa § 7 zákona o súkromnej bezpečnosti, na základe licencie číslo: PT001618 vydanej Krajským riaditeľstvom Policajného zboru v Žiline dňa 12.08.2015. 
Snažíme sa profilovať  z hľadiska odbornosti ako aj kvality na produktívnu a rozvíjajúcu sa spoločnosť, pričom nám záleží na odbornom raste našich zamestnancov a skvalitňovaní našich služieb. Medzi základné služby z portfólia spoločnosti patria: ochrana majetku a osôb, prevádzka zabezpečovacích a poplachových systémov.
</t>
  </si>
  <si>
    <t xml:space="preserve">Vytvorením pracovných príležitostí pre znevýhodnené a zraniteľné osoby, zároveň napĺňame cieľ pri vytváraní spoločensky prospešnej služby, a to podporou regionálneho rozvoja a zamestnanosti.
</t>
  </si>
  <si>
    <t>https://katalogsp.gov.sk/wp-content/uploads/2021/12/KASprof-SECURITY-agency-banner4-E-katalog-RSP.jpg</t>
  </si>
  <si>
    <t>https://katalogsp.gov.sk/kasprof-security-agency-s-r-o-r-s-p/</t>
  </si>
  <si>
    <t>+421 904 932 311</t>
  </si>
  <si>
    <t>info@kasprofsecurity.sk</t>
  </si>
  <si>
    <t>Poskytovanie bezpečnostnej služby formou pripojenia na pult centralizovanej ochrany a na videopult.</t>
  </si>
  <si>
    <t>bezpečnostná služba, kamerové systémy, zabezpečovacie systémy</t>
  </si>
  <si>
    <t>SLOVENSKÁ CHRÁNENÁ DIELŇA s.r.o.</t>
  </si>
  <si>
    <t>potraviny a nápoje, reklama, obaly, odevy a obuv, bižutéria a darčekové predmety, iné (tovary a služby)</t>
  </si>
  <si>
    <t>Kukorelliho 7179/12, 921 01 Piešťany</t>
  </si>
  <si>
    <t xml:space="preserve">Pre našich klientov, ktorými sú najmä firmy, obce, OZ, organizácie, školy, športové kluby a pod., ponúkame v rámci 5 dielní veľmi široké portfólio našich služieb.
V krajčírskej dielni vykonávame krajčírske práce rôzneho druhu, aj špecifické na mieru, ale najčastejšie šitie pracovného a športového oblečenia. Dokážeme plnofarebne celoplošne potlačiť polyesterovú látku a následne z nej šiť oblečenie.
V grafickej dielni okrem štandartných grafických prác aj potláčame a vyrábame reklamné predmety, textil, kalendáre, diáre. Máme nakúpené stroje na plnofarebnú potlač bannerov, roll-up bannerov, plagátov, nálepiek, stroj na sieťotlač, tampoprint, razbu, laserovanie na rôzne povrchy.
V cukrárni pečieme prioritne medovníky a rôzne druhy čajového pečiva, počas roka v nej balíme aj sypané čaje, kávu, oriešky a sušené ovocie.
V kreatívnej dielni maľujeme, vyrábame a zdobíme pozdravy, kompletizujeme darčekové a vianočné balenia a vyrábame aj sviečky z včelích plátov.
V dielni manuálnych prác, vďaka ktorej fungujeme celoročne, vykonávame balenie aj rozoberanie výrobkov na ďalšie spracovanie, skladanie skrutkových zostáv a krabičiek, kompletizáciu plastových fľašiek pre zvieratá, triedenie a čistenie rôznych zdravotne nezávadných materiálov.
Sme otvorení akýmkoľvek novým výzvam a radi vyskúšame aj nové činnosti, ak sú v našich priestoroch realizovateľné. </t>
  </si>
  <si>
    <t xml:space="preserve">Zamestnávame celoročne 32 zamestnancov so zdravotným znevýhodnením. Vo štvrtom kvartáli ešte priberáme na výpomoc aj záujemcov pracujúcich na dohodu o vykonaní práce, kde taktiež uprednostňujeme tých, čo majú akékoľvek znevýhodnenie. </t>
  </si>
  <si>
    <t>https://katalogsp.gov.sk/wp-content/uploads/2021/12/SCHD_rsp_21-doklady-schd.jpg</t>
  </si>
  <si>
    <t>https://katalogsp.gov.sk/slovenska-chranena-dielna-s-r-o/</t>
  </si>
  <si>
    <t>+421 911 415 610</t>
  </si>
  <si>
    <t>kopun@SlovenskaChranenaDielna.sk</t>
  </si>
  <si>
    <t>Slovenská chránená dielňa s.r.o.</t>
  </si>
  <si>
    <t>Sme skutočná chránená dielňa s najširšou ponukou služieb.
Sme všestranní, flexibilní, obetaví.
Jedným pomáhame a druhým ušetríme.</t>
  </si>
  <si>
    <t>jednoduchá manuálna práca, montážne sady, triedenie, balenie, skladanie, potlač, šitie, UV potlač, sublimácia, laser, tampo print, výšivka, vyšívanie loga, sieťotlač, gravírovanie, vianočné pečivo, medovníky, pracovné oblečenie, športové oblečenie, reklamné predmety, kalendáre, diáre, výroba atypických trofejí a medailí, balíčky, darčeky</t>
  </si>
  <si>
    <t>MEPOS SNV s. r. o.</t>
  </si>
  <si>
    <t>čistiace a upratovacie služby, dom a záhrada, stavebníctvo, odpady a recyklácia, iné (tovary a služby)</t>
  </si>
  <si>
    <t>Štefánikovo námestie 1, 052 01 Spišská Nová Ves</t>
  </si>
  <si>
    <t>Technické služby, stavebná činnosť, zemné a výkopové práce, rekonštrukcie budov, chodníkov, upratovanie, zimná údržba, zvislé dopravné značenie, starostlivosť o zeleň, prevádzka kompostárne, MOM.</t>
  </si>
  <si>
    <t>Podpora zamestnanosti znevýhodnených osôb.</t>
  </si>
  <si>
    <t>https://katalogsp.gov.sk/wp-content/uploads/2021/12/Mepos-logo-E-katalog-RSP-1.jpg</t>
  </si>
  <si>
    <t>https://katalogsp.gov.sk/mepos-snv-s-r-o/</t>
  </si>
  <si>
    <t>+421 948 240 605</t>
  </si>
  <si>
    <t>tomas.hamracek@mepos.sk</t>
  </si>
  <si>
    <t>Stredisko technických služieb</t>
  </si>
  <si>
    <t>Technická a stavebná činnosť, zemné práce, zváračské práce, údržba a rekonštrukcia chodníkov, budov.</t>
  </si>
  <si>
    <t>zemné práce, búranie, výkopové práce, chodníky, kosenie, zimná údržba, bio odpad, kuchynský odpad, zábradlie, značky, zvislé dopravné značenie</t>
  </si>
  <si>
    <t>GOEL media s.r.o.</t>
  </si>
  <si>
    <t>pre deti</t>
  </si>
  <si>
    <t>Niklová 2190, 926 01 Sereď</t>
  </si>
  <si>
    <t>Sme rodinná firma zameraná na rodinu. Venujeme sa výrobe detských závesných kolísok pod značkou Kidvak, ktoré simulujú pohyb dieťaťa v matkinom bruchu, vďaka čomu naozaj dobre funguje a prináša úľavu nielen dieťaťu, ale aj rodičom. Ďalej medzi naše produkty partia hniezda pre bábätká, detské deky a termoregulačné vložky z ovčej vlny určené do detských postieľok.</t>
  </si>
  <si>
    <t>V našej šijacej dielni zamestnávame ZŤP osoby a naším cieľom je vytvoriť viac pracovných miest, vytvoriť pre našich zamestnancov čo najlepšie pracovné prostredie. Podporujeme tiež rodiny s postihnutými deťmi, azylové domy, matky na materskej dovolenke rôznymi materiálmi na ďalšiu tvorbu.</t>
  </si>
  <si>
    <t>https://katalogsp.gov.sk/wp-content/uploads/2021/12/Goel-main1.jpg</t>
  </si>
  <si>
    <t>https://katalogsp.gov.sk/goel-media-s-r-o/</t>
  </si>
  <si>
    <t>+421 915 906 860</t>
  </si>
  <si>
    <t>shop@kidvak.sk</t>
  </si>
  <si>
    <t>KIDVAK</t>
  </si>
  <si>
    <t>Venujeme sa výrobe detských závesných kolísok pod značkou Kidvak, ktoré simulujú pohyb dieťaťa v matkinom bruchu, vďaka čomu naozaj dobre funguje a prináša úľavu nielen dieťaťu, ale aj rodičom. Ďalej medzi naše produkty partia hniezda pre bábätká, detské deky a termoregulačné vložky z ovčej vlny určené do detských postieľok.</t>
  </si>
  <si>
    <t>dieťa, spánok, hačka, hniezdo, detská deka, ovčia vlna, uspávanie</t>
  </si>
  <si>
    <t xml:space="preserve">Majolika-R, s.r.o. </t>
  </si>
  <si>
    <t>cestovný ruch, kultúra a šport, reklama, potraviny a nápoje, iné (tovary a služby)</t>
  </si>
  <si>
    <t>Vinice 5562/3, 902 03 Pezinok</t>
  </si>
  <si>
    <t>Firma sa viac ako 30 rokov venuje hlavne zachovávaniu tradičného remesla –  výrobe tradičnej slovenskej ľudovej majoliky a úžitkovej keramiky s rôznymi logami firiem, názvami, či menami. Od roku 2011 fungujeme ako Chránená dielňa a do našej práce sme začali začleňovať aj ľudí s hendikepom. Pomalými krôčikmi a niekoľkomesačným až niekoľkoročným učením dnes naši hendikepovaní kolegovia vyrábajú nádherné výrobky, na ktoré sme všetci veľmi hrdí.
Spájame to najlepšie, čo náš región ponúka – výrobu tradičnej slovenskej ľudovej majoliky a vínnu pivnicu, kde si môžu naši zákazníci vychutnať pohárik skvelého regionálneho vínka, či pochutnať si na slovenských špecialitách.
našu ponuku sme  rozšírili aj o textilnú výrobu a spoločne sme začali šiť ochranné rúška. A keďže sme kreatívna firma, zriadili sme aj malú prevádzku, kde dodnes predávame bubble waffle, corn-dogy a iné špeciality. Momentálne nás môžete nájsť v areáli prírodného kúpaliska Kuchajda v Bratislave a na parkovisku pod hradom Devín. V zimných mesiacoch iba cez víkendy.</t>
  </si>
  <si>
    <t xml:space="preserve">V zmysle poskytovania spoločensky prospešnej služby podpory zamestnanosti zamestnávame zraniteľné a znevýhodnené osoby. Ich zamestnávaním, sledujeme cieľ ich (opätovného) sociálneho začlenenia. Práca s hendikepovanými a znevýhodnenými ľuďmi je pre nás poslaním.
V zmysle poskytovania spoločensky prospešnej služby tvorby, rozvoja, ochrany, obnovy a prezentácie duchovných a kultúrnych hodnôt naša spoločnosť zachováva dedičstvo našich otcov – slovenskú ľudovú majoliku - pre ďalšie generácie. </t>
  </si>
  <si>
    <t>https://katalogsp.gov.sk/wp-content/uploads/2021/12/Majolika-R-banner4-E-katalog-RSP.jpg</t>
  </si>
  <si>
    <t>https://katalogsp.gov.sk/majolika-r-s-r-o/</t>
  </si>
  <si>
    <t>+421 903 412 440</t>
  </si>
  <si>
    <t>majolika@atlas.sk</t>
  </si>
  <si>
    <t>Majolika-R</t>
  </si>
  <si>
    <t>Exkurzie pre turistov, tvorivé dielne, keramické výrobky pre firmy formou náhradného plnenia</t>
  </si>
  <si>
    <t>keramika, majolika, slovenská ľudová majolika, tvorivé dielne, exkurzie</t>
  </si>
  <si>
    <t>Majolika-R Kuchajda</t>
  </si>
  <si>
    <t>Čerstvá výroba bubble-wafflí a špeciálnych corn-dogov (párok v kukuričnom cestíčku, aj vegetariánsky)</t>
  </si>
  <si>
    <t>občerstvenie, bubble-waffle, corn dogy, nápoje, káva, ...</t>
  </si>
  <si>
    <t>UNICOL s.r.o., r.s.p.</t>
  </si>
  <si>
    <t>iné (tovary a služby)</t>
  </si>
  <si>
    <t>Traktorová 589/1, 058 01 Poprad</t>
  </si>
  <si>
    <t>Výroba plastových koncentrátov pre výrobu vláken, výrobu fólií z plastov a rôzne koncentráty aditív do plastovej výroby.</t>
  </si>
  <si>
    <t xml:space="preserve">Vyrába výrobky uplatniteľné na európskom trhu s doplnením výrobkov, ktoré sú na trhu nedostatkové s vysokou spoločenskou a materiálnou hodnotou  v oblasti chemického  priemyslu. </t>
  </si>
  <si>
    <t>https://katalogsp.gov.sk/unicol-s-r-o-r-s-p/</t>
  </si>
  <si>
    <t>+421 524 280 081</t>
  </si>
  <si>
    <t>unicol@unicol.sk</t>
  </si>
  <si>
    <t>Unicol s.r.o.</t>
  </si>
  <si>
    <t>Výroba plastových koncentrátov.</t>
  </si>
  <si>
    <t>plasty, plastové koncentráty, fólie, masterbatch, vlákno farby, aditíva, vstrekovanie</t>
  </si>
  <si>
    <t>Agro – drevinový ekosystém BBSK, s.r.o. "registrovaný sociálny podnik"</t>
  </si>
  <si>
    <t>poľnohospodárstvo a lesníctvo, dom a záhrada</t>
  </si>
  <si>
    <t>Rovňany 146, 985 24 Rovňany</t>
  </si>
  <si>
    <t xml:space="preserve">Sociálny podnik je orientovaný na agro - drevinový ekosystém s chovom včiel. 
Sociálny podnik reflektoval na aktuálnu situáciu a  ponúka zákazky na kosenie a údržbu zelene, čím chce pomôcť menším samosprávam v Banskobystrickom samosprávnom kraji v dobe pandémie, ktorej aktuálne chýba potrebná pracovná sila. 
</t>
  </si>
  <si>
    <t>Sociálny poľnohospodársky podnik v Rovňanoch je úspešným príkladom toho, ako sa prostredníctvom sociálnej ekonomiky dá vytvoriť cesta na trh práce a dôstojný život práve ľuďom, ktorí sú dlhodobo nezamestnaní, zdravotne postihnutí alebo inak znevýhodnení.</t>
  </si>
  <si>
    <t>https://katalogsp.gov.sk/agro-drevinovy-ekosystem-bbsk-s-r-o-registrovany-socialny-podnik/</t>
  </si>
  <si>
    <t>+421 907 227 894</t>
  </si>
  <si>
    <t>matej.barla@dobrykraj.sk</t>
  </si>
  <si>
    <t xml:space="preserve">Spoločnosť Agro – drevinový ekosystém BBSK, s.r.o. "registrovaný sociálny podnik" </t>
  </si>
  <si>
    <t>Sociálny podnik ponúka kosenie zelene, opilovanie stromov, vyrába komponenty z dreva a predáva ovocie a zeleninu.</t>
  </si>
  <si>
    <t>kosenie, údržba zelene, opilovanie stromov, zemné práce, ovocie, zelenina, výroba komponentov z dreva</t>
  </si>
  <si>
    <t>Drevenô koliesko s.r.o.</t>
  </si>
  <si>
    <t>doprava, vzdelávanie, kultúra a šport, odpady a recyklácia, reklama, pre deti, bižutéria a darčekové predmety, iné (tovary a služby)</t>
  </si>
  <si>
    <t xml:space="preserve">Telgárt 82, 976 73 Telgárt </t>
  </si>
  <si>
    <t xml:space="preserve">Pre ľudí s obmedzeným uplatnením na štandardnom trhu práce poskytujeme práce z domu. Vytvárame pracovné miesta, ktorých účelom je výroba drevených reklamných a darčekových predmetov. </t>
  </si>
  <si>
    <t>Základným princípom sociálneho podniku Drevenô koliesko/Súčasť života je vytváranie pracovných miest pre ľudí s obmedzeným uplatnením na štandardnom trhu práce, a to poskytovaním práce z domu. Empatickým prístupom, rešpektovaním individuálnych obmedzení zamestnanca, umožnením flexibilného riadenia pracovnej doby a jej prispôsobenia možnostiam a potrebám zamestnanca, napomáhame skĺbiť pracovný život a starostlivosť o rodinu v ťažkej životnej situácii.</t>
  </si>
  <si>
    <t>https://katalogsp.gov.sk/wp-content/uploads/2021/12/Dreveno-Koliesko-2.jpg</t>
  </si>
  <si>
    <t>https://katalogsp.gov.sk/dreveno-koliesko-s-r-o/</t>
  </si>
  <si>
    <t>+421 911 313 132</t>
  </si>
  <si>
    <t>info@drevenokoliesko.sk</t>
  </si>
  <si>
    <t>Drevenô koliesko</t>
  </si>
  <si>
    <t>Jedná sa o prácu na doma s predpripravenými polotovarmi - dekorovanie a spracovanie drevených koliesok do finálnej podoby.</t>
  </si>
  <si>
    <t>darčekové predmety, reklamné darčeky, edukatívne sety pre MŠ a ZŠ</t>
  </si>
  <si>
    <t xml:space="preserve">Mestský podnik Snina, s. r. o. </t>
  </si>
  <si>
    <t>dom a záhrada, stavebníctvo, odevy a obuv, pre deti, bižutéria a darčekové predmety, kultúra a šport</t>
  </si>
  <si>
    <t>Strojárska 2060/95, 069 01 Snina</t>
  </si>
  <si>
    <t>Remeselná dielňa - vyšívané kroje, ručne vyšívané výrobky a darčekové predmety (e-shop www.pomozkupou.sk), stavebná činnosť, starostlivosť o domácnosť a záhradu, prevádzka plavárne a wellness.</t>
  </si>
  <si>
    <t>Zamestnávame znevýhodnených uchádzačov o zamestnanie a zdravotne znevýhodnených.</t>
  </si>
  <si>
    <t>https://katalogsp.gov.sk/mestsky-podnik-snina-s-r-o/</t>
  </si>
  <si>
    <t>+ 421 948 374 471</t>
  </si>
  <si>
    <t>info@presninu.sk</t>
  </si>
  <si>
    <t>Mestský podnik Snina</t>
  </si>
  <si>
    <t>Ručne vyrábané darčekové predmety, šitie krojov, stavebná činnosť</t>
  </si>
  <si>
    <t>kroje, šperky, plaváreň, wellness</t>
  </si>
  <si>
    <t>upcycle, s.r.o.</t>
  </si>
  <si>
    <t>dom a záhrada, odpady a recyklácia, reklama, odevy a obuv, pre deti, bižutéria a darčekové predmety, zvieratá</t>
  </si>
  <si>
    <t>Nitrianska Blatnica 493, 956 05 Nitrianska Blatnica</t>
  </si>
  <si>
    <t>Darčekové a reklamné predmety, malé čalúnené výrobky, výrobky z látok, výrobky z prebytkov výroby sedačiek.</t>
  </si>
  <si>
    <t>Zamestnávame znevýhodnené osoby, využívame materiály z výroby sedačiek, ktoré by inak skončili na skládke - dostávajú druhú šancu ako reklamné a darčekové predmety.</t>
  </si>
  <si>
    <t>https://katalogsp.gov.sk/upcycle-s-r-o/</t>
  </si>
  <si>
    <t>+421 948 477 323</t>
  </si>
  <si>
    <t xml:space="preserve">milena.candrakova@upcycle.sk </t>
  </si>
  <si>
    <t>Upcycle s.r.o.</t>
  </si>
  <si>
    <t>Návleky na kvetináče, exteriérové a interiérové sedáky, zvieratká, pelechy pre zvieratá.</t>
  </si>
  <si>
    <t>reklamné predmety, darčekové predmety, sedáky, podušky, pelech, pes,</t>
  </si>
  <si>
    <t>T-servis Teplička, s.r.o.</t>
  </si>
  <si>
    <t>čistiace a upratovacie služby, stavebníctvo, kultúra a šport, reklama, dom a záhrada</t>
  </si>
  <si>
    <t>Teplička 83, 052 01 Teplička</t>
  </si>
  <si>
    <t>Stavebná činnosť, šitie obecných vlajok, organizovanie spoločenských podujatí.</t>
  </si>
  <si>
    <t>Zamestnávaním znevýhodnených osôb a ich integráciou do spoločnosti.</t>
  </si>
  <si>
    <t>https://katalogsp.gov.sk/t-servis-teplicka-s-r-o/</t>
  </si>
  <si>
    <t>+421 903 632 470</t>
  </si>
  <si>
    <t>info@tservis.sk</t>
  </si>
  <si>
    <t>Realizácia stavieb, obnova verejných priestranstiev, organizácia spoločenských podujatí.</t>
  </si>
  <si>
    <t>vlajky obce, nákupné tašky z látky, revitalizácia zelene, prenájom zariadení</t>
  </si>
  <si>
    <t>Pavel MALEC s.r.o., registrovaný sociálny podnik</t>
  </si>
  <si>
    <t>potraviny a nápoje, iné (tovary a služby)</t>
  </si>
  <si>
    <t>Príboj 552/62, 976 13 Slovenská Ľupča</t>
  </si>
  <si>
    <t>Výroba a predaj kúpeľných oblátok.</t>
  </si>
  <si>
    <t>Pracovné miesta sú obsadené pracovníkmi ZŤP.</t>
  </si>
  <si>
    <t>https://katalogsp.gov.sk/pavel-malec-s-r-o-registrovany-socialny-podnik/</t>
  </si>
  <si>
    <t>+421 905 277 533</t>
  </si>
  <si>
    <t>pavelmalec@gmail.com</t>
  </si>
  <si>
    <t>Pavel Malec s.r.o., registrovaný sociálny podnik</t>
  </si>
  <si>
    <t>Výroba kúpeľných oblátok.</t>
  </si>
  <si>
    <t>cukrovinky, oblátky, kúpeľné oblátky</t>
  </si>
  <si>
    <t>HARIKOE s.r.o.</t>
  </si>
  <si>
    <t>stavebníctvo, ubytovacie a stravovacie služby, kultúra a šport, iné (tovary a služby)</t>
  </si>
  <si>
    <t>Židlovo 414/5, 977 01 Brezno</t>
  </si>
  <si>
    <t>Svojim zákazníkom ponúkame stavebné práce, vrátane výkopových a zemných prác, ako aj izolácie stavieb striekanou penou strojom wintermann xpress. V rámci stavebnej činnosti sa taktiež venujeme výrobe modulárnych domov. Okrem stavebných prác sa naša spoločnosť venuje aj organizovaniu kultúrnych, zábavných, športových a spoločenských udalostí, teambuildingov, technickému zabezpečeniu rôznych podujatí a poskytovaniu cateringu.</t>
  </si>
  <si>
    <t>Zamestnávame zdravotne znevýhodnené osoby.</t>
  </si>
  <si>
    <t>https://katalogsp.gov.sk/wp-content/uploads/2021/12/HARIKOE-banner3-E-katalog-RSP.jpg</t>
  </si>
  <si>
    <t>https://katalogsp.gov.sk/harikoe-s-r-o/</t>
  </si>
  <si>
    <t>+421 915 996 639</t>
  </si>
  <si>
    <t>harikoe@harikoe.sk</t>
  </si>
  <si>
    <t>Ponúkame stavebné práce, zemné a výkopové práce, výrobu modulárnych domov, organizovanie športových, zábavných a spoločenských udalostí, catering.</t>
  </si>
  <si>
    <t>stavebné práce, zemné práce, výkopové práce, búracie práce, modulárne domy, catering, spoločenské udalosti, teambuilding</t>
  </si>
  <si>
    <t>Naburalsom s. r. o.</t>
  </si>
  <si>
    <t>auto-moto</t>
  </si>
  <si>
    <t>Sama Chalupku 295/2, 971 01 Prievidza</t>
  </si>
  <si>
    <t>Spoločnosť sa zaoberá predovšetkým maloobchodným a veľkoobchodným predajom automobilových súčiastok, a to prostredníctvom internetového predaja cez weby www.naburalsom.sk a www.autodielyshop.sk. Odberateľom je na 90 % koncový zákazník.</t>
  </si>
  <si>
    <t>Zamestnávaním znevýhodnených uchádzačov o zamestnanie.</t>
  </si>
  <si>
    <t>https://katalogsp.gov.sk/wp-content/uploads/2021/12/Nabural-com-logo1-E-katalog-RSP.jpg</t>
  </si>
  <si>
    <t>https://katalogsp.gov.sk/naburalsom-s-r-o/</t>
  </si>
  <si>
    <t>+421 915 771 179</t>
  </si>
  <si>
    <t>kohutova.maria79@gmail.com</t>
  </si>
  <si>
    <t>Naburalsom s.r.o. RSP</t>
  </si>
  <si>
    <t>Ponúkame autodoplnky a autopotreby.</t>
  </si>
  <si>
    <t>autodoplnky, autopotreby, autodiely</t>
  </si>
  <si>
    <t>WMS, s. r. o.</t>
  </si>
  <si>
    <t>dom a záhrada, nábytok a bytové doplnky</t>
  </si>
  <si>
    <t>Svätoplukova 3230/5, 010 01 Žilina</t>
  </si>
  <si>
    <t>Venujeme sa najmä prevádzkovaniu internetového obchodu. Tovary a služby sú ponúkané
prostredníctvom online predaja na webstránke www.ZdriemniSi.sk.
Naše produkty: matrace, podložky, doplnky do spálne.</t>
  </si>
  <si>
    <t>Zamestnanosť znevýhodnených a zraniteľných osôb.</t>
  </si>
  <si>
    <t>https://katalogsp.gov.sk/wms-s-r-o/</t>
  </si>
  <si>
    <t>WMS s.r.o.</t>
  </si>
  <si>
    <t>Ponúkame matrace, podložky, doplnky do spálne.</t>
  </si>
  <si>
    <t>matrace, podložky, doplnky do spálne</t>
  </si>
  <si>
    <t>ŠIŇO, o. z., r. s. p.</t>
  </si>
  <si>
    <t>čistiace a upratovacie služby, pre deti</t>
  </si>
  <si>
    <t>Diviacka Nová Ves 124, 972 24 Diviacka Nová Ves</t>
  </si>
  <si>
    <t>Vykonávame upratovacie služby, služby opatrovania detí v domácnosti, rôzne iné služby.</t>
  </si>
  <si>
    <t>https://katalogsp.gov.sk/sino-o-z-r-s-p/</t>
  </si>
  <si>
    <t>ucto.sino@gmail.com</t>
  </si>
  <si>
    <t>ŠIŇO o.z. RSP</t>
  </si>
  <si>
    <t>Vykonávame upratovacie služby a opatrovanie detí v domácom prostredí.</t>
  </si>
  <si>
    <t>upratovanie, upratovacie služby, opatrovanie detí v domácom prostredí, babysitting</t>
  </si>
  <si>
    <t>FAUSTULUS, s. r. o.</t>
  </si>
  <si>
    <t>ubytovacie a stravovacie služby, potraviny a nápoje</t>
  </si>
  <si>
    <t>Honce 121, 049 32 Honce</t>
  </si>
  <si>
    <t>Ako RSP prevádzkujeme 3 prevádzky. Prvá je Deaf kebab Rožňava - rýchle občerstvenie zamerané najmä na KEBAB, druhá - Deaf KEBAB a PIZZA Revúca - nejde len o rýchle občerstvenie, ale o plnohodnotnú reštauráciu. V obidvoch spomínaných prevádzkach ponúkame príjemné posedenie pri chutnom jedle, máme útulné interiérové priestory, krásne letné terasy a interiérové detské ihriská, aby sa rodičia mohli v kľude najesť a detičky vyšantiť. A tretia prevádzka je  Pohostinstvo u seseda Sklabiná - malé pohostinstvo v obci Sklabiná.</t>
  </si>
  <si>
    <t>Naše podnikanie sme začali ako chránená dielňa, v ktorej pracovali nepočujúci zamestnanci. Neskôr sme prijali aj zamestnancov s iným zdravotným postihnutím a dnes zamestnávame znevýhodnené aj zraniteľné osoby. V priemere máme cca 70% práve takýchto zamestnancov, čím nadmieru spĺňame dosahovanie pozitívneho sociálneho vplyvu.</t>
  </si>
  <si>
    <t>https://katalogsp.gov.sk/faustulus-s-r-o-r-s-p/</t>
  </si>
  <si>
    <t>+421 908 559 002</t>
  </si>
  <si>
    <t>faustulus.sro.rsp@gmail.com</t>
  </si>
  <si>
    <t>Deaf kebab Rožňava</t>
  </si>
  <si>
    <t>Predaj rýchleho občerstvenia, najmä kebabu. Pekná útulná reštaurácia s dvomi terasami, detským interiérovým ihriskom a aj donáškovou službou.</t>
  </si>
  <si>
    <t>reštaurácia, rýchle občerstvenie, kebab, pizza, jedlo</t>
  </si>
  <si>
    <t>Deaf KEBAB a PIZZA Revúca</t>
  </si>
  <si>
    <t>Reštaurácia zameraná na predaj kebabu, pizze, denného menu. Útulný interiér, veľká letná terasa, detský kútik pre rodiny s detským interiérovým ihriskom a aj s donáškovou službou.</t>
  </si>
  <si>
    <t>Pohostinstvo u SUSEDA</t>
  </si>
  <si>
    <t>Malé útulné dedinské pohostinstvo s fajčiarskou aj nefajčiarskou časťou a s letnou terasou.</t>
  </si>
  <si>
    <t>Slovenské ľudové umenie - Helena Fekiačová s. r. o.</t>
  </si>
  <si>
    <t>kultúra a šport, odevy a obuv, bižutéria a darčekové predmety</t>
  </si>
  <si>
    <t>Záhradná 933/3A, 962 12 Detva</t>
  </si>
  <si>
    <t>Zaoberáme sa výrobou a predajom ľudovo-umeleckých výrobkov. Venujeme sa tiež výrobe ľudových súčastí , etno módy, ľudových doplnkov a v neposlednom rade aj liturgických odevov a doplnkov.</t>
  </si>
  <si>
    <t>Náš registrovaný sociálny podnik zamestnáva zdravotne znevýhodnené osoby a osoby, ktoré si dlhodobo nemôžu nájsť prácu.</t>
  </si>
  <si>
    <t>https://katalogsp.gov.sk/wp-content/uploads/2021/12/Slovenske-ludove-umenie-banner1-E-katalog-RSP.jpg</t>
  </si>
  <si>
    <t>https://katalogsp.gov.sk/slovenske-ludove-umenie-helena-fekiacova-s-r-o/</t>
  </si>
  <si>
    <t>+421 918 222 479</t>
  </si>
  <si>
    <t>kucbelova@parta.sk</t>
  </si>
  <si>
    <t>Slovenské ľudové umenie - Helena Fekiačová s.r.o.</t>
  </si>
  <si>
    <t>Zaoberáme sa výrobou a predajom ľudovo-umeleckých výrobkov, ľudových krojov, ľudových doplnkov, etno módy a liturgických textílií.</t>
  </si>
  <si>
    <t>ľudové kroje, etno móda, liturgické textílie, ľudové doplnky</t>
  </si>
  <si>
    <t>Cacaofé s. r. o.</t>
  </si>
  <si>
    <t>Račianska 1509/31, 831 02 Bratislava</t>
  </si>
  <si>
    <t xml:space="preserve">Cacaofé s.r.o. je menšia firma, ktorá pod značkou Kakaw Co+ dováža 
a distribuuje prémiové kakao a kakaové produkty z Latinskej Ameriky 
na Slovensko už od roku 2018.
Tento rok sa splnila aj druhá časť sna a stali sme sa sociálnym 
podnikom s vlastnou integračnou baliarňou, v ktorej sa ťažšie 
zamestnateľní ľudia učia pracovným návykom, zodpovednosti 
a sebadôvere.
</t>
  </si>
  <si>
    <t>Spoločnosť prispieva k dosahovaniu pozitívneho sociálneho vplyvu poskytovaním spoločensky prospešnej služby v oblasti zamestnanosti, a to zamestnávaním znevýhodnených a/alebo zraniteľných osôb. Tieto si tak osvoja pracovné návyky a získajú nové zručnosti pre výkon povolania, čo zvýši šance na ich opätovné spoločenské začlenenie berúc do úvahy ich novonadobudnutú mieru finančnej autonómie a samostatnosti, sebadôvery či schopnosti fungovať v prostredí pracovného kolektívu. Uvedené bude mať na osoby pozitívny sociálny vplyv. Dôjde k odstráneniu vylúčenia týchto osôb a k ich začleneniu z okraja spoločnosti do reálneho života.</t>
  </si>
  <si>
    <t>https://katalogsp.gov.sk/wp-content/uploads/2021/12/Cacaofe-banner21-E-katalog-RSP.jpg</t>
  </si>
  <si>
    <t>https://katalogsp.gov.sk/cacaofe-s-r-o/</t>
  </si>
  <si>
    <t>+421 907 024 967</t>
  </si>
  <si>
    <t>martina@kakawcoplus.com</t>
  </si>
  <si>
    <t>Kakaw Co+</t>
  </si>
  <si>
    <t>Ponúkame výber toho najchutnejšieho, najzdravšieho 
a najzaujímavejšieho odrodového kakaa, čokolády a výrobkov z nich, čo sme ochutnali a spoznali v Latinskej Amerike. 
Tieto produkty pochádzajú z indiánskych komunít, ktoré používajú 
kakao už tisícky rokov a v minulosti ho považovali za jedlo Bohov, určené len pre vyvolených.</t>
  </si>
  <si>
    <t>odrodové kakao, káva, čokoláda, sušené ovocie, kakaové snacks, produkty na prípravu kakaových a čokoládových nápojov</t>
  </si>
  <si>
    <t>Čevas s. r. o.</t>
  </si>
  <si>
    <t>Čeľadince 3, 956 16 Čeľadince</t>
  </si>
  <si>
    <t>Vyrábame a ponúkame domáce cestoviny.</t>
  </si>
  <si>
    <t>Integrujeme zdravotne a sociálne znevýhodnených zamestnancov do pracovného procesu a poskytujeme služby zdravotne a sociálne znevýhodneným spoluobčanom.</t>
  </si>
  <si>
    <t>https://katalogsp.gov.sk/wp-content/uploads/2021/12/Cevas-main2.jpg</t>
  </si>
  <si>
    <t>https://katalogsp.gov.sk/cevas-s-r-o/</t>
  </si>
  <si>
    <t>+421 911 985 376</t>
  </si>
  <si>
    <t>starosta@celadince.sk</t>
  </si>
  <si>
    <t>Čevas s. r. .o.</t>
  </si>
  <si>
    <t>cestoviny, gastro, slíže</t>
  </si>
  <si>
    <t>Služby obce Poproč s. r. o., r. s. p.</t>
  </si>
  <si>
    <t>dom a záhrada, stavebníctvo, kultúra a šport, odevy a obuv, nábytok a bytové doplnky, bižutéria a darčekové predmety, kovovýroba</t>
  </si>
  <si>
    <t>Oľšavská 24, 044 24 Poproč</t>
  </si>
  <si>
    <t>Náš sociálny podnik aktuálne ponúka služby krajčírskej a aranžérskej dielne (oprava a šitie odevov, výroba darčekových predmetov, ikebán a pod.), služby zváračskej dielne (napr. výroba plotových dielcov a pod.), služby montážno - stolárskej dielne, stavebné práce (oprava a údržba budov - interiér, exteriér, napr. montáž podláh, sadrokartónové podhľady a priečky, obklady stien, stavby oplotení, chodníky a spevnenie plôch...), služby tréningového centra - skupinové a individuálne tréningy na získanie pohybových návykov na podporu zdravého životného štýlu.</t>
  </si>
  <si>
    <t>Zamestnávananím znevýhodených osôb.</t>
  </si>
  <si>
    <t>https://katalogsp.gov.sk/wp-content/uploads/2021/12/Sluzby-obce-Poproc-logo1-E-katalog-RSP.jpg</t>
  </si>
  <si>
    <t>https://katalogsp.gov.sk/sluzby-obce-poproc-s-r-o-r-s-p/</t>
  </si>
  <si>
    <t>+421 907 950 728</t>
  </si>
  <si>
    <t>konatel@sluzbypoproc.sk, prevadzka@sluzbypoproc.sk</t>
  </si>
  <si>
    <t>Služby obce Poproč s.r.o., r.s.p.</t>
  </si>
  <si>
    <t>Krajčírska a aranžérska dielňa (oprava odevov, šitie na zákazku, darčekové predmety, ikebany, výzdoba na slávnostné príležitosti), montážno- stolárska dielňa (drevovýroba), zváračská dielňa, stavebné práce, tréningové centrum.</t>
  </si>
  <si>
    <t>stavebné práce, kovovýroba, drevovýroba, kosenie, ikebany, rúška, darčekové predmety, odevy, cvičenie</t>
  </si>
  <si>
    <t>ABB Group, spol. s r. o.</t>
  </si>
  <si>
    <t>Horné Semerovce 146, 935 84 Horné Semerovce</t>
  </si>
  <si>
    <t>Regionálne výrobky</t>
  </si>
  <si>
    <t>Zamestnávame znevýhodnené a zraniteľné osoby, predávame regionálne výrobky.</t>
  </si>
  <si>
    <t>https://katalogsp.gov.sk/abb-group-spol-s-r-o/</t>
  </si>
  <si>
    <t>+421 908 230 427</t>
  </si>
  <si>
    <t>baloghgroup@gmail.com</t>
  </si>
  <si>
    <t>Potraviny rozličný tovar</t>
  </si>
  <si>
    <t xml:space="preserve">Predávame regionálne hand made výrobky. </t>
  </si>
  <si>
    <t>regionálne výrobky, hand made</t>
  </si>
  <si>
    <t>MARION ZM s. r. o.</t>
  </si>
  <si>
    <t>čistiace a upratovacie služby, iné (tovary a služby)</t>
  </si>
  <si>
    <t>Bernolákova 175/66, 953 01 Zlaté Moravce</t>
  </si>
  <si>
    <t>Firma MARION ZM s.r.o. RSP ponúka pracie a čistiace služby pre obyvateľstvo, firmy, školy, hotely, motely, obecné úrady. Zameriavame sa hlavne na kvalitu ponúkaných služieb, ale naši zákazníci veľmi oceňujú vyhotovenie zákazky v krátkom čase bez príplatku.</t>
  </si>
  <si>
    <t>Hlavným cieľom spoločnosti ako verejnoprospešného podniku je dosahovanie materiálneho pozitívneho sociálneho vplyvu v oblasti poskytovania služieb. Pozitívny sociálny vplyv verejnoprospešného podniku sa prejavuje podporou zamestnanosti prostredníctvom zamestnávania znevýhodnených a zraniteľných osôb.</t>
  </si>
  <si>
    <t>https://katalogsp.gov.sk/marion-zm-s-r-o/</t>
  </si>
  <si>
    <t>+421 903 568 903</t>
  </si>
  <si>
    <t>mariaondriasova@centrum.sk</t>
  </si>
  <si>
    <t>Práčovňa, mangľovňa MARION ZM s.r.o.</t>
  </si>
  <si>
    <t>Prevádzkovanie práčovne a čistiarne.</t>
  </si>
  <si>
    <t>práčovňa, mangľovňa, žehlenie</t>
  </si>
  <si>
    <t>Sociálny podnik mesta Levoča, s.r.o., r.s.p.</t>
  </si>
  <si>
    <t>stavebníctvo, doprava</t>
  </si>
  <si>
    <t>Probstnerova cesta 9, 054 01 Levoča</t>
  </si>
  <si>
    <t>Ponúkame svojim zákazníkom stavebnú činnosť.</t>
  </si>
  <si>
    <t>Zamestnávame ľudí, ktorí sa na trhu práce ťažko zamestnajú - zamestnávanie znevýhodnených osôb.</t>
  </si>
  <si>
    <t>https://katalogsp.gov.sk/socialny-podnik-mesta-levoca-s-r-o-r-s-p/</t>
  </si>
  <si>
    <t>+421 903 465 966</t>
  </si>
  <si>
    <t>info@splevoca.sk</t>
  </si>
  <si>
    <t>Stavebná činnosť, nákladná cestná doprava s celkovou hmotnosťou do 3,5 t, prenájom hnuteľných vecí.</t>
  </si>
  <si>
    <t>murárstvo, izolatérstvo, prípravné práce k realizácii stavby, stavba, stavby, prestavba, prestavby, nákladná cestná doprava vozidlami s celkovou hmotnosťou do 3,5 t, prípojné vozidlo</t>
  </si>
  <si>
    <t>E L S T R O T E , spol. s r.o.</t>
  </si>
  <si>
    <t>odevy a obuv, ochrana a bezpečnosť</t>
  </si>
  <si>
    <t>Dolná Mariková 551, 018 02 Dolná Mariková</t>
  </si>
  <si>
    <t>V našej ponuke je výroba zdravotnej, pracovnej a turistickej obuvi, predaj ochranných pracovných prostriedkov (veľkoobchod, maloobchod,internetový predaj); naši zákazníci sú výrobné podniky, obchodné firmy, nemocnice, gastroslužby, školy, agropotreby, drobné prevádzky a služby, atď.</t>
  </si>
  <si>
    <t>Zamestnávame čiastočne invalidných a zdravotne znevýhodnených pracovníkov.</t>
  </si>
  <si>
    <t>https://katalogsp.gov.sk/wp-content/uploads/2021/12/Elstrote-main1.jpg</t>
  </si>
  <si>
    <t>https://katalogsp.gov.sk/elstore-spol-sro/</t>
  </si>
  <si>
    <t>+421 903 542 930</t>
  </si>
  <si>
    <t>elstrote@elstrote.sk</t>
  </si>
  <si>
    <t>ELSTROTE spo. s r.o.</t>
  </si>
  <si>
    <t>Výroba pracovnej, zdravotnej a turistickej obuvi, veľkoobchod a maloobchod s ochrannými pracovnými pomôckami, internetový predaj.</t>
  </si>
  <si>
    <t>pracovná obuv, pracovné odevy, pracovné rukavice, ochranné pracovné prostriedky, drogéria, maska, postroj, filter, respirátor, lano, prilba, karabína, ruksak, opasok</t>
  </si>
  <si>
    <t>IPATEX, s. r. o.</t>
  </si>
  <si>
    <t>reklama, odevy a obuv</t>
  </si>
  <si>
    <t>Za Havlovci 1814, 031 01 Liptovský Mikuláš</t>
  </si>
  <si>
    <t>Ponúkame strojové vyšívanie na rôzny textil, potlače na textil, sublimačnú tlač - výrobu športových dresov, potlač na reklamné predmety</t>
  </si>
  <si>
    <t>Zamestnávame ZŤP</t>
  </si>
  <si>
    <t>https://katalogsp.gov.sk/wp-content/uploads/2021/12/Ipatex-main1.jpg</t>
  </si>
  <si>
    <t>https://katalogsp.gov.sk/ipatex-s-r-o/</t>
  </si>
  <si>
    <t>+421 905 928 895</t>
  </si>
  <si>
    <t>ipa@vysivanie-lm.sk</t>
  </si>
  <si>
    <t>IPATEX, s.r.o.</t>
  </si>
  <si>
    <t>Vyšívanie, potlače na textil, sublimačná tlač textilu, potlač reklamných predmetov</t>
  </si>
  <si>
    <t>výšivky, nášivky, vlajky a vlajočky, folklórne výšivky, potlač textilu, rúško, výroba dresov, bufky, fan šále, reklamné predmety, kľúčenky, prívesky, odznaky, perá, hrnčeky, dáždniky...</t>
  </si>
  <si>
    <t>OBECNÝ PODNIK ŠÚTOVCE s.r.o.</t>
  </si>
  <si>
    <t>stavebníctvo, dom a záhrada, iné (tovary a služby)</t>
  </si>
  <si>
    <t>Šútovce 39, 972 02 Šútovce</t>
  </si>
  <si>
    <t>Podnikateľská aktivita sociálneho podniku vychádza z potreby drobných jednoduchých udržiavacích prác, z realizácie výstavby investičných zámerov obce, z potreby udržania čistoty a poriadku v obci a z dopytu občanov po zabezpečení pomoci pri celoročnej a sezónnej údržbe svojich nehnuteľností. Prostredníctvom realizovaných služieb podniku sú uspokojované potreby nielen občanov, ale aj obce. Na výkon podnikateľských aktivít je využívaný majetok obce – komunálna technika, prípadne remeselné náradie a pracovné pomôcky.</t>
  </si>
  <si>
    <t>Služby, ktoré sú predmetom činnosti sociálneho podniku, sú dostupné všetkým občanom obce bez rozdielu. Občania môžu svoje objednávky nahlasovať priamo pracovníkom. Celá hospodárska činnosť je prevažne uskutočňovaná na území obce Šútovce pre občanov obce. Prístup k službám je pre občanov jednoduchý, ceny za poskytované služby sú nastavené na primeranú hladinu, ktorú sú občania – prijímatelia služieb - schopní akceptovať. Obec má zabezpečenú pravidelnú údržbu a starostlivosť o svoj majetok a o bytové domy, bez potreby rozšírenia spolupráce v oblasti správcovstva bytových domov.</t>
  </si>
  <si>
    <t>https://katalogsp.gov.sk/obecny-podnik-sutovce-s-r-o/</t>
  </si>
  <si>
    <t>+421 917 875 116</t>
  </si>
  <si>
    <t>obecnypodniksutovce@gmail.com</t>
  </si>
  <si>
    <t>Podnikateľská aktivita sociálneho podniku vychádza z potreby drobných jednoduchých udržiavacích prác, z realizácie výstavby investičných zámerov obce, z potreby udržania čistoty a poriadku v obci a z dopytu občanov po zabezpečení pomoci pri celoročnej a sezónnej údržbe svojich nehnuteľností. Prostredníctvom realizovaných služieb podniku budú uspokojované potreby nielen občanov, ale aj obce. Na výkon podnikateľských aktivít bude využívaný majetok obce – komunálna technika, prípadne remeselné náradie a pracovné pomôcky.</t>
  </si>
  <si>
    <t>stavebná činnosť, čistota v obci, sezónna údržba nehnuteľností, opravy v dome</t>
  </si>
  <si>
    <t>CHANGE COMPUTER s.r.o.</t>
  </si>
  <si>
    <t>počítačová a kancelárska technika</t>
  </si>
  <si>
    <t>Nedožerská cesta 2, 971 01 Prievidza</t>
  </si>
  <si>
    <t>Predaj a servis výpočtovej techniky a príslušenstva.</t>
  </si>
  <si>
    <t>https://katalogsp.gov.sk/wp-content/uploads/2021/12/ChangeComputers-main1.jpg</t>
  </si>
  <si>
    <t>https://katalogsp.gov.sk/change-computer-s-r-o/</t>
  </si>
  <si>
    <t>+421 903 276 293</t>
  </si>
  <si>
    <t>cholevova@changecomputer.sk</t>
  </si>
  <si>
    <t>CHANGE COMPUTER</t>
  </si>
  <si>
    <t>Predaj a servis výpočtovej techniky.</t>
  </si>
  <si>
    <t>Výpočtová technika, počítače, notebooky, IT príslušenstvo, servis IT, kancelárska technika. PC tašky, batohy, repasovanie, cartridge, toner</t>
  </si>
  <si>
    <t>JD Cleaning, s. r. o.</t>
  </si>
  <si>
    <t>čistiace a upratovacie služby, dom a záhrada</t>
  </si>
  <si>
    <t>Petra Mendela 1877/15, 038 53 Turany</t>
  </si>
  <si>
    <t>Cieľom podnikania našej spoločnosti je poskytovanie všestranných služieb v oblasti upratovania, údržby, úpravy a skrášľovania bytov, domov, ubytovacích zariadení, penziónov, nebytových priestorov, firiem, záhrad a ich okolia. Našou snahou ako sociálneho podniku je zároveň aj poskytovanie zamestnania, pracovných skúseností, pracovných zručností a návykov pre zdravotne znevýhodnených ľudí.
Naše upratovacie služby sú poskytované veľmi širokému spektru obyvateľstva. Ponúkame ich nielen fyzickým osobám , ale aj ubytovacím zariadeniam. Sú vhodné pre apartmány, hotely, hostely, chaty, kultúrne domy, byty, nebytové zariadenia, domy, záhrady, ale aj pre osamelých ľudí na dôchodku a pre ľudí s veľkým pracovným zaťažením.  Naša hlavná propagácia sú všetci naši spokojní zákazníci.</t>
  </si>
  <si>
    <t>Sme v nemalej miere prospešní pre našu spoločnosť aj okolie, pretože ľudia so zdravotnými problémami a obmedzeniami majú často problém zamestnať sa. My zamestnávame práve takéto osoby a ponúkame im prácu, uplatnenie a realizáciu na trhu práce. Tým, že sú zaradené do pracovného procesu, obnovujú si svoje pracovné návyky a sebarealizáciu, čím upevňujeme ich sebavedomie.</t>
  </si>
  <si>
    <t>https://katalogsp.gov.sk/wp-content/uploads/2021/12/JD-Cleaning-banner4-E-katalog-RSP.jpg</t>
  </si>
  <si>
    <t>https://katalogsp.gov.sk/jd-cleaning-s-r-o/</t>
  </si>
  <si>
    <t>+421 908 921 070</t>
  </si>
  <si>
    <t>jaroslav7901@gmail.com</t>
  </si>
  <si>
    <t>JD Cleaning, s. r o.</t>
  </si>
  <si>
    <t>upratovanie, upratovacie služby, údržba, záhradné práce, upratovanie bytových priestorov,  upratovanie nebytových priestorov</t>
  </si>
  <si>
    <t>IMUNITAS s. r. o.</t>
  </si>
  <si>
    <t xml:space="preserve">Študentská 1458/21, 069 01 Snina </t>
  </si>
  <si>
    <t>Ponúkame upratovacie služby, stavebné práce.</t>
  </si>
  <si>
    <t>Integrujeme ľudí s fyzickým znevýhodnením do pracovného procesu.</t>
  </si>
  <si>
    <t>https://katalogsp.gov.sk/imunitas-s-r-o/</t>
  </si>
  <si>
    <t>+421 944 422 475</t>
  </si>
  <si>
    <t>imunitas2021@gmail.com</t>
  </si>
  <si>
    <t>RSP</t>
  </si>
  <si>
    <t>Stavebné práce, upratovacie služby.</t>
  </si>
  <si>
    <t>stavebné práce, upratovacie služby, upratovanie</t>
  </si>
  <si>
    <t>JAS Bardejov, s. r. o.</t>
  </si>
  <si>
    <t>Duklianska 19, 085 01 Bardejov</t>
  </si>
  <si>
    <t>Výroba obuvi - robíme šijacie a montážne práce pri výrobe obuvi.</t>
  </si>
  <si>
    <t>Zamestnávame 35 zamestnancov, z toho je 89% znevýhodnených osôb.</t>
  </si>
  <si>
    <t>https://katalogsp.gov.sk/wp-content/uploads/2021/12/JAS-Bardejov-logo1-E-katalog-RSP.jpg</t>
  </si>
  <si>
    <t>https://katalogsp.gov.sk/jas-bardejov-s-r-o/</t>
  </si>
  <si>
    <t>+421 544 880 615</t>
  </si>
  <si>
    <t>jasbardejov@gmail.com</t>
  </si>
  <si>
    <t>JAS Bardejov, s.r.o.</t>
  </si>
  <si>
    <t>výroba obuvi, šitie a montáž pri výrobe obuvi</t>
  </si>
  <si>
    <t>Error s.r.o.</t>
  </si>
  <si>
    <t>elektro, počítačová a kancelárska technika, iné (tovary a služby)</t>
  </si>
  <si>
    <t xml:space="preserve">Vajanského 4, 911 01 Trenčín </t>
  </si>
  <si>
    <t>Servis a predaj mobilov, počítačov a príslušenstva. Opravujeme, zastavujeme, nastavujeme a inštalujeme takmer všetky komunikačné zariadenia informačných technológií. Robíme doplnkové služby, poradenstvo a oboznámenie klienta / zákazníka v oblasti IT. Ponúkame tiež služby Packeta a 4ka .</t>
  </si>
  <si>
    <t>Naše služby sú pre všetky vekové kategórie bez ohľadu na pohlavie. Využívajú ich fyzické osoby aj firmy na svoje pracovné, študijné , ochranné, služobné i ostatné bežné účely. Opravujeme a repasujeme zariadenia, čím máme aj priaznivý vplyv na ekológiu.</t>
  </si>
  <si>
    <t>https://katalogsp.gov.sk/wp-content/uploads/2021/12/Error-banner1-E-katalog-RSP.jpg</t>
  </si>
  <si>
    <t>https://katalogsp.gov.sk/error-s-r-o/</t>
  </si>
  <si>
    <t>+421 908 503 936</t>
  </si>
  <si>
    <t>centrala@error.sk</t>
  </si>
  <si>
    <t>Error IDEA Ilava</t>
  </si>
  <si>
    <t>Ponúkame servis a predaj mobilov, počítačov a príslušenstva; poradenstvo v oblasti IT, služby dopravcu Packeta a operátora 4ka.</t>
  </si>
  <si>
    <t>Servis, mobil, mobily, počítač, počítače, 4ka, príslušenstvo, kryty, obaly, púzdra, ochranné sklá, zásielkovňa, packeta, displej, repasovanie, herná konzola</t>
  </si>
  <si>
    <t>Error Prior Trenčín</t>
  </si>
  <si>
    <t>Servis, mobil, mobily, počítač, počítače, 4ka, príslušenstvo, kryty, obaly, púzdra, ochranné sklá, zásielkovňa, packeta, displej</t>
  </si>
  <si>
    <t>Error Južanka Trenčín</t>
  </si>
  <si>
    <t>Servis a predaj mobilov, počítačov a príslušenstva, poradenstvo v oblasti IT, služby dopravcu Packeta a operátora 4ka.</t>
  </si>
  <si>
    <t xml:space="preserve">Servis, mobil, mobily, počítač, počítače , 4ka , príslušenstvo , kryty, obaly, púzdra, ochranné sklá, zásielkovňa, packeta, displej, </t>
  </si>
  <si>
    <t>Error OD Máj</t>
  </si>
  <si>
    <t>Ponúkame servis a predaj mobilov, počítačov a príslušenstva, poradenstvo v oblasti IT, služby dopravcu Packeta a operátora 4ka.</t>
  </si>
  <si>
    <t>Porubské služby, s.r.o.</t>
  </si>
  <si>
    <t>dom a záhrada, stavebníctvo</t>
  </si>
  <si>
    <t>Hlavná 136/159, 013 14 Kamenná Poruba</t>
  </si>
  <si>
    <t>Naša spoločnosť sa venuje najmä činnostiam súvisiacim so správou a zveľaďovaním majetku obce, s údržbou verejných priestranstiev a tiež službám pre obyvateľstvo, ako sú stavebné práce, zemné a búracie práce, čistiace a upratovacie služby, zber a triedenie komunálnych odpadov, prevádzka zberného dvora, údržba verejnej zelene.                                                                           Vponuke máme stavebné práce, zemné a búracie práce (minibager 3,8 t, Bobcat S650, nákladné auto 12 t s hákovým nosičom kontajnerov) a údržba zelene (kosačka Kubota G261HD 54, kosačka Alko, krovinorezy, malotraktor s bočným mulčovačom, vyvetvovacia píla, a i.).</t>
  </si>
  <si>
    <t>Okrem služieb pre obec a jej obyvateľov  naša poločnosť prispieva k dosahovaniu pozitívneho sociálneho vplyvu poskytovaním spoločensky prospešnej služby v oblasti zamestnanosti, a to zamestnávaním zraniteľných osôb a/alebo znevýhodnených osôb s cieľom ich pracovnej integrácie. Chceme posilniť ich pracovné zručnosti, návyky a začleňovanie sa do pracovného kolektívu.</t>
  </si>
  <si>
    <t>https://katalogsp.gov.sk/porubske-sluzby-s-r-o/</t>
  </si>
  <si>
    <t>+421 903 780 659</t>
  </si>
  <si>
    <t>porubskesluzby@gmail.com</t>
  </si>
  <si>
    <t>Stavebné práce, zemné a búracie práce, údržba zelene.</t>
  </si>
  <si>
    <t>stavebné práce, zemné a búracie práce, minibáger 3,8 t, Bobcat S650, nákladné auto 12 t s hákovým nosičom kontajnerov, údržba zelene, traktorová kosačka Kubota G261HD 54, kosačka Alko, krovinorezy, malotraktor s bočným mulčovačom, vyvetvovacia píla, údržba verejného priestranstva</t>
  </si>
  <si>
    <t>Flowie, s. r. o.</t>
  </si>
  <si>
    <t>auto-moto, iné (tovary a služby)</t>
  </si>
  <si>
    <t>Východná 301/40, 972 16 Prievidza</t>
  </si>
  <si>
    <t>Ponúkame výrobu a predaj vôní do auta a interiéru, predaj sviečok, darčekových predmetov, ponúkame darčekové balenia pre firmy a aj pre fyzické osoby.</t>
  </si>
  <si>
    <t>Naši pracovníci majú problém zamestnať sa zo zdravotných dôvodov, u nás majú možnosť spoločenského uplatenia s prihliadnutím na ich zdravotný stav.</t>
  </si>
  <si>
    <t>https://katalogsp.gov.sk/wp-content/uploads/2021/12/Flowie-banner2-E-katalog-RSP.jpg</t>
  </si>
  <si>
    <t>https://katalogsp.gov.sk/flowie-s-r-o/</t>
  </si>
  <si>
    <t>+421 905 520 518</t>
  </si>
  <si>
    <t>obchod@flowie.sk</t>
  </si>
  <si>
    <t>Flowie s.r.o.</t>
  </si>
  <si>
    <t>Ponúkame na predaj vonné sviečky, oleje, aromalampy, vôňe do auta, difuzéry</t>
  </si>
  <si>
    <t>sviečky, vonné sviečky, oleje, aromalampy, vôňe do auta, difuzéry</t>
  </si>
  <si>
    <t>CSA SAMOTY s. r. o.</t>
  </si>
  <si>
    <t>stavebníctvo, vzdelávanie</t>
  </si>
  <si>
    <t>Železničná 3/A, 915 01 Nové Mesto nad Váhom</t>
  </si>
  <si>
    <t>Hlavnou podnikateľskou činnosťou našej spoločnosti je poskytovať komplexné služby v oblasti správy a údržby nehnuteľností.
V spoločnosti CSA SAMOTY s. r. o. ide o integráciu činností v rámci organizácie na zabezpečenie a realizáciu dohodnutých služieb, kam patrí najmä správa budov, ale aj ostatné služby spojené s priestorom a podporou zamestnancov spoločnosti. Ďalšími činnosťami spoločnosti sú  prípravné a stavebné práce, ako aj organizovanie vzdelávacích činností zameraných najmä na stavebnú a konštrukčnú činnosť.</t>
  </si>
  <si>
    <t>Od 1.1.2021 zamestnávame najmä regionálnych spolupracovníkov so zníženou pracovnou schopnosťou.</t>
  </si>
  <si>
    <t>https://katalogsp.gov.sk/wp-content/uploads/2021/12/CSA-SAMOTY-main1.jpg</t>
  </si>
  <si>
    <t>https://katalogsp.gov.sk/csa-samoty-s-r-o/</t>
  </si>
  <si>
    <t>+421 327 401 211</t>
  </si>
  <si>
    <t>csa@samoty.sk</t>
  </si>
  <si>
    <t>CSA SAMOTY s.r.o.</t>
  </si>
  <si>
    <t>Našou víziou v oblasti facility manažmentu je podpora rastu spoločností, zníženie prevádzkových (režijných) nákladov, zníženie rizík súvisiacich s prenájmom priestorov u externých partnerov a rozvoj dlhodobej udržateľnosti nášho podnikania zameraného na merateľný pozitívny sociálny vplyv v regióne.</t>
  </si>
  <si>
    <t>facility manažment, stavebné práce, správa budov, vzdelávanie pre stavebné a konštrukčné práce</t>
  </si>
  <si>
    <t xml:space="preserve">Dúha VR s. r. o., r. s. p. </t>
  </si>
  <si>
    <t>čistiace a upratovacie služby</t>
  </si>
  <si>
    <t>Vyšné Ružbachy 125, 065 02 Vyšné Ružbachy</t>
  </si>
  <si>
    <t>Sme práčovňa a čistiareň.</t>
  </si>
  <si>
    <t>Zapájame do pracovného života dlhodobo nezamestnaných a sociálne vylúčených.</t>
  </si>
  <si>
    <t>https://katalogsp.gov.sk/duha-vr-s-r-o-r-s-p/</t>
  </si>
  <si>
    <t>+421 918 531 939</t>
  </si>
  <si>
    <t>duhasocialnypodnik@gmail.com</t>
  </si>
  <si>
    <t>Dúha VR s.r.o.</t>
  </si>
  <si>
    <t>Práčovňa a čistiareň.</t>
  </si>
  <si>
    <t>pranie, čistenie šatstva, žehlenie</t>
  </si>
  <si>
    <t>ATYP INTERIÉR SERVIS, s. r. o., r. s. p.</t>
  </si>
  <si>
    <t>nábytok a bytové doplnky</t>
  </si>
  <si>
    <t>Nákladné nádražie 9739, 038 61 Martin</t>
  </si>
  <si>
    <t>Vyrábame nábytok všetkého druhu na mieru - kuchyne, skrine, kancelársky nábytok, rôzny ďalší nábytok.</t>
  </si>
  <si>
    <t>Vykonávame služby na podporu registrovaného rozvoja a zamestnanosti.</t>
  </si>
  <si>
    <t>https://katalogsp.gov.sk/wp-content/uploads/2021/12/Atyp-interier-banner3-E-katalog-RSP.jpg</t>
  </si>
  <si>
    <t>https://katalogsp.gov.sk/atyp-interier-servis-s-r-o-r-s-p/</t>
  </si>
  <si>
    <t>+421 911 661 116</t>
  </si>
  <si>
    <t>atypkuchyne@gmail.com</t>
  </si>
  <si>
    <t>Atyp kuchynské štúdio</t>
  </si>
  <si>
    <t>Nábytok na mieru, kuchyne, skrine, kancelársky nábytok a ostatný nábytok.</t>
  </si>
  <si>
    <t>drevovýroba, nábytok na mieru, kuchyne, skrine, kancelársky nábytok, nábytok</t>
  </si>
  <si>
    <t>STAVJAM s.r.o.</t>
  </si>
  <si>
    <t>stavebníctvo, dom a záhrada, iné (tovary a služby), zvieratá</t>
  </si>
  <si>
    <t xml:space="preserve">Na doline 177/5, 916 21 Čachtice </t>
  </si>
  <si>
    <t>Ponúkame stavebné práce: výstavba a opravy bytov, domov a priemyselných objektov, výstavba a rekonštrukcie spevnených plôch, zatepľovanie.
Naša obchodná činnosť: nepotravinový tovar dennej potreby - drogistický, papierenský, kuchynský, farby, hračky, potreby pre záhradu, krmivá pre zvieratá.</t>
  </si>
  <si>
    <t>Podporujeme zamestnanosť prostredníctvom zamestnávania znevýhodnených alebo zraniteľných osôb.</t>
  </si>
  <si>
    <t>https://katalogsp.gov.sk/stavjam-s-r-o/</t>
  </si>
  <si>
    <t>+421 905 203 723</t>
  </si>
  <si>
    <t>stavjam.cachtice@gmail.com</t>
  </si>
  <si>
    <t>V prevádzkarni ponúkame maloobchodný predaj nepotravinového tovaru a stavebné práce prevažne v Trenčianskom kraji.</t>
  </si>
  <si>
    <t>maloobchod, stavebné práce</t>
  </si>
  <si>
    <t>Mestský podnik služieb Turany, s. r. o.</t>
  </si>
  <si>
    <t>čistiace a upratovacie služby, stavebníctvo, doprava, odpady a recyklácia</t>
  </si>
  <si>
    <t>Osloboditeľov 83/91, 038 53 Turany</t>
  </si>
  <si>
    <t>Nakoľko sme mladý podnik, ponúkame zatiaľ služby pri separovanom zbere, upratovacie služby a pomocné práce v predškolských zariadeniach.</t>
  </si>
  <si>
    <t>V zamestnávaní pracovníkov so zdravotným a iným znevýhodnením.</t>
  </si>
  <si>
    <t>https://katalogsp.gov.sk/mestsky-podnik-sluzieb-turany-s-r-o/</t>
  </si>
  <si>
    <t>+421 910 924 479</t>
  </si>
  <si>
    <t>spmturany@gmail.com</t>
  </si>
  <si>
    <t>Mestský podnik služieb Turany, s.r.o., registrovaný sociálny podnik</t>
  </si>
  <si>
    <t>Čistiace a upratovacie služby, pomocné práce v kuchyni, separovanie odpadu.</t>
  </si>
  <si>
    <t>zberný dvor, školské zariadenie, čistenie, upratovanie, separovanie odpadu</t>
  </si>
  <si>
    <t>Aptet ISP, družstvo</t>
  </si>
  <si>
    <t>čistiace a upratovacie služby, vzdelávanie, účtovníctvo a poradenstvo, dom a záhrada</t>
  </si>
  <si>
    <t>Mlynská 2238, 934 01 Levice</t>
  </si>
  <si>
    <t>Aptet ISP, družstvo vzniklo v roku 2019. Zakladajúci členovia družstva pôsobia od roku 2014 v mimovládnej neziskovej organizácii Aptet n.o., ktorej poslaním je pomôcť ľuďom adaptovať sa na zmeny, ktoré súvisia so starnutím a pripravovať ich na starobu. Obe tieto organizácie zdieľajú spoločnú víziu, poslanie, hodnoty, brand i webový priestor - https://aptet.sk/. Naše sociálne podnikanie je zamerané na ponuku:
• služieb Informačno-monitorovacieho centra,
• tovarov prostredníctvom e-shopu OTVORENÝ OBCHOD - https://www.otvorenyobchod.sk/,
• služieb účtovníctva a miezd,
• administratívne a personálne služby,
• vzdelávanie, facilitácia, poradenstvo,
• spravovanie sociálnych sietí,
• zabezpečenie starostlivosti o dom a záhradu 
V registrovanom sociálnom podniku aktuálne pracujú len ťažko zdravotne postihnutí zamestnanci.</t>
  </si>
  <si>
    <t>Vytvárame pracovné miesta pre znevýhodnených a zraniteľných a integrujeme ich na trh práce. Pomáhame ľuďom, ktorí chcú pracovať, vzdelávať sa a posúvať sa ďalej.</t>
  </si>
  <si>
    <t>https://katalogsp.gov.sk/wp-content/uploads/2021/12/Aptet-logo1-E-katalog-RSP.jpg</t>
  </si>
  <si>
    <t>https://katalogsp.gov.sk/aptet-isp-druzstvo/</t>
  </si>
  <si>
    <t>+ 421 915 773 229</t>
  </si>
  <si>
    <t>aptet@aptet.sk</t>
  </si>
  <si>
    <t xml:space="preserve">Naše sociálne podnikanie je zamerané na ponuku:
• služieb Informačno-monitorovacieho centra,
• tovarov prostredníctvom e-shopu OTVORENÝ OBCHOD - https://www.otvorenyobchod.sk/,
• služieb účtovníctva a miezd,
• administratívne a personálne služby,
• vzdelávanie, facilitácia, poradenstvo,
• spravovanie sociálnych sietí,
• zabezpečenie starostlivosti o dom a záhradu </t>
  </si>
  <si>
    <t>vzdelávanie, poradenstvo, informácie, monitoring, otvorený obchod, kancelária, škola, kosenie, upratovanie, správa sociálnej siete, copywritting, účtovníctvo</t>
  </si>
  <si>
    <t xml:space="preserve">Sociálny podnik Žaškov, s. r. o. </t>
  </si>
  <si>
    <t>čistiace a upratovacie služby, dom a záhrada, stavebníctvo, kultúra a šport, odpady a recyklácia, reklama</t>
  </si>
  <si>
    <t>Hlavná 112/106, 027 21 Žaškov</t>
  </si>
  <si>
    <t>Sociálny podnik Žaškov, s. r. o. vykonáva nasledovné činnosti: starostlivosť o verejné priestranstvá obce, udržiavanie čistoty na verejných priestranstvách a miestnom cintoríne, udržiavanie verejnej zelene a likvidácia nežiadúcich porastov, údržba miestnych komunikácií a chodníkov, zimná údržba komunikácií, kosenie verejných priestranstiev, uskutočňovanie stavieb a ich zmien, prípravné práce k realizácii stavby, dokončovacie stavebné práce, výroba jednoduchých výrobkov z dreva.</t>
  </si>
  <si>
    <t>Podnik zamestnáva občanov s trvalým pobytom v obci Žaškov, ktorí sa z rôznych dôvodov dlhodobo nedokázali uplatniť na trhu práce. Zamestnáva osoby, ktoré sú znevýhodnenými alebo zraniteľnými osobami. Tieto osoby sú zaradené do pracovného kolektívu, kde sa učia pracovnej morálke a návykom. V neposlednom rade - vytvorením pracovných miest podnik prispieva k znižovaniu nezamestnanosti v obci.</t>
  </si>
  <si>
    <t>https://katalogsp.gov.sk/wp-content/uploads/2021/12/SP-Zaskov-banner1-E-katalog-RSP.jpg</t>
  </si>
  <si>
    <t>https://katalogsp.gov.sk/socialny-podnik-zaskov-s-r-o/</t>
  </si>
  <si>
    <t>+421 917 698 567</t>
  </si>
  <si>
    <t>socialnypodnik@zaskov.sk</t>
  </si>
  <si>
    <t>Sociálny podnik Žaškov, s. r. o., RSP</t>
  </si>
  <si>
    <t>Zimná údržba miestnych komunikácií a verejných priestranstiev, dokončovacie interiérové stavebné práce, dokončovacie práce na hrubej stavbe drevenice.</t>
  </si>
  <si>
    <t>zimná údržba, chodníky, murárske práce, maľovanie, zatepľovanie, kosenie, zametanie, stolársko-tesárske práce, kosenie, úprava verejných priestranstiev</t>
  </si>
  <si>
    <t>KOZÁK, s. r. o.</t>
  </si>
  <si>
    <t>obaly, iné (tovary a služby)</t>
  </si>
  <si>
    <t xml:space="preserve">Záhrady 292/11, 972 05 Sebedražie </t>
  </si>
  <si>
    <t>Spoločnosť podniká v oblasti prenájmu nehnuteľného majetku; robíme tiež drobný maloobchod - produkty spoločnosti doTERRA. Ponuku máme rozšírenú o výrobné aktivity v oblasti obalových produktov z kartónu a plast-kartónu, vykonávame práce potrebné pri výrobe kartónových produktov, ktoré sú predávané formou služby a polotovarov pre spoločnosť Karton.sk, s.r.o.; neskôr plánujeme túto ponuku rozšíriť aj pre ďalšie spoločnosti.</t>
  </si>
  <si>
    <t>Zamestnávame znevýhodnené a zraniteľné osoby, vytvárame podmienky pre ich socializáciu a adaptáciu na požiadavky pracovného trhu najmä v manuálnych činnostiach, pomáhame im pri osvojení si pravidelných pracovných návykov.</t>
  </si>
  <si>
    <t>https://katalogsp.gov.sk/wp-content/uploads/2021/12/Kozak-banner3-E-katalog-RSP.jpg</t>
  </si>
  <si>
    <t>https://katalogsp.gov.sk/kozak-s-r-o/</t>
  </si>
  <si>
    <t>+421 918 874 354</t>
  </si>
  <si>
    <t>KOZÁK, s.r.o.</t>
  </si>
  <si>
    <t>Robíme prenájom nehnuteľností a pomocné práce pri výrobe obalov z kartónu a vlnitej lepenky.</t>
  </si>
  <si>
    <t>prenájom nehnuteľností, kartónové obaly</t>
  </si>
  <si>
    <t>Balance center</t>
  </si>
  <si>
    <t>Drobný maloobchod, školenia zdravia a líčenia.</t>
  </si>
  <si>
    <t>esenciálne oleje, aromaterapia, zdravá výživa, poradenstvo</t>
  </si>
  <si>
    <t>PW Logistics Slovakia s.r.o., r. s. p.</t>
  </si>
  <si>
    <t>doprava, obaly, iné (tovary a služby)</t>
  </si>
  <si>
    <t>Vŕbová 2746/12, 924 01 Galanta</t>
  </si>
  <si>
    <t>Robíme balenie tovaru (ručné / strojové), etiketovanie, co-packing, polygrafia, POP Display, kartónové palety, ECO-BOXy, nákladnú dopravu a iné.</t>
  </si>
  <si>
    <t>Snažíme sa zlepšiť sociálne postavenie ľudí so zníženou zdravotnou schopnosťou, ich zaradenie do pracovného procesu.</t>
  </si>
  <si>
    <t>https://katalogsp.gov.sk/wp-content/uploads/2021/12/PW-Logistics-logo1-E-katalog-RSP.jpg</t>
  </si>
  <si>
    <t>https://katalogsp.gov.sk/pw-logistics-slovakia-s-r-o-r-s-p/</t>
  </si>
  <si>
    <t>+421 903 483 335</t>
  </si>
  <si>
    <t>pw@pwsk.sk</t>
  </si>
  <si>
    <t>Balenie tovaru (ručné / strojové), co-packing, etiketovanie, kartónové palety, ECO-BOX, polygrafia, POP Display, nákladná doprava a iné</t>
  </si>
  <si>
    <t>balenie tovaru, prebaľovanie tovaru, etiketovanie, ECO palety, ECO krabice, tlač, tlačiareň, predajné stojany, nákladná doprava, co packing</t>
  </si>
  <si>
    <t>Sunrise Group s.r.o.</t>
  </si>
  <si>
    <t>obaly, dom a záhrada, stavebníctvo</t>
  </si>
  <si>
    <t>Arm. gen. Svobodu 32, 080 01 Prešov</t>
  </si>
  <si>
    <t xml:space="preserve">Naša spoločnosť sa zaoberá výrobou drevených paliet podľa potrieb zákazníka – typizovaných aj atypických. Dodávame aj nové, prípadne použité EUR/EPAL palety (tzv. europalety).
Taktiež sa zaoberáme komplexnou stavebnou činnosťou, t. j. výstavba a rekonštrukcia budov. Poskytujeme prípravné a dokončovacie stavebné práce pri realizácii exteriérov a interiérov a rôzne interiérové práce.
</t>
  </si>
  <si>
    <t>Zamestnávame znevýhodnených občanov aj so zdravotným postihnutím, ktorí majú sťaženú možnosť uplatnenia sa na pracovnom trhu, vrátane občanov z marginalizovaných rómskych komunít.</t>
  </si>
  <si>
    <t>https://katalogsp.gov.sk/sunrise-group-s-r-o/</t>
  </si>
  <si>
    <t>+421 911 886 600</t>
  </si>
  <si>
    <t>dopyt@sunrisegroup.sk</t>
  </si>
  <si>
    <t>Výrobné a skladové priestory</t>
  </si>
  <si>
    <t>Výroba typových aj atypických druhov paliet. Dodávka nových aj použitých certifikovaných EUR/EPAL paliet (tzv. europaliet).
Komplexná stavebná činnosť. </t>
  </si>
  <si>
    <t>výroba drevených paliet, drevené palety, stavba</t>
  </si>
  <si>
    <t>Laboprofilak, RSP s. r. o.</t>
  </si>
  <si>
    <t>dom a záhrada, stavebníctvo, auto-moto, iné (tovary a služby)</t>
  </si>
  <si>
    <t>Podvysoká 386, 023 57 Podvysoká</t>
  </si>
  <si>
    <t>Robíme záručnú i pozáručnú opravu automobilov, bicyklov, skútrov, zabezpečíme aj  riešenie poistných udalostí. V ponuke máme tiež starostlivosť o domácnosti, obecné pozemky a záhrady, ako aj drobné stavebné práce.</t>
  </si>
  <si>
    <t>Poskytujeme pracovné miesta pre zdravotne znevýhodnených občanov</t>
  </si>
  <si>
    <t>https://katalogsp.gov.sk/wp-content/uploads/2021/12/Laboprofilak-banner2-E-katalog-RSP.jpg</t>
  </si>
  <si>
    <t>https://katalogsp.gov.sk/laboprofilak-rsp-s-r-o/</t>
  </si>
  <si>
    <t>+421 918 535 032</t>
  </si>
  <si>
    <t>info@laboprofilak.sk</t>
  </si>
  <si>
    <t>Laboprofilak RSP, s.r.o.</t>
  </si>
  <si>
    <t>Lakovnícke potreby a služby spojené s opravou automobilov.</t>
  </si>
  <si>
    <t>automobilové opravy, automobilové súčiastky, pneumatiky, lakýrnické potreby, lakovnícke potreby, kosenie, búranie, stavanie, stavba, stavebné práce, bicykel, skúter</t>
  </si>
  <si>
    <t>cShop SK s. r. o. r.s.p.</t>
  </si>
  <si>
    <t>kultúra a šport</t>
  </si>
  <si>
    <t>Pod Glavicou 2, 841 08 Bratislava</t>
  </si>
  <si>
    <t>Poskytujeme službu servis bicyklov. Ponúkame širokú škálu cyklokomponentov a sučiastok na bicykle, či už v predajni alebo cez eshop.</t>
  </si>
  <si>
    <t>V podpore zamestnanosti ľudí so zdravotným znevýhodnením.</t>
  </si>
  <si>
    <t>https://katalogsp.gov.sk/wp-content/uploads/2023/11/CcShop-Sk.png</t>
  </si>
  <si>
    <t>https://katalogsp.gov.sk/cshop-sk-s-r-o-r-s-p/</t>
  </si>
  <si>
    <t>+421 918 632 422</t>
  </si>
  <si>
    <t>info@cshop.sk</t>
  </si>
  <si>
    <t>cShop SK</t>
  </si>
  <si>
    <t>Zameriavame sa na servis bicyklov, ponúkame širokú škálu cyklodoplnkov a príslušenstva.</t>
  </si>
  <si>
    <t>servis bicyklov, náhradné diely na bicykel, doplnky na bicykle, oblečenie na bicykel, podpora cykloservisov, cykloservis</t>
  </si>
  <si>
    <t>Antal shoes s. r. o.</t>
  </si>
  <si>
    <t>Duchnovičova 552/54, 068 01 Medzilaborce</t>
  </si>
  <si>
    <t>Robíme výrobu a predaj barefoot topánok.</t>
  </si>
  <si>
    <t>Zamestnávame znevýhodnené a zraniteľné osoby. Vytvárame pracovné miesta v jednom z najchudobnejších regiónov.</t>
  </si>
  <si>
    <t>https://katalogsp.gov.sk/antal-shoes-s-r-o/</t>
  </si>
  <si>
    <t>+420 775 042 553</t>
  </si>
  <si>
    <t>radoslav.antal@gmail.com</t>
  </si>
  <si>
    <t>Antal shoes s.r.o.</t>
  </si>
  <si>
    <t>Výroba a predaj barefoot topánok.</t>
  </si>
  <si>
    <t>obuv, barefoot topánky</t>
  </si>
  <si>
    <t>JS ENGINEERING s.r.o.</t>
  </si>
  <si>
    <t>P.O. Hviezdoslava 861/59, 013 03 Varín</t>
  </si>
  <si>
    <t>Náš registrovaný sociálny podnik ponúka zemné a výkopové práce i rôzne stavebné práce zákazníkom, ako sú samosprávy, spoločnosti a firmy, aj súkromné osoby.</t>
  </si>
  <si>
    <t>Náš registrovaný sociálny podnik umožňuje a poskytuje prácu osobám, ktoré sa ťažko uplatňujú na trhu práce, pomáha im začleniť sa do spoločnosti a byť pre spoločnosť prínosom.</t>
  </si>
  <si>
    <t>https://katalogsp.gov.sk/wp-content/uploads/2021/12/JS-ENGINEERING-banner1-E-katalog-RSP.jpg</t>
  </si>
  <si>
    <t>https://katalogsp.gov.sk/js-engineering-s-r-o/</t>
  </si>
  <si>
    <t>+421 944 114 758</t>
  </si>
  <si>
    <t>info@vykopovepraceza.sk</t>
  </si>
  <si>
    <t>Ponúkame zemné a výkopové práce i rôzne ďalšie stavebné práce.</t>
  </si>
  <si>
    <t>zemné práce, výkopové práce, terénne úpravy, stavebné práce, stavba</t>
  </si>
  <si>
    <t>Obecný sociálny podnik KENDY s. r. o., r. s. p.</t>
  </si>
  <si>
    <t>čistiace a upratovacie služby, poľnohospodárstvo a lesníctvo, dom a záhrada, stavebníctvo</t>
  </si>
  <si>
    <t>Kendice 274, 082 01 Kendice</t>
  </si>
  <si>
    <t>Našimi zákazníkmi sú obec a všetci jej občania. Poskytujeme im služby súvisiace s údržbou dvorov a pozemkov obce, najmä vo forme kosenia a úpravy drevín. Ponúkame tiež drobné stavebné práce, ako sú búracie a terénne práce, pokládka dlažby.</t>
  </si>
  <si>
    <t>V prvom rade zvyšovaním zamestnanosti.</t>
  </si>
  <si>
    <t>https://katalogsp.gov.sk/obecny-socialny-podnik-kendy-s-r-o-r-s-p/</t>
  </si>
  <si>
    <t>+421 517 797 123, +421 902 053 242</t>
  </si>
  <si>
    <t>socialnypodnik.kendy@gmail.com</t>
  </si>
  <si>
    <t>Obecný sociálny podnik Kendy s.r.o., r.s.p.</t>
  </si>
  <si>
    <t>Služby spojené s údržbou pozemkov a dvorov obce, drobné stavebné práce.</t>
  </si>
  <si>
    <t>kosenie, stavebné práce, orez stromov, dlažba</t>
  </si>
  <si>
    <t>Selčianske, s.r.o.</t>
  </si>
  <si>
    <t>stavebníctvo, doprava, iné (tovary a služby)</t>
  </si>
  <si>
    <t>Selčianska cesta 2, 976 11 Selce</t>
  </si>
  <si>
    <t>Služby v oblasti obchodu, údržby ciest a chodníkov, upratovacie služby, služby úpravy terénu, pomocné práce v stavebníctve.</t>
  </si>
  <si>
    <t>Aktuálne zamestnávame hlavne ZŤP (všetci zamestnanci sú ZŤP).</t>
  </si>
  <si>
    <t>https://katalogsp.gov.sk/selcianske-s-r-o/</t>
  </si>
  <si>
    <t>+421 902 065 622</t>
  </si>
  <si>
    <t>predseda@rdselce.sk</t>
  </si>
  <si>
    <t>Služby poskytované v oblasti stavebníctva, obchodu, prepravy tovaru, zásobovania, údržby ciest a chodníkov, terénne úpravy.</t>
  </si>
  <si>
    <t>búranie, kosenie, údržba, terénne úpravy, doprava tovaru</t>
  </si>
  <si>
    <t>Bellus Labor o. z.</t>
  </si>
  <si>
    <t>čistiace a upratovacie služby, vzdelávanie, reklama, pre deti, bižutéria a darčekové predmety, iné (tovary a služby)</t>
  </si>
  <si>
    <t>Soblahov 646, 913 38 Soblahov</t>
  </si>
  <si>
    <t>Ponúkame dekoračné a prezentačné predmety, vhodné aj ako darček. Je možné zadať aj konkrétnu predstavu a dohodnúť produkt individuálne. Dekoračné predmety sú viazané na ročné obdobia a sviatky, napr. vianočné a veľkonočné ozdoby a dekorácie, ale aj nadčasové a personalizované dekorácie a darčeky, napr. kľúčenky, menovky, svietniky, mydielka, šité výrobky, a pod. Výrobky vyrábame vo veľkej miere z prírodných materiálov, recyklovaním nepoužívaných materiálov, hliny.</t>
  </si>
  <si>
    <t>Zamestnávame zdravotne znevýhodnených občanov, ktorým zdravotné znevýhodnenie nedovoľuje zamestnať sa bez zvýhodnených podmienok.</t>
  </si>
  <si>
    <t>https://katalogsp.gov.sk/wp-content/uploads/2021/12/Bellus-Labor-logo1-E-katalog-RSP.jpg</t>
  </si>
  <si>
    <t>https://katalogsp.gov.sk/bellus-labor-o-z/</t>
  </si>
  <si>
    <t>+421 917 522 558</t>
  </si>
  <si>
    <t>belluslabor@gmail.com</t>
  </si>
  <si>
    <t>Bellus Labor o.z.</t>
  </si>
  <si>
    <t>Dekoračné predmety, darčekové predmety, prezentačné predmety a personalizované predmety (menovka, výrobok s logom firmy...)</t>
  </si>
  <si>
    <t>vianočná ozdoba, svietnik, levanduľové ozdoby, vianočné prestieranie, levanduľová bábika, venček, menovka, taška, reklamné predmety</t>
  </si>
  <si>
    <t>Obecné služby Kocurany s. r. o.</t>
  </si>
  <si>
    <t>Kocurany 105, 972 02 Kocurany</t>
  </si>
  <si>
    <t>Rozvoj obce realizáciou výstavby niektorých investičných zámerov obce, zabezpečenie opráv a údržby obecného majetku, udržiavanie bezpečnosti a čistoty verejných priestranstiev. Zabezpečovanie verejnoprospešných služieb - dovoz dreva, štiepkovanie drevnej hmoty, nakladanie a odvoz rôzneho materiálu, výstavba stojísk na zberné nádoby, rekonštrukcia a výstavba obecných chodníkov a pod.</t>
  </si>
  <si>
    <t>Podpora regionálneho rozvoja, zamestnanie zraniteľných a znevýhodnených osôb.</t>
  </si>
  <si>
    <t>https://katalogsp.gov.sk/obecne-sluzby-kocurany-s-r-o/</t>
  </si>
  <si>
    <t>+421 465 439 872</t>
  </si>
  <si>
    <t>obec@kocurany.sk</t>
  </si>
  <si>
    <t>stavba, výstavba, opravy,     údržba, verejnoprospešné služby, štiepkovanie drevnej hmoty, doprava, stavebné práce, rekonšrukcie</t>
  </si>
  <si>
    <t>MAYO tech s.r.o.</t>
  </si>
  <si>
    <t>krása-zdravie-relax</t>
  </si>
  <si>
    <t xml:space="preserve">Súvoz 732/1, 911 01 Trenčín
</t>
  </si>
  <si>
    <t>Podnikáme v dvoch oblastiach: 
hlavnou činnosťou je výroba bicyklov, elektrických bicyklov a trojkoliek;
v prevádzke Kryowell poskytujeme služby wellness.</t>
  </si>
  <si>
    <t>Zamestnávame zamestnancov s rôznymi druhmi zdravotného znevýhodnenia.</t>
  </si>
  <si>
    <t>https://katalogsp.gov.sk/wp-content/uploads/2021/12/Mayo-tech-logo1-E-katalog-RSP.jpg</t>
  </si>
  <si>
    <t>https://katalogsp.gov.sk/mayo-tech-s-r-o/</t>
  </si>
  <si>
    <t>+421 327 430 452</t>
  </si>
  <si>
    <t>info@liberty.sk</t>
  </si>
  <si>
    <t>Kryowell</t>
  </si>
  <si>
    <t>Ponúkame služby wellness: masáže, celotelovú a lokálnu kryoterapiu, saunu, whirlpool, soľnú jaskyňu.</t>
  </si>
  <si>
    <t>wellness, masáže, celotelová a lokálna kryoterapia, sauna, whirlpool, soľná jaskyňa</t>
  </si>
  <si>
    <t>Peter Verníček</t>
  </si>
  <si>
    <t>ubytovacie a stravovacie služby, potraviny a nápoje, odevy a obuv, nábytok a bytové doplnky</t>
  </si>
  <si>
    <t>Mláka 5/8, 029 01 Námestovo</t>
  </si>
  <si>
    <t>V našej rôznorodej ponuke máme gastronomické výrobky - výroba a predaj bagiet, chlebíčky, šaláty a zabezpečujeme aj catering; prevádzkujeme tiež predaj obuvi a bytového textilu.
Naši zákazníci sú maloobchodné prevádzky, obyvatelia regiónu a rôzne firmy.</t>
  </si>
  <si>
    <t>Zamestnávame znevýhodnené a zraniteľné osoby.</t>
  </si>
  <si>
    <t>https://katalogsp.gov.sk/peter-vernicek/</t>
  </si>
  <si>
    <t>+421 907 881 851</t>
  </si>
  <si>
    <t>poloma@orava.sk</t>
  </si>
  <si>
    <t>Gastrovýrobky -  výroba a predaj bagiet, chlebíčky, šaláty a zabezpečujeme aj catering</t>
  </si>
  <si>
    <t>bufet, gastro, chlebíčky, šaláty, catering, bytový textil, obuv</t>
  </si>
  <si>
    <t>Peter Verníček - bytový textil</t>
  </si>
  <si>
    <t>Bytový textil, doplnky.</t>
  </si>
  <si>
    <t xml:space="preserve">bytový textil, </t>
  </si>
  <si>
    <t>S &amp; J Group, s.r.o.</t>
  </si>
  <si>
    <t>potraviny a nápoje, odevy a obuv, elektro, iné (tovary a služby)</t>
  </si>
  <si>
    <t xml:space="preserve">Dúbrava 592, 913 33 Horná Súča </t>
  </si>
  <si>
    <t>Špecializujeme sa na malosériovú manuálnu výrobu, organizujeme a plánujeme výrobu pre dve priemyselné odvetvia: výrobu káblových zväzkov a spracovanie ovocných dezertov (plnené datle).
Dokážeme sa flexibilne prispôsobiť nečakaným situáciám: potravinársku výrobu s 30 pracovníkmi sme rozbehli za 4 týždne a medzičasom ju aj raz presťahovali; v prvej vlne Covidovej pandémie sme 90% výrobnej kapacity pretransformovali na šitie 
látkových rúšok; máme skúsenosti s výrobou produktov zo syntetických lán.
Ako obchodný partner dokážeme: prevziať časť vašej výroby alebo prípravy výroby, pomôcť s testovaním nových a inovovaných postupov vašej terajšej výroby, pomôcť s testovaním výrobných procesov a postupov pri nových produktoch pred spustením masovej výroby (vrátane marketingových a obchodných vzoriek), ručne maloobjemovo vyrábať vaše luxusné produkty, pomáhať vo vývoji, výskume a inováciách produktov a pri experimentálnej výrobe.</t>
  </si>
  <si>
    <t>Šesť rokov nachádzame riešenia, ktoré prinášajú prospech všetkým zúčastneným stranám: obchodným partnerom, zamestnancom, dodávateľom. Priemerne zamestnávame 60 ľudí, z toho je 37 zdravotne znevýhodnených. Dávame šancu byť užitočnými a prospešnými sebe, rodine i spoločnosti aj tým, s ktorými už nikto nepočíta... Firmy u nás nájdu svoj dlhodobý projekt/program zodpovedného podnikania a komunitnej podpory.</t>
  </si>
  <si>
    <t>https://katalogsp.gov.sk/wp-content/uploads/2021/12/SaJ-Group-4.jpg</t>
  </si>
  <si>
    <t>https://katalogsp.gov.sk/s-j-group-s-r-o/</t>
  </si>
  <si>
    <t>+421 918 566 642</t>
  </si>
  <si>
    <t>miroslav.jurica@gmail.com</t>
  </si>
  <si>
    <t>Potravinárska výroba: plnenie datlí, váženie, balenie (automatická balička), etiketovanie, skladovanie.
Výroba káblových zväzkov: montáž a testovanie káblových zostáv do vysokotepelných pecí a automotive.
Krajčírska dielňa: rúška, reflexné prvky, konfekčná výroba, zákazková výroba.
Preprava tovaru: zabezpečíme prepravu tovaru dodávateľov k nám a od nás k zákazníkom.</t>
  </si>
  <si>
    <t>potraviny, sušené ovocie, datle, mandle, vlašské orechy, marcipán, orechy, mix, balenie, etikety, etiketovanie, sklad, káblové zväzky, káblové zostavy, montáž, testovanie, vysokotepelné pece, automotive, krajčírska dielňa, rúška, reflexné prvky, konfekcia, zákazková výroba, tulivaky, preprava tovaru, syntetické laná</t>
  </si>
  <si>
    <t>Nestor služby s.r.o.</t>
  </si>
  <si>
    <t>čistiace a upratovacie služby, dom a záhrada, stavebníctvo</t>
  </si>
  <si>
    <t>Stred 449, 027 05 Zázrivá</t>
  </si>
  <si>
    <t xml:space="preserve">Spoločnosť NESTOR služby s.r.o. sa venuje, okrem iného, poskytovaniu prania, žehlenia a mangľovania bielizne, upratovacím službám, záhradníckym prácam, organizovaniu športových, kultúrnych a iných spoločenských podujatí, drobným stavebným prácam a údržbe budov.
</t>
  </si>
  <si>
    <t>Naša spoločnosť prispieva k dosahovaniu pozitívneho sociálneho vplyvu poskytovaním spoločensky prospešnej služby v oblasti zamestnanosti, a to zamestnávaním zraniteľných osôb a znevýhodnených osôb v našej práčovni. Kolegovia budú začlenení do kolektívu, kde budú mať rovnaké pracovné podmienky, ako zamestnanci bez znevýhodnenia. Zároveň si osvoja pracovné návyky a získajú nové zručnosti pre výkon povolania, čo zvýši šance na ich opätovné spoločenské a pracovné začlenenie berúc do úvahy ich novonadobudnutú mieru finančnej autonómie a samostatnosti, sebadôvery či schopnosti fungovať v prostredí pracovného kolektívu.</t>
  </si>
  <si>
    <t>https://katalogsp.gov.sk/nestor-sluzby-s-r-o/</t>
  </si>
  <si>
    <t>+421 904 155 155</t>
  </si>
  <si>
    <t>fusekova@lbg.sk</t>
  </si>
  <si>
    <t>Služby práčovne (pranie, žehlenie a mangľovanie bielizne), upratovacie služby, záhradnícke práce, drobné stavebné práce, údržba budovy.</t>
  </si>
  <si>
    <t>práčovňa, pranie, žehlenie, mangľovanie bielizne upratovanie, kosenie, drobné stavebné práce, záhradnícke práce</t>
  </si>
  <si>
    <t>Pekná záhrada, spol. s r.o.</t>
  </si>
  <si>
    <t>Bolešov 1038, 018 53 Bolešov</t>
  </si>
  <si>
    <t>Naša firma sa venuje záhradným a stavebným prácam. Realizujeme záhrady na kľúč, závlahový systém, výsadbu stromov, výsev trávnikov alebo pokládku hotových trávnych kobercov. Vypracúvame vlastné návrhy záhrad. Realizujeme aj stavebné práce: oplotenie, dlažby, chodníky, oporné múriky, schody a pod.</t>
  </si>
  <si>
    <t>Máme zamestnancov, ktorí majú zdravotné znevýhodnenie.</t>
  </si>
  <si>
    <t>https://katalogsp.gov.sk/wp-content/uploads/2021/12/Pekna-zahrada-banner1-E-katalog-RSP.jpg</t>
  </si>
  <si>
    <t>https://katalogsp.gov.sk/pekna-zahrada-spol-s-r-o/</t>
  </si>
  <si>
    <t>+421 948 074 040</t>
  </si>
  <si>
    <t>peknazahrada.bolesov@gmail.com</t>
  </si>
  <si>
    <t>Návrhy záhrad, spracovanie návrhov závlahového systému.</t>
  </si>
  <si>
    <t>záhrada, rastliny, záhradný materiál, stavebné práce, zavlažovací systém; záhradná architektúra</t>
  </si>
  <si>
    <t>DOZA, výrobné družstvo</t>
  </si>
  <si>
    <t xml:space="preserve">Michalovská 73, 073 01 Sobrance </t>
  </si>
  <si>
    <t>Hlavnou pracovnou činnosťou družstva je výroba pracovných odevov, ochranných pracovných odevov pre zváračov a iných textilných výrobkov.
Naši zákazníci: strojársky priemysel, poľnohospodárstvo, stavebný priemysel, zdravotníctvo a iné odvetvia.</t>
  </si>
  <si>
    <t>Zamestnávaním znevýhodnených osôb.</t>
  </si>
  <si>
    <t>https://katalogsp.gov.sk/doza-vyrobne-druzstvo/</t>
  </si>
  <si>
    <t>+421 566 521 058</t>
  </si>
  <si>
    <t>doza@szm.sk</t>
  </si>
  <si>
    <t>Doza, výrobné družstvo</t>
  </si>
  <si>
    <t>Výroba pracovných odevov.</t>
  </si>
  <si>
    <t>pracovné odevy, ochranné odevy</t>
  </si>
  <si>
    <t>JuBaSa s.r.o.</t>
  </si>
  <si>
    <t>Nad traťou 1342/28, 060 01 Kežmarok</t>
  </si>
  <si>
    <t>Začíname rozbiehať textilnú a odevnú výrobu.</t>
  </si>
  <si>
    <t>Podnik sa venuje najmä textilnej a odevnej výrobe, uskutočňovaniu stavieb a ich zmien, prípravným prácam k realizácii stavby, opracovaniu drevnej hmoty a výrobe komponentov z dreva, výrobe jednoduchých výrobkov z dreva, korku a slamy, prútia a ich úprave, oprave a údržbe.</t>
  </si>
  <si>
    <t>https://katalogsp.gov.sk/jubasa-s-r-o/</t>
  </si>
  <si>
    <t>+421 905 981 914</t>
  </si>
  <si>
    <t>jubasa.sro@gmail.com</t>
  </si>
  <si>
    <t>Rozbiehame textilnú a odevnú výrobu.</t>
  </si>
  <si>
    <t>odevy, textil</t>
  </si>
  <si>
    <t>Obecný Podnik Pribiš, s.r.o.</t>
  </si>
  <si>
    <t>čistiace a upratovacie služby, dom a záhrada, stavebníctvo, doprava, ubytovacie a stravovacie služby, kultúra a šport, odpady a recyklácia</t>
  </si>
  <si>
    <t>Pribiš 141, 027 41 Pribiš</t>
  </si>
  <si>
    <t>Náš obecný sociálny podnik vykonáva momentálne temer všetku časť svojich služieb pre obec Pribiš. Vykonávame hlavne stavebnú činnosť všetkého druhu na rôznych rekonštrukciách v obci, takisto vykonávame všetky služby pre obec, ale aj pre občanov našej obce, hlavne v dôchodkovom veku. Nakoniec postupne rozbiehame výrobu vlastných odvodňovacích žľabov a betónových plotov, ktoré využívame na odvodňovanie miestnych komunikácií v obci a na oplotenia pozemkov obecných inštitúcií.</t>
  </si>
  <si>
    <t>Celý zisk sociálneho podniku investujeme v obci. Keďze naša obec je prestarnutá, sociálny podnik je nápomocný seniorom a sociálne slabším občanom.</t>
  </si>
  <si>
    <t>https://katalogsp.gov.sk/wp-content/uploads/2021/12/Obecny-podnik-Pribis-banner1-E-katalog-RSP.jpg</t>
  </si>
  <si>
    <t>https://katalogsp.gov.sk/obecny-podnik-pribis-s-r-o/</t>
  </si>
  <si>
    <t>+421 917 973 956</t>
  </si>
  <si>
    <t>podnik@pribis.sk</t>
  </si>
  <si>
    <t>Obecný podnik Pribiš, s.r.o.</t>
  </si>
  <si>
    <t>Rozbiehame výrobu betónových žľabov a plotov, ktoré však momentálne dodávame iba pre našu obec Pribiš. V budúcnosti by sme chceli výrobu rozšíriť a uspokojiť tak dopyt aj z ostatných obcí.</t>
  </si>
  <si>
    <t>stavebné a búracie práce, kosenie, upratovanie, remeselné práce</t>
  </si>
  <si>
    <t>Patricius.sk s.r.o.</t>
  </si>
  <si>
    <t xml:space="preserve">Rastislavova 100, 040 01 Košice - mestská časť Juh </t>
  </si>
  <si>
    <t>Hotelový a reštauračný textil.</t>
  </si>
  <si>
    <t>Zamestnávame osoby so zdravotným znevýhodnením.</t>
  </si>
  <si>
    <t>https://katalogsp.gov.sk/wp-content/uploads/2021/12/Patricius-main1.jpg</t>
  </si>
  <si>
    <t>https://katalogsp.gov.sk/patricius-sk-s-r-o/</t>
  </si>
  <si>
    <t>+421 911 484 377</t>
  </si>
  <si>
    <t>patrik.knis@gmail.com</t>
  </si>
  <si>
    <t>Patricius.sk</t>
  </si>
  <si>
    <t>Predaj hotelového a reštauračného textilu.</t>
  </si>
  <si>
    <t>hotelový textil, reštauračný textil, obliečky, plachty, paplóny, vankúše, hotelová kozmetika, matrace</t>
  </si>
  <si>
    <t>IZONES, s. r. o.</t>
  </si>
  <si>
    <t>stavebníctvo</t>
  </si>
  <si>
    <t>Ulica Ľ. Ondrejova 17A/1905, 971 01 Prievidza</t>
  </si>
  <si>
    <t>Hlavný predmet činnosti je založený na rekonštrukcii plochých striech stavieb. Našimi klientmi sú predovšetkým stavebné družstvá, správcovia budov a individuálni vlastníci stavieb. Vykonávame tiež montáže izolačných a zatepľovacích stavebných systémov.</t>
  </si>
  <si>
    <t>Zamestnávanie znevýhodnených osôb.</t>
  </si>
  <si>
    <t>https://katalogsp.gov.sk/izones-s-r-o/</t>
  </si>
  <si>
    <t>+421 918 844 900</t>
  </si>
  <si>
    <t>izones@izones.sk</t>
  </si>
  <si>
    <t>Opravy a rekonštrukcie plochých striech stavieb.</t>
  </si>
  <si>
    <t>Opravy a rekonštrukcie plochých striech stavieb, ploché strechy</t>
  </si>
  <si>
    <t>Budimírske služby s.r.o., registrovaný sociálny podnik</t>
  </si>
  <si>
    <t>Budimír 19, 044 43 Budimír</t>
  </si>
  <si>
    <t>Naša spoločnosť sa zameriava na služby verejnoprospešného charakteru v obci Budimír (kosenie, udržiavanie čistoty v obci, zimná údržba), pomáha aj pri organizovaní kultúrno-spoločenských podujatí. V neposlednom rade je to naša stavebná činnosť, s ktorou sa na nás obracajú starostovia okolitých obcí, kde sme realizovali rôzne rekonštrukcie budov, ale aj fyzické osoby, u ktorých sme robili rekonštrukcie striech, stavbu základovej dosky alebo obvodových múrov rodinných domov.</t>
  </si>
  <si>
    <t>Zamestnávame znevýhodnených občanov, či už z rómskej komunity alebo so zdravotným znevýhodnením, ktoré im nedovoľuje sa plnohodnotne zamestnať.</t>
  </si>
  <si>
    <t>https://katalogsp.gov.sk/budimirske-sluzby-s-r-o-registrovany-socialny-podnik/</t>
  </si>
  <si>
    <t>+421 908 182 239</t>
  </si>
  <si>
    <t>budimirske.sluzby@gmail.com</t>
  </si>
  <si>
    <t>Aktuálne ponúkame verejnoprospešné služby, kosenie, zimnú údržbu, stavebné práce, rekonštrukcie striech, stavbu altánkov, pokládku chodníkov a pod.</t>
  </si>
  <si>
    <t>stavebné práce, rekonštrukcie, zemné práce, stavba altánkov, pokládka chodníkov</t>
  </si>
  <si>
    <t>CRAFT PRODUCTION s. r. o.</t>
  </si>
  <si>
    <t>dom a záhrada, iné (tovary a služby)</t>
  </si>
  <si>
    <t xml:space="preserve">Kukučínova 670/27, 972 12 Nedožery - Brezany </t>
  </si>
  <si>
    <t>V našej ponuke je výroba dekoratívnych predmetov, kamenných kvetináčov a služby v oblasti expedície tovaru.</t>
  </si>
  <si>
    <t>https://katalogsp.gov.sk/wp-content/uploads/2021/12/kamenne-kvetinace-1.jpg</t>
  </si>
  <si>
    <t>https://katalogsp.gov.sk/craft-production-s-r-o/</t>
  </si>
  <si>
    <t>+421 465 485 286</t>
  </si>
  <si>
    <t>craftproductionrsp@gmail.com</t>
  </si>
  <si>
    <t>CRAFT PRODUCTION s.r.o.</t>
  </si>
  <si>
    <t>Vyrábame dekoratívne predmety. kamenné kvetináče a ponúkame aj služby expedície tovaru.</t>
  </si>
  <si>
    <t>kamenné kvetináče, dekoratívne predmety</t>
  </si>
  <si>
    <t>CHDMI, s.r.o.</t>
  </si>
  <si>
    <t>auto-moto, elektro</t>
  </si>
  <si>
    <t>Plynárenská 2, 071 01 Michalovce</t>
  </si>
  <si>
    <t>Je to výroba káblových zväzkov a výroba komponentov do elektromotorov.</t>
  </si>
  <si>
    <t>Zamestnávame zdravotne znevýhodnených občanov.</t>
  </si>
  <si>
    <t>https://katalogsp.gov.sk/chdmi-s-r-o/</t>
  </si>
  <si>
    <t>+421 903 718 435</t>
  </si>
  <si>
    <t>eva.balogova1@gmail.com</t>
  </si>
  <si>
    <t>CHDMI, s.r.o., RSP</t>
  </si>
  <si>
    <t>Výroba káblových zväzkov, výroba komponentov do elektromotorov.</t>
  </si>
  <si>
    <t>káblové zväzky, komponenty do elektromotorov</t>
  </si>
  <si>
    <t>Abalstav spol. s r.o.</t>
  </si>
  <si>
    <t>čistiace a upratovacie služby, auto-moto</t>
  </si>
  <si>
    <t>Výroba káblových zväzkov, čistenie priestorov - ochrana pred Covid.</t>
  </si>
  <si>
    <t>https://katalogsp.gov.sk/abalstav-spol-s-r-o/</t>
  </si>
  <si>
    <t>Výroba káblových zväzkov, čistenie priestorov - ochrana pred Covid, pomocné práce pri výrobe zdravotníckeho materiálu.</t>
  </si>
  <si>
    <t>káblové zväzky</t>
  </si>
  <si>
    <t>Obecné služby Domaňovce s. r. o., r. s. p.</t>
  </si>
  <si>
    <t>poľnohospodárstvo a lesníctvo, stavebníctvo, potraviny a nápoje, elektro, iné (tovary a služby)</t>
  </si>
  <si>
    <t>Domaňovce 92, 053 02 Domaňovce</t>
  </si>
  <si>
    <t>Obecné služby Domaňovce s.r.o., r.s.p. boli zriadené obcou so 100% účasťou obce. Jedná sa o obecný podnik, ktorého hlavným cieľom spoločnosti nie je a nebude vytváranie zisku pre zisk, ale zamestnávanie predovšetkým miestneho obyvateľstva. Príjmy z podnikania budú použité na ďalší rozvoj a v prospech obce. Medzi hlavné podnikateľské činnosti podniku patrí stavebná činnosť – prípravné práce k realizácii stavby, dokončovacie stavebné práce. Naším cieľom je poskytnutie takých služieb v mikroregióne, ktoré tu žiadna iná organizácia neposkytuje, a to montáž káblových zväzkov, poskytovanie služieb v oblasti rýchleho občerstvenia - predaj nápojov a polotovarov (obecná cukráreň) a pestovanie rakytníka.</t>
  </si>
  <si>
    <t>Zamestnávame znevýhodnené osoby.</t>
  </si>
  <si>
    <t>https://katalogsp.gov.sk/obecne-sluzby-domanovce-s-r-o-r-s-p/</t>
  </si>
  <si>
    <t>+421 905 741 877</t>
  </si>
  <si>
    <t>domanovce@levonetmail.sk</t>
  </si>
  <si>
    <t>Obecné služby s.r.o, r.s.p.</t>
  </si>
  <si>
    <t>Stavebná činnosť, montáž káblových zväzkov, predaj zákuskov, kávy, čokolády, zmrzliny, cukroviniek, panín, nápojov, pestovanie rakytníka.</t>
  </si>
  <si>
    <t>cukráreň, kaviareň, stavebné práce, údržba verejných priestranstiev, montáž káblových zväzkov, rakytník</t>
  </si>
  <si>
    <t>Rozkvitneš, s. r. o.</t>
  </si>
  <si>
    <t>dom a záhrada, krása-zdravie-relax, reklama, pre deti, iné (tovary a služby)</t>
  </si>
  <si>
    <t xml:space="preserve">Biskupická 3, 821 06 Bratislava </t>
  </si>
  <si>
    <t>Predmetom činnosti spoločnosti Rozkvitneš, s.r.o. je viazanie kytíc pre rôzne príležitosti, kvetinové boxy, smútočné vence alebo aranžovanie kvetinovej výzdoby do exteriéru a interiéru. Kytice sa budú viazať v rôznych veľkostiach od menších a lacnejších po väčšie a drahšie, podľa príležitostí aby si každý prišiel na svoje. V našom záujme je spolupracovať aj s rôznymi firmami, ktorým by sme našimi kvetinovými výrobkami skrášľovali ich pracovné prostredie. Poskytujeme rovnako aj aranžovanie a výzdobu priestorov na svadby a rôzne iné slávnostné príležitosti.</t>
  </si>
  <si>
    <t>Spoločnosť sa rozhodla zamestnávať znevýhodnené osoby, ktoré majú veľký problém uplatniť sa na trhu práce. Či už sú to občania s chorobou z povolania, alebo iní občania s invalidným postihnutím, ktorí nie sú schopní nájsť si prácu. Zameriame sa tiež na poskytnutie práce absolventom škôl, alebo takým občanom, ktorí sa dlhodobo nevedia zamestnať. Tým budeme podporovať pracovný trh na Slovensku a sčasti prispejeme k tomu, aby títo ľudia necestovali za prácou do zahraničia. Prijatím týchto osôb do pracovno-právneho vzťahu by bolo možné zvýšiť ich životnú úroveň, zabezpečiť rozvoj regiónu i nášho podnikania a pracovného kolektívu smerom napred.</t>
  </si>
  <si>
    <t>https://katalogsp.gov.sk/wp-content/uploads/2021/12/Rozkvitnes-5.jpg</t>
  </si>
  <si>
    <t>https://katalogsp.gov.sk/rozkvitnes-s-r-o/</t>
  </si>
  <si>
    <t>+421 904 235 079</t>
  </si>
  <si>
    <t>robo.bab99@gmail.com</t>
  </si>
  <si>
    <t>Rozkvitneš, s.r.o.</t>
  </si>
  <si>
    <t>Ponúkame viazanie kytíc pre rôzne príležitosti, kvetinové boxy, smútočné vence alebo aranžovanie kvetinovej výzdoby do exteriéru a interiéru.</t>
  </si>
  <si>
    <t>kvety, kytica, kvetinová výzdoba, darček, veniec, aranžovanie, smútočné vence, kytice</t>
  </si>
  <si>
    <t>CERNAN, s.r.o.</t>
  </si>
  <si>
    <t xml:space="preserve">Sládkovičova 2545, 017 01 Považská Bystrica </t>
  </si>
  <si>
    <t>Prevádzkujeme krajčírsku dielňu, v ktorej realizujeme šitie pracovných odevov, športových odevov, ľahkej konfekcie. Našimi zákazníkmi sú fyzické a právnické osoby, ponúkame im šitie odevov podľa ich zadania.</t>
  </si>
  <si>
    <t>Zamestnávame invalidné osoby.</t>
  </si>
  <si>
    <t>https://katalogsp.gov.sk/cernan-s-r-o/</t>
  </si>
  <si>
    <t>+421 904 384 382</t>
  </si>
  <si>
    <t>cernansro@gmail.com</t>
  </si>
  <si>
    <t>Šitie pracovných a športových odevov, ľahkej konfekcie.</t>
  </si>
  <si>
    <t>odevy, pracovné odevy, športové odevy, konfekcía, rúška</t>
  </si>
  <si>
    <t>o. z. Detské dopravné ihrisko Sobrance</t>
  </si>
  <si>
    <t>doprava, ochrana a bezpečnosť, vzdelávanie, kultúra a šport</t>
  </si>
  <si>
    <t xml:space="preserve">Kollárova 998/56, 073 01 Sobrance </t>
  </si>
  <si>
    <t>Prevádzkujeme detské dopravné ihrisko (DDI) v Sobranciach, na ktorom preferujeme zážitkové formy teoretického vyučovania a praktického výcviku dopravnej výchovy detí, mládeže a aj ostatného - dospelého - obyvateľstva. To všetko v bezpečnom prostredí cestnej premávky dopravného ihriska, na troj- a štvorkolesových šliapacích vozidlách s nosnosťou do 150 kg a s využívaním na Slovensku jedinečných simulátorov - simulátorov vplyvu alkoholu a drog, simulátora nárazu a simulátora prevrátenia vozidla. Simulátory s obsluhou, ako aj mobilné DDI, prenajímame na akcie zamerané na zvyšovanie bezpečnosti cestnej premávky. Prevádzame aplikáciu vodorovného dopravného značenia. Našimi klientmi sú napríklad: materské, základné a stredné školy, samosprávy, orgány štátnej správy, poisťovne, firmy či individuálni záujemcovia.</t>
  </si>
  <si>
    <t>Zamestnávaním 30% znevýhodnených alebo zraniteľných osôb.</t>
  </si>
  <si>
    <t>https://katalogsp.gov.sk/wp-content/uploads/2022/01/Detske-dopravne-ihrisko-Sobrance-main.jpg</t>
  </si>
  <si>
    <t>https://katalogsp.gov.sk/o-z-detske-dopravne-ihrisko-sobrance/</t>
  </si>
  <si>
    <t>+421 905 848 554</t>
  </si>
  <si>
    <t>onder@onder.sk</t>
  </si>
  <si>
    <t>Prevádzkovanie detského dopravného ihriska v Sobranciach, prípadne jeho mobilné prevádzkovanie u klienta. Prenájom simulátorov vplyvu alkoholu a drog, simulátora nárazu a simulátora prevrátenia vozidla s obsluhou. Aplikovanie nového, alebo renovácia starého vodorovného dopravného značenia.</t>
  </si>
  <si>
    <t>vzdelávanie, dopravná výchova, simulovanie vplyvu alkoholu a drog, simulácie dopravných nehôd, dopravné značenie</t>
  </si>
  <si>
    <t>ALLEGRIA KOŠICE ISP s. r. o.</t>
  </si>
  <si>
    <t>cestovný ruch, účtovníctvo a poradenstvo, potraviny a nápoje, bižutéria a darčekové predmety</t>
  </si>
  <si>
    <t>Košické Oľšany 124, 044 42  Košické Oľšany</t>
  </si>
  <si>
    <t>Integračný sociálny podnik Kaviareň od srdca ponúka svojim zákazníkom kaviarenské služby, výrobu zákuskov, toriet, ale aj účtovnícke a mzdové služby, výrobu dekoračných predmetov a suvenírov. Našimi zákazníkmi sú obyvatelia a návštevníci Košíc, ktorí prídu na kávu a koláčik do Kaviarne od srdca. Firmám ponúkame výrobky a služby v rámci povinného náhradného plnenia, ak nezamestnávajú občanov so zdravotným postihnutím.</t>
  </si>
  <si>
    <t>Kaviareň od srdca, ako chránené pracovisko typu Integračný sociálny podnik,  zamestnáva občanov so zdravotným postihnutím, ich asistentov a aj zdravých občanov v sektore kaviarenských služieb. Svojou činnosťou sa snažíme likvidovať bariéry, ktoré bránia ľuďom so špeciálnymi potrebami uplatniť sa v spoločnosti. Chceme tak zvýšiť kvalitu ich života a podporiť ich v úsilí o samostatný život a integráciu do spoločnosti.</t>
  </si>
  <si>
    <t>https://katalogsp.gov.sk/wp-content/uploads/2021/12/Allegria-3.jpg</t>
  </si>
  <si>
    <t>https://katalogsp.gov.sk/allegria-kosice-isp-s-r-o/</t>
  </si>
  <si>
    <t>+421 907 995 650</t>
  </si>
  <si>
    <t>andrea.mikova444@gmail.com</t>
  </si>
  <si>
    <t>Kaviareň od srdca</t>
  </si>
  <si>
    <t>Kaviareň od srdca ponúka svojim zákazníkom kaviarenské služby, posedenie pri káve a koláčiku, organizáciu malých akcií (narodeniny, oslavy, ...) výrobu zákuskov alebo torty na objednávku, spracovanie podvojného účtovníctva a mzdovej agendy pre právnické a fyzické osoby, výrobu dekoračných hand-made výrobkov a suvenírov.</t>
  </si>
  <si>
    <t>Kaviareň, cheesecake, káva, selfiecinno, cake, home-made výrobky, účtovníctvo, mzdy, dane, suveníry</t>
  </si>
  <si>
    <t> </t>
  </si>
  <si>
    <t>Bariak, s.r.o.</t>
  </si>
  <si>
    <t>čistiace a upratovacie služby, dom a záhrada, stavebníctvo, ochrana a bezpečnosť, doprava, ubytovacie a stravovacie služby, potraviny a nápoje, krása-zdravie-relax, bižutéria a darčekové predmety</t>
  </si>
  <si>
    <t>Zvolenská 242/93, 992 01 Modrý Kameň</t>
  </si>
  <si>
    <t>Naša spoločnosť ponúka mnoho vecí, ako sú napríklad kúpa tovaru na účely jeho predaja konečnému spotrebiteľovi, sprostredkovateľská činnosť v oblasti obchodu, služieb, ubytovacie služby bez pohostinských činností, poskytovanie služieb rýchleho občerstvenia v spojení s predajom na priamu konzumáciu, výkon povolania prevádzkovateľa nákladnej cestnej dopravy a pod.</t>
  </si>
  <si>
    <t>https://katalogsp.gov.sk/wp-content/uploads/2021/12/Bariak-2.jpg</t>
  </si>
  <si>
    <t>https://katalogsp.gov.sk/bariak-s-r-o/</t>
  </si>
  <si>
    <t>+421 907 818 490</t>
  </si>
  <si>
    <t>bariak.dalibor@gmail.com</t>
  </si>
  <si>
    <t>Bariak, s. r. o., r. s. p.</t>
  </si>
  <si>
    <t>potraviny, domáce potreby, služby, doprava, ubytovanie, predaj, dekorácie</t>
  </si>
  <si>
    <t>Potraviny pod Hradom</t>
  </si>
  <si>
    <t>Predajňa potravín</t>
  </si>
  <si>
    <t>potraviny, nápoje, pečivo,</t>
  </si>
  <si>
    <t>Predajňa drogérie a rozličného tovaru</t>
  </si>
  <si>
    <t>Predaj drogérie a rozličného tovaru.</t>
  </si>
  <si>
    <t>drogéria, rozličný tovar, tovar do domácnosti, suveníry, dekorácie a pod.</t>
  </si>
  <si>
    <t>Ubytovacie zariadenie</t>
  </si>
  <si>
    <t>ponúkame ubytovacie zariadenie bez pohostenia.</t>
  </si>
  <si>
    <t>ubytovňa, ubytovanie, posteľ, sprcha, wc</t>
  </si>
  <si>
    <t>Občianske združenie Integrujeme</t>
  </si>
  <si>
    <t>doprava, ubytovacie a stravovacie služby, cestovný ruch</t>
  </si>
  <si>
    <t>Janigova 1324/9, 040 23 Košice</t>
  </si>
  <si>
    <t>Prevádzka osobnej dopravy do 8 ľudí -TAXI, kuriérske služby pri rozvoze stravy, krátkodobé rekreačné ubytovanie vo Vysokých Tatrách.</t>
  </si>
  <si>
    <t>Podpora regionálneho rozvoja a zamestnanosti zamestnávaním znevýhodnených občanov.</t>
  </si>
  <si>
    <t>https://katalogsp.gov.sk/wp-content/uploads/2021/12/OZ-Integrujeme-main1.jpg</t>
  </si>
  <si>
    <t>https://katalogsp.gov.sk/obcianske-zdruzenie-integrujeme/</t>
  </si>
  <si>
    <t>+421 905 200 883</t>
  </si>
  <si>
    <t>integrujeme@gmail.com</t>
  </si>
  <si>
    <t>Apartman B101</t>
  </si>
  <si>
    <t>Krátkodobé turistické ubytovanie s polpenziou alebo raňajkami v Reštaurácii Soul, akceptujeme všetky dovolenkové kupóny, vystavujeme faktúry pre rekreačné poukazy.</t>
  </si>
  <si>
    <t>ubytovanie, turistické ubytovanie, Reštaurácia Soul, ubytovanie Vysoké Tatry</t>
  </si>
  <si>
    <t>Ľúbivka, s. r. o.</t>
  </si>
  <si>
    <t>Podhorie 47, 031 18 Podhorie</t>
  </si>
  <si>
    <t>Upratovacia služba, starostlivosť o domácnosť klienta - upratovanie, varenie, pranie, žehlenie, starostlivosť o záhradu. Našimi zákazníkmi sú bežní zákazníci a osoby odkázané na pomoc.</t>
  </si>
  <si>
    <t>Vykonávame služby na podporu zamestnanosti – vytváranie pracovných príležitostí pre osoby znevýhodnené alebo ohrozené na trhu práce.</t>
  </si>
  <si>
    <t>https://katalogsp.gov.sk/wp-content/uploads/2021/12/Lubivka-main2.jpg</t>
  </si>
  <si>
    <t>https://katalogsp.gov.sk/lubivka-s-r-o/</t>
  </si>
  <si>
    <t>+421 903 635 394</t>
  </si>
  <si>
    <t>lubivka.sro@gmail.com</t>
  </si>
  <si>
    <t>Ľúbivka s.r.o.</t>
  </si>
  <si>
    <t>Upratovacie služby</t>
  </si>
  <si>
    <t>upratovanie, pranie, žehlenie, starostlivosť o domácnosť a záhradu</t>
  </si>
  <si>
    <t>BOBGRASS s.r.o.</t>
  </si>
  <si>
    <t>dom a záhrada</t>
  </si>
  <si>
    <t>Valča 207,  038 35 Valča</t>
  </si>
  <si>
    <t>Záhradnícke služby - realizácia a údržba záhrad a parkov, trávnikov a futbalových ihrísk, závlahových systémov, predaj záhradníckych potrieb.</t>
  </si>
  <si>
    <t>Naša spoločnosť sa od roku 2016 venuje budovaniu a udržiavaniu zelenej infraštruktúry. Počas tejto doby sme nadobudli dostatok skúseností. Po realizácii viacerých projektov sme dospeli ku komplexnému pohľadu na nevyužité možnosti a potenciál zelenej infraštruktúry. Jedná sa najmä o potenciál inteligentného využitia priestoru tak, aby vytvoril podmienky pre oddych a relax, akúsi filozofiu oddychového priestoru a nie len radové a jednotvárne vysádzanie rastlín. ​Celkové architektonicko-realizačné riešenie predstavuje hlavný potenciál a pridanú hodnotu našich služieb.</t>
  </si>
  <si>
    <t>https://katalogsp.gov.sk/wp-content/uploads/2021/12/Bobgass-4.jpg</t>
  </si>
  <si>
    <t>https://katalogsp.gov.sk/bobgrass-s-r-o/</t>
  </si>
  <si>
    <t>+421 911 601 308</t>
  </si>
  <si>
    <t>Bobgrass@bobgrass.sk</t>
  </si>
  <si>
    <t>BOBGRASS</t>
  </si>
  <si>
    <t xml:space="preserve">Sme záhradnícka firma, ktorá ponúka svoje služby v Martine a jeho okolí. Od kosenia trávy, strihania stromov a kríkov, záhradných a terénnych úprav, zakladania trávnikov, závlahových systémov, až po výsadbu drevín. Máme dobré vzťahy s našimi dodávateľmi, vieme poskytnúť výborné ceny aj kvalitné služby.
</t>
  </si>
  <si>
    <t>závlahové systémy, trávniky, ihriská, kosenie, záhrady, výsadba, frézovanie pňov, terénne úpravy, predaj záhradníckeho sortimentu, záhradnícky sortiment, záhradná architektúra</t>
  </si>
  <si>
    <t>Darčekovo Erika s. r. o.</t>
  </si>
  <si>
    <t>reklama, bižutéria a darčekové predmety, iné (tovary a služby)</t>
  </si>
  <si>
    <t>Tužina 378, 972 14 Tužina</t>
  </si>
  <si>
    <t>Vyrábame darčekové a dekoračné predmety na mieru pre zákazníka - personalizované vyšívané produkty (uteráky, osušky, tričká, kuchárske zástery, bytový textil, mikiny, šiltovky...) a produkty s potlačou (oblečenie, hrnčeky, podnosy...), mydlá a kozmetické produkty s možnosťou výroby vlastnej etikety, darčekové vína (so zlatom, perleťou, klasické vína...), medovina s možnosťou výroby vlastnej etikety, darčekové dezerty a čokolády s venovaním, darčekové čaje, sviečky, kozmetické sady, drevené gravírované predmety (srdiečka, lopáriky, tabuľky...), mydlové kytice, darčekové koše a iné - po dohode so zákazníkom možnosť výroby darčekového predmetu v požadovanom množstve podľa jeho predstáv.</t>
  </si>
  <si>
    <t>Vytvárame pracovné miesta pre občanov so zdravotným znevýhodnením.</t>
  </si>
  <si>
    <t>https://katalogsp.gov.sk/wp-content/uploads/2021/12/darcekovo-erika-logo-1.png</t>
  </si>
  <si>
    <t>https://katalogsp.gov.sk/darcekovo-erika-s-r-o/</t>
  </si>
  <si>
    <t>+421 915 951 869</t>
  </si>
  <si>
    <t>erika.solcany@gmail.com</t>
  </si>
  <si>
    <t>Darčekovo Erika</t>
  </si>
  <si>
    <t>Výroba a predaj darčekových a dekoračných predmetov.</t>
  </si>
  <si>
    <t>Vyšívané produkty, potlač, šperky, dezerty, čaje, drevené dekoračné predmety s gravírom, sviečky, darčekové koše, mydlá, kozmetické sady, tričká s potlačou, zástery</t>
  </si>
  <si>
    <t>IHLA, s. r. o. - registrovaný sociálny podnik</t>
  </si>
  <si>
    <t>poľnohospodárstvo a lesníctvo</t>
  </si>
  <si>
    <t>Ihľany 211, 059 94 Ihľany</t>
  </si>
  <si>
    <t>Náš registrovaný sociálny podnik ponúka služby prevažne v lesníctve. Ide o činnosti ako napríklad príprava plôch po ťažbe (čistenie), zalesňovacia činnosť, ochrana proti burine (vyžínanie), ochrana proti zveri, výchovné zásahy (prerezávky), ťažbová činnosť (ťažba dreva).</t>
  </si>
  <si>
    <t>Cieľom sociálneho podniku je ponúknuť pracovnú možnosť prevažne znevýhodneným občanom (ZŤP), ktorí sú ťažšie uplatniteľní na trhu práce.</t>
  </si>
  <si>
    <t>https://katalogsp.gov.sk/ihla-s-r-o-registrovany-socialny-podnik/</t>
  </si>
  <si>
    <t>+421 917 681 174</t>
  </si>
  <si>
    <t>spolocnost@lesomajiteliaihlany.sk</t>
  </si>
  <si>
    <t>IHLA, s. r. o.</t>
  </si>
  <si>
    <t>Činnosti v lesníctve (príprava plôch po ťažbe, ochrana proti zveri, ochrana proti burine, zalesňovanie).</t>
  </si>
  <si>
    <t>Činnosti v lesníctve,  obnova lesov, výsadba stromov, ochrana lesov</t>
  </si>
  <si>
    <t>C.B. ONE, s.r.o.</t>
  </si>
  <si>
    <t>29. Augusta 44/6, 972 51 Handlová</t>
  </si>
  <si>
    <t>V roku 1991 sme začali predajom a montážami rádiokomunikačnej techniky, neskôr sme rozšírili činnosť o dovoz a montáž offroad príslušenstva austrálskeho výrobcu ARB na zvýšenie priechodnosti a životnosti terénnych vozidiel. Svojou polohou v strede Slovenska je naša ponuka dostupná pre zákazníkov z celej republiky. Medzi najčastejšie úpravy patrí montáž navijakov, uzávierok diferenciálu, zvýšených a záťažových podvozkových sád, pevnostných nárazníkov, mechanickej ochrany podvozku, rádiostaníc a pod.
Opakovane vykonávame komplexné úpravy vozidiel pre lesníkov, poľovníkov, energetikov, významné stavebné firmy, silové a záchranné zložky, štátnu správu, či úpravy vozidiel pre expedičné a športové účely. Najobjektívnejším dôkazom našej odbornosti je výhradné zastúpenie renomovanej austrálskej spoločnosti ARB 4x4 Accessories pre Slovensko, ako i americkej spoločnosti PREDATOR 4x4 accessories a iných TOP značiek.</t>
  </si>
  <si>
    <t>Opakovane vykonávame komplexné úpravy vozidiel pre lesníkov, poľovníkov, energetikov, významné stavebné firmy, silové a záchranné zložky, štátnu správu, či úpravy vozidiel pre expedičné a športové účely.</t>
  </si>
  <si>
    <t>https://katalogsp.gov.sk/c-b-one-s-r-o/</t>
  </si>
  <si>
    <t>+421 903 804 173</t>
  </si>
  <si>
    <t>ekon@cbone.sk</t>
  </si>
  <si>
    <t>Predvádzacie stredisko C.B. ONE, s.r.o.</t>
  </si>
  <si>
    <t>Vykonávame komplexné úpravy vozidiel a predaj kvalitných komponentov na motorové vozidlá. Máme výhradné zastúpenie austrálskej spoločnosti ARB 4x4 Accessories pre Slovensko, ako i americkej spoločnosti PREDATOR 4x4 accessories a iných TOP značiek, napr. OLDMAN EMU, PREDATOR 4x4, KING ONE WINCH,SAFARI SNORKEL, ASFIR, AVM, WARN, CRT- France, SIRIO.</t>
  </si>
  <si>
    <t>Predaj a montáž značkových komponentov, navijaky, uzávierky diferenciálu, zvýšené a záťažové podvozkové sady, pevnostné nárazníky, mechanická ochrana podvozku, rádiostanice, autosúčiastky, autodiely</t>
  </si>
  <si>
    <t>Obecný podnik Močenok, s. r. o.</t>
  </si>
  <si>
    <t>ochrana a bezpečnosť</t>
  </si>
  <si>
    <t>A. Hlinku 484/10A, 951 31 Močenok</t>
  </si>
  <si>
    <t>Obecný podnik Močenok, s. r. o. ponúka služby spojené s prevádzkou dohľadového pracoviska kamerového systému - výkon prác zameraných na sledovanie kamerového systému a vyhodnocovanie možných narušení verejného poriadku, či ochrany majetku.</t>
  </si>
  <si>
    <t>Obecný podnik Močenok, s. r. o. spĺňa podmienku dosahovania pozitívneho sociálneho vplyvu hlavne znížením nezamestnanosti znevýhodnených a najviac zraniteľných osôb z obce Močenok a jej okolia. Pozitívny spoločenský dopad Obecný podnik Močenok, s.r.o. dosahuje aj svojou činnosťou - prevádzkovaním dohľadového kamerového systému.</t>
  </si>
  <si>
    <t>https://katalogsp.gov.sk/obecny-podnik-mocenok-s-r-o/</t>
  </si>
  <si>
    <t>+421 90 5330 148</t>
  </si>
  <si>
    <t>socialnypodnik@mocenok.sk</t>
  </si>
  <si>
    <t>Prevádzkovanie dohľadového pracoviska kamerového systému - výkon prác zameraných na sledovanie kamerového systému a vyhodnocovanie možných narušení verejného poriadku, či ochrany majetku.</t>
  </si>
  <si>
    <t>dohľadové pracovisko kamerového systému</t>
  </si>
  <si>
    <t>AGRO SOCIÁLNY PODNIK s.r.o</t>
  </si>
  <si>
    <t>Tajná 163, 952 01 Tajná</t>
  </si>
  <si>
    <t>Služby v oblasti poľnohospodárskej prvovýroby, služby vo vinohrade, zelené práce, zahradnícky servis.</t>
  </si>
  <si>
    <t>Integrujeme marginalizované skupiny obyvateľov.</t>
  </si>
  <si>
    <t>https://katalogsp.gov.sk/wp-content/uploads/2021/12/Agro-socialny-podnik-main1.jpg</t>
  </si>
  <si>
    <t>https://katalogsp.gov.sk/agro-socialny-podnik-s-r-o/</t>
  </si>
  <si>
    <t>+421 904 503 087</t>
  </si>
  <si>
    <t>martin.kutalek@agrosp.sk</t>
  </si>
  <si>
    <t>Služby v oblasti starostlivosti o vinohrad.</t>
  </si>
  <si>
    <t>zelené práce, práce vo vinohrade, pomocné stavebné práce, výkopové práce, búracie práce</t>
  </si>
  <si>
    <t>WELLNEA s. r. o., r. s. p.</t>
  </si>
  <si>
    <t>krása-zdravie-relax, účtovníctvo a poradenstvo, vzdelávanie, pre deti</t>
  </si>
  <si>
    <t>Lichnerova 41, 903 01 Senec</t>
  </si>
  <si>
    <t>Služby salónu krásy (kaderníctvo, kozmetika, manikúra, pedikúra, masáže) a poradenstvo zamerané na regeneráciu a rekondíciu duševných a fyzických síl pre širokú verejnosť. 
Podnikateľské, organizačné a ekonomické poradenstvo (poradenstvo v oblasti manažérskych zručností, poradenstvo v oblasti personalistiky a HR zabezpečované psychológmi, poradenstvo pri zakladaní sociálnych podnikov, chránených dielní, rodinných firiem malého a stredného podnikania atď.) a s tým súvisiace reklamné a marketingové služby + Vykonávanie mimoškolskej vzdelávacej činnosti + vydavateľská činnosť.
Administratívne služby a Počítačové služby súviace so spracovaním údajov.
Organizacia kultúrnych a iných spoločenských podujatí.
Výroba didaktických pomôcok a učiacich hračiek pre deti so špeciálno-vzdelávacími a výchovnými potrebami, vrátane detí so zdravotným znevýhodnením.</t>
  </si>
  <si>
    <t>Pozitívnym sociálnym vplyvom našej spoločnosti je podpora regionálneho rozvoja a zamestnanosti, a to prostredníctvom zamestnávania znevýhodnených osôb a zraniteľných osôb najmä z radov zdravotne znevýhodnených občanov a umožnenie ich pracovnej integrácie.</t>
  </si>
  <si>
    <t>https://katalogsp.gov.sk/wp-content/uploads/2021/12/Wellnea-1.jpeg</t>
  </si>
  <si>
    <t>https://katalogsp.gov.sk/wellnea-s-r-o-r-s-p/</t>
  </si>
  <si>
    <t>+421 903 415 220</t>
  </si>
  <si>
    <t>wellnea@wellnea.sk</t>
  </si>
  <si>
    <t>WELLNEA s.r.o., r.s.p.</t>
  </si>
  <si>
    <t xml:space="preserve">
Služby salónu krásy (kaderníctvo, kozmetika, manikúra, pedikúra, masáže) a poradenstvo zamerané na regeneráciu a rekondíciu duševných a fyzických síl.
Podnikateľské, organizačné a ekonomické poradenstvo (poradenstvo v oblasti manažérskych zručností, poradenstvo v oblasti personalistiky a HR zabezpečované psychológmi, poradenstvo pri zakladaní sociálnych podnikov, chránených dielní, rodinných firiem malého a stredného podnikania atď.) a s tým súvisiace reklamné a marketingové služby + Vykonávanie mimoškolskej vzdelávacej činnosti + vydavateľská činnosť;
Administratívne služby a Počítačové služby súviace so spracovaním údajov ;
Organizácia kultúrnych a iných spoločenských podujatí;
Výroba didaktických pomôcok a učiacich hračiek pre deti so špeciálno- vzdelávacími a výchovnými potrebami vrátane detí so zdravotným znevýhodnením.</t>
  </si>
  <si>
    <t>vlasy, nechty, nohy, ruky, farbenie vlasov, gelove nechty, pedikúra, manikúra, kaderníctvo, kozmetika, masáže, konzultácie, školenia, eventy, spoločenské akcie, pomôcky pre postihnuté deti</t>
  </si>
  <si>
    <t>LUDIB, s. r. o.</t>
  </si>
  <si>
    <t>obaly</t>
  </si>
  <si>
    <t>Potočná 42, 900 84 Báhoň</t>
  </si>
  <si>
    <t>Robíme baliace činnosti, triedenie a balenie spojovacieho materiálu.</t>
  </si>
  <si>
    <t>Zamestnávame invalidných občanov.</t>
  </si>
  <si>
    <t>https://katalogsp.gov.sk/ludib-s-r-o/</t>
  </si>
  <si>
    <t>+421 918 360 657</t>
  </si>
  <si>
    <t>elbvdi@gmail.com</t>
  </si>
  <si>
    <t>LUDIB s.r.o., r.s.p.</t>
  </si>
  <si>
    <t>Baliace činnosti</t>
  </si>
  <si>
    <t>balenie spojovacieho materiálu, obaly</t>
  </si>
  <si>
    <t>BUZGÓ, s.r.o.</t>
  </si>
  <si>
    <t>čistiace a upratovacie služby, dom a záhrada, iné (tovary a služby)</t>
  </si>
  <si>
    <t xml:space="preserve">Krásnohorská Dlhá Lúka 165, 049 45 Krásnohorská Dlhá Lúka </t>
  </si>
  <si>
    <t xml:space="preserve">Poskytujeme kompletné upratovacie služby ‍nielen pre spoločnosti, ale aj pre domácnosti. Na dokonalé výsledky v podobe čistých priestorov sa môžete zaručene spoľahnúť.
Ponúkame aj papierovú hygienu a servisné služby na našom e-shope buzgopaper.sk. Servisné práce sme zamerali na upratovanie, maľovanie, zimnú údržbu, kosenie a dopravu zdravotne postihnutých. </t>
  </si>
  <si>
    <t>Naším cieľom je prispieť k zvýšeniu zamestnanosti, spoločenskej súdržnosti a regionálnemu rozvoju. Chceme osloviť všetkých, ktorí majú záujem zmeniť Slovensko k lepšiemu.</t>
  </si>
  <si>
    <t>https://katalogsp.gov.sk/wp-content/uploads/2021/12/Buzgo-main1.jpg</t>
  </si>
  <si>
    <t>https://katalogsp.gov.sk/buzgo-registrovany-socialny-podnik-s-r-o-skratene-buzgo-r-s-p-s-r-o/</t>
  </si>
  <si>
    <t>+421 903 643 648</t>
  </si>
  <si>
    <t>info@buzgo.sk</t>
  </si>
  <si>
    <t>Komplexné upratovacie služby. Upratujeme sociálne a zdravotnícke zariadenia, byty, rodinné domy, administratívne budovy aj výrobné haly.
Interiér – umývanie okien a okenných rámov, čistenie po maliaroch a rekonštrukčných úpravách, pred kolaudáciou, denné alebo sezónne.
Exteriér – záhradnícke a sezónne práce, starostlivosť o komunikácie a chodníky, výškové čistenia.</t>
  </si>
  <si>
    <t xml:space="preserve">upratovanie, interier, umývanie, čistenie, </t>
  </si>
  <si>
    <t>buzgopaper.sk</t>
  </si>
  <si>
    <t>e-shop</t>
  </si>
  <si>
    <t xml:space="preserve"> Papierové utierky, toaletný papier, papierová hygiena, obrúsky papierové, priemyselné utierky</t>
  </si>
  <si>
    <t>VYGAST s.r.o.</t>
  </si>
  <si>
    <t xml:space="preserve">Nemčianska cesta 102/113, 974 01 Nemce </t>
  </si>
  <si>
    <t>Výroba špeciálneho zdravotníckeho materiálu z gázy - vyrábame a ponúkame prešívané tampóny, stáčané tampóny, longety, skladanú gázu a prierezy, ktoré sa používajú na sušenie a ošetrovanie rán na operačných sálach, oddeleniach v nemocniciach a v ambulanciách. Výrobky sú šité, stáčané a skladané ručne v rôznych rozmeroch a vrstvách podľa špeciálnych požiadaviek. Našimi zákazníkmi sú zdravotnícke zariadenia, lekárne, distribučné spoločnosti a veterinárne ambulancie. Najväčší objem našich produktov dodávame do štátnych koncových nemocníc, špecializovaných ústavov, všeobecných nemocníc a súkromným klinikám.</t>
  </si>
  <si>
    <t>Podmienku dosahovania pozitívneho sociálneho vplyvu spĺňame v zamestnávaní zdravotne znevýhodnených pracovníkov a ponukou slovenských výrobkov do nemocníc na ošetrovanie pacientov.</t>
  </si>
  <si>
    <t>https://katalogsp.gov.sk/vygast-s-r-o/</t>
  </si>
  <si>
    <t>+421 914 700 948</t>
  </si>
  <si>
    <t>info@vygast.sk</t>
  </si>
  <si>
    <t>VYGAST s.r.o., r.s.p.</t>
  </si>
  <si>
    <t>Vyrábame prešívané tampóny z gázy, stáčané tampóny, longety, skladanú gázu, gázové prierezy.</t>
  </si>
  <si>
    <t>špeciálny zdravotnícky materiál z gázy , tampóny, longety, gáza</t>
  </si>
  <si>
    <t>Registrovaný sociálny podnik MJ Fába, s. r. o.</t>
  </si>
  <si>
    <t>čistiace a upratovacie služby, krása-zdravie-relax</t>
  </si>
  <si>
    <t>Nám. sv. Mikuláša Zadné trakty 1721/26A, 064 01 Stará Ľubovňa</t>
  </si>
  <si>
    <t>Náš podnik má dve oblasti pôsobnosti: 1. ponúkame medicinálnu pedikúru, riešime zarastajúce nechty a kompletnú starostlivosť o chodidlá, a to odborne vyškoleným personálom a špičkovo zariadeným salónom; 2. poskytujeme upratovacie služby pre kancelárske priestory a domácnosti, tepovanie čalúneného nábytku a automobilov.</t>
  </si>
  <si>
    <t>Ponúkame zamestnanie pre zdravotne znevýhodnených pracovníkov.</t>
  </si>
  <si>
    <t>https://katalogsp.gov.sk/wp-content/uploads/2021/12/MJ-Faba-1.jpg</t>
  </si>
  <si>
    <t>https://katalogsp.gov.sk/registrovany-socialny-podnik-mj-faba-s-r-o/</t>
  </si>
  <si>
    <t>+421 918 390 191</t>
  </si>
  <si>
    <t>faba.mato@gmail.com</t>
  </si>
  <si>
    <t>Pedikj, TepovanieSL</t>
  </si>
  <si>
    <t>V našej ponuke sú: 1.) medicinálna pedikúra, reflexná masáž chodidiel, riešenie zarastajúcich nechtov, liečba mykotických nechtov a chodidiel, riešenie deformít a problémov chodidiel, predaj doplnkov a pomôcok pre starostlivosť o chodidlá.
2.) upratovacie služby prevádzok, kancelárskych priestorov, bytov a domácností, tepovanie čalúneného nábytku, kobercov, tepovanie automobilov všetkých druhov.
3.) predaj čistiacich prostriedkov.</t>
  </si>
  <si>
    <t>pedikúra, masáž,  tepovanie, upratovanie, predaj tovaru, predaj čistiacich prostriedkov, drogéria</t>
  </si>
  <si>
    <t>TepovanieSL</t>
  </si>
  <si>
    <t>Tepovacie a upratovacie služby.</t>
  </si>
  <si>
    <t>Tepovanie,  Upratovanie, Predaj výrobkov</t>
  </si>
  <si>
    <t>Obecné služby Polhora, s. r. o.</t>
  </si>
  <si>
    <t>Hlavná 66/62, 064 01 Pohronská Polhora</t>
  </si>
  <si>
    <t>Pomocné stavebné práce, starostlivosť o dom a záhradu.</t>
  </si>
  <si>
    <t>Zamestnávaním sociálne znevýhodnených osôb.</t>
  </si>
  <si>
    <t>https://katalogsp.gov.sk/obecne-sluzby-polhora-s-r-o/</t>
  </si>
  <si>
    <t>+421 910 703 025</t>
  </si>
  <si>
    <t>obecne.sluzby@ppolhora.sk</t>
  </si>
  <si>
    <t>Obecné služby Polhora, s.r.o</t>
  </si>
  <si>
    <t>pomocné stavebné práce, kosenie</t>
  </si>
  <si>
    <t>PRIMA TIMBER s.r.o.</t>
  </si>
  <si>
    <t>poľnohospodárstvo a lesníctvo, dom a záhrada, stavebníctvo, obaly</t>
  </si>
  <si>
    <t xml:space="preserve">Lučenecká 847, 990 01 Veľký Krtíš </t>
  </si>
  <si>
    <t>Naša spoločnosť sa zameriava na spracovanie reziva a následnú výrobu paliet podľa požiadaviek zákazníka.</t>
  </si>
  <si>
    <t>https://katalogsp.gov.sk/prima-timber-s-r-o/</t>
  </si>
  <si>
    <t>+421 944 931 999</t>
  </si>
  <si>
    <t>primavk@centrum.sk</t>
  </si>
  <si>
    <t>drevené palety, palety, drevo, rezivo, guľatina, stavebné rezivo, píla, drevovýroba, krovy</t>
  </si>
  <si>
    <t>B a B, spol. s r.o.</t>
  </si>
  <si>
    <t>stavebníctvo, elektro, kultúra a šport, bižutéria a darčekové predmety</t>
  </si>
  <si>
    <t>Okružná 99, 972 26 Nitrianske Rudno</t>
  </si>
  <si>
    <t>Predávame stavebné a elektroinštalačné materiály, robíme služby v oblasti stavebníctva, výrobu krojových výrobkov.</t>
  </si>
  <si>
    <t>Realizujeme služby na podporu regionálneho rozvoja a zamestnanosti.</t>
  </si>
  <si>
    <t>https://katalogsp.gov.sk/b-a-b-spol-s-r-o/</t>
  </si>
  <si>
    <t>+421 46 545 5945</t>
  </si>
  <si>
    <t>blahova.dana@gmail.com</t>
  </si>
  <si>
    <t>Predávame stavebné a elektroinštalačné materiály, ponúkame služby v oblasti stavebníctva.</t>
  </si>
  <si>
    <t>stavebniny, poradenstvo</t>
  </si>
  <si>
    <t>Predaj stavebných a elektroinštalačných materiálov.</t>
  </si>
  <si>
    <t xml:space="preserve">Stavebniny, služby v stavebníctve </t>
  </si>
  <si>
    <t>Výroba ľudových krojov a darčekových predmetov.</t>
  </si>
  <si>
    <t>výroba ľudových krojov, darčekové predmety</t>
  </si>
  <si>
    <t>MULTIHOUSE, s. r. o.</t>
  </si>
  <si>
    <t>krása-zdravie-relax, stavebníctvo</t>
  </si>
  <si>
    <t>Svodov 59, 937 01 Želiezovce</t>
  </si>
  <si>
    <t>Hlavnou činnosťou našej firmy je stavebná činnosť, zelená energia - poradenstvo, projekt a samotná inštalácia fotovoltaického systému, ktorý dokáže okrem šetrenia životného prostredia ušetriť niekoľko stovák eur aj domácnostiam a aj podnikateľským subjektom. MULTIHOUSE, s.r.o. sa okrem zdravého, ekologického životného prostredia stará aj o zdravie ľudí. Prevádzka NATURHOUSE, zdravá výživa, sa nachádza v Štúrove na Hlavnej ulici 57, kde Vás s radosťou uvíta a postará sa o Vás pani dietologička. Naše produkty sú 100% prírodné a účinné pri zdravej výžive. Poskytujeme konzultácie, poradenstvo, predaj. Naša spoločnosť sa neustále rozširuje a slúži širokej verejnosti.</t>
  </si>
  <si>
    <t>Zamestnávaním znevýhodnených a zraniteľných osôb.</t>
  </si>
  <si>
    <t>https://katalogsp.gov.sk/wp-content/uploads/2021/12/Multihouse-2.jpg</t>
  </si>
  <si>
    <t>https://katalogsp.gov.sk/multihouse-s-r-o/</t>
  </si>
  <si>
    <t>+421 905 841 597</t>
  </si>
  <si>
    <t>buriova@maridom.sk, naturhouse.sturovo@gmail.com</t>
  </si>
  <si>
    <t>NATURHOUSE</t>
  </si>
  <si>
    <t>Ponúkame konzultácie, poradenstvo a predaj 100%-ne prírodných produktov zdravej výživy. Celým procesom Vás prevedie odborníčka zdravej výživy, dietologička...</t>
  </si>
  <si>
    <t>100% prírodné produkty zdravej výživy- predaj, konzultácie, poradenstvo, zdravá výživa, výživové doplnky; stavebné práce, zelená energia, úspora energie; fotovoltaický systém</t>
  </si>
  <si>
    <t>ISTRASLOV spol. s r.o.</t>
  </si>
  <si>
    <t>ubytovacie a stravovacie služby, cestovný ruch</t>
  </si>
  <si>
    <t>Hlboké 1564, 972 01 Bojnice</t>
  </si>
  <si>
    <t>Poskytujeme ubytovacie, stravovacie a doplnkové služby v cestovnom ruchu.</t>
  </si>
  <si>
    <t>Zamestnávame zdravotne znevýhodnené a zraniteľné osoby. Používame 100 % svojho zisku po zdanení na dosahovanie hlavného pozitívneho cieľa spoločnosti.</t>
  </si>
  <si>
    <t>https://katalogsp.gov.sk/istraslov-spol-s-r-o/</t>
  </si>
  <si>
    <t>+421 905 522 044</t>
  </si>
  <si>
    <t>ck@mado.sk</t>
  </si>
  <si>
    <t>Penzión Hlboké</t>
  </si>
  <si>
    <t>Ubytovacie, stravovacie a doplnkové služby v cestovnom ruchu.</t>
  </si>
  <si>
    <t>hotel, penzion, ubytovanie, doprava</t>
  </si>
  <si>
    <t>Penzión MADO</t>
  </si>
  <si>
    <t>Sociálno-ekonomický podnik ŽSK, s.r.o. r. s. p.</t>
  </si>
  <si>
    <t>Komenského 2622/48, 011 09 Žilina</t>
  </si>
  <si>
    <t>Naša spoločnosť poskytuje služby práčovne (pranie posteľnej bielizne, uterákov, obrusov,...), upratovacie a údržbárske služby v centrách zdravotnej starostlivosti, maliarske a natieračské práce, drobné údržbárske práce.</t>
  </si>
  <si>
    <t>https://katalogsp.gov.sk/wp-content/uploads/2021/12/Socialno-ekonomicky-podnik-3.jpg</t>
  </si>
  <si>
    <t>https://katalogsp.gov.sk/socialno-ekonomicky-podnik-zsk-s-r-o-r-s-p/</t>
  </si>
  <si>
    <t>+421 910 210 414</t>
  </si>
  <si>
    <t>konatel@sepzsk.sk</t>
  </si>
  <si>
    <t>Sociálno-ekonomický podnik ŽSK, Práčovňa LIPA</t>
  </si>
  <si>
    <t>Práčovňa: pranie posteľnej bielizne, obrusov, uterákov, i ostatné veľké prádlo; Stredisko opráv a údržby: maliarske a drobné stavebné práce; Stredisko upratovania a údržby CZS: upratovanie centier zdravotnej starostlivosti ŽSK.</t>
  </si>
  <si>
    <t>pranie, sušenie, manglovanie prádla, pranie posteľného prádla</t>
  </si>
  <si>
    <t>Stredisko opráv a údržby</t>
  </si>
  <si>
    <t>Maliarske a natieračské práce, drobné stavebné práce.</t>
  </si>
  <si>
    <t>maliarske práce, natieračské práce, údržba okolia budov</t>
  </si>
  <si>
    <t>Stredisko upratovania a údržby centier zdravotnej starostlivosti</t>
  </si>
  <si>
    <t>Upratovacie a údržbárske práce v budovách centier zdravotnej starostlivosti ŽSK.</t>
  </si>
  <si>
    <t xml:space="preserve">upratovanie, čistota, dezinfekcia, údržbárske práce, drobné opravy </t>
  </si>
  <si>
    <t>Sociálny podnik Toporec, s. r. o.</t>
  </si>
  <si>
    <t>Námestie Sv. Michala 76/2, 059 95 Toporec</t>
  </si>
  <si>
    <t>Stavebná činnosť, upratovacie práce, pomocnice v domácnosti.</t>
  </si>
  <si>
    <t>Prispievame k rozvoju služieb v obci.</t>
  </si>
  <si>
    <t>https://katalogsp.gov.sk/socialny-podnik-toporec-s-r-o/</t>
  </si>
  <si>
    <t>+421 908 067 989</t>
  </si>
  <si>
    <t>socpodtoporec@gmail.com</t>
  </si>
  <si>
    <t>Sociálna podnik Toporec, s.r.o.</t>
  </si>
  <si>
    <t>Stavebná činnosť.</t>
  </si>
  <si>
    <t>stavebná činnosť, upratovanie, čistenie, pomoc v domácnosti</t>
  </si>
  <si>
    <t>CONTI-eco s. r. o.</t>
  </si>
  <si>
    <t>dom a záhrada, odevy a obuv</t>
  </si>
  <si>
    <t>Moravská 1633/15, 020 01 Púchov</t>
  </si>
  <si>
    <t>Ponúkame šitie dámskeho a pánskeho vrchného ošatenia, ľahkej konfekcie ako sú saká, šaty, blúzky a iné. Zároveň ponúkame služby pre domácnosť - starostlivosť o záhradu, kosenie, strihanie stromov a kríkov, a iné záhradné práce.</t>
  </si>
  <si>
    <t>Pozitívny sociálny vplyv spĺňame zamestnávaním znevýhodnených a zraniteľných osôb - 40% našich zamestnancov.</t>
  </si>
  <si>
    <t>https://katalogsp.gov.sk/wp-content/uploads/2021/12/Conti-eco1.jpg</t>
  </si>
  <si>
    <t>https://katalogsp.gov.sk/conti-eco-s-r-o/</t>
  </si>
  <si>
    <t>+421 903 697 247, +421 424 635 026</t>
  </si>
  <si>
    <t>contieco01@gmail.com</t>
  </si>
  <si>
    <t>CONTI-eco s.r.o.</t>
  </si>
  <si>
    <t>Šitie dámskeho a pánskeho vrchného ošatenia. Ponúkame tiež pomoc pri koseni, strihaní stromov a kríkov.</t>
  </si>
  <si>
    <t>šitie, kosenie, pílenie stromov, krajčístvo, krajčírska dieľňa, zákazkové šitie</t>
  </si>
  <si>
    <t>JUMBO MOJMÍROVCE spol. s r.o.</t>
  </si>
  <si>
    <t>poľnohospodárstvo a lesníctvo, doprava, odevy a obuv, ochrana a bezpečnosť</t>
  </si>
  <si>
    <t>Mojmírovce 964, 951 15 Mojmírovce</t>
  </si>
  <si>
    <t>Spoločnosť sa zaoberá poskytovaním služieb vnútroštátnej a medzinárodnej nákladnej cestnej dopravy a špedície a obchodnou činnosťou v oblasti agrokomodít, nákupom a predajom pracovného oblečenia, obuvi a ochranných pracovných pomôcok - predajňa v obci Močenok, e-shop.</t>
  </si>
  <si>
    <t>Činnosť, ktorou spoločnosť dosahuje pozitívny sociálny vplyv v zmysle základného dokumentu spoločnosti, je zamestnávanie zdravotne znevýhodnených osôb alebo zraniteľných osôb. Spoločnosť zamestnáva viac ako 70% takýchto zamestnancov, čím spĺňa merateľný PSV.</t>
  </si>
  <si>
    <t>https://katalogsp.gov.sk/wp-content/uploads/2021/12/Jumbo-Mojmirovce.jpg</t>
  </si>
  <si>
    <t>https://katalogsp.gov.sk/jumbo-mojmirovce-spol-s-r-o/</t>
  </si>
  <si>
    <t>+421 905 222 922</t>
  </si>
  <si>
    <t>margareta@jumbo-sk.eu</t>
  </si>
  <si>
    <t xml:space="preserve">Nákladná cestná doprava a špedícia, obchodná činnosť v oblasti agrokomodít.
</t>
  </si>
  <si>
    <t>doprava, obchod, preprava krmív, špedícia, preprava poľnohospodárskych materiálov</t>
  </si>
  <si>
    <t>PRODESAFETY</t>
  </si>
  <si>
    <t>Predaj pracovného oblečenia a ochranných pracovných prostriedkov.</t>
  </si>
  <si>
    <t>pracovné oblečenie, pracovná obuv, rukavice, respirátor, rúško, ochrana sluchu, slúchadlá, postroj, lano, karabína</t>
  </si>
  <si>
    <t>MURALI s. r. o.</t>
  </si>
  <si>
    <t xml:space="preserve">Športová 655, 972 26 Nitrianske Rudno </t>
  </si>
  <si>
    <t>Výroba a plnenie atramentových (inkjetových) kaziet rôznych značiek a rôznych farieb.</t>
  </si>
  <si>
    <t>https://katalogsp.gov.sk/murali-s-r-o/</t>
  </si>
  <si>
    <t>+421 911 985 696</t>
  </si>
  <si>
    <t>motuzova@abix.sk</t>
  </si>
  <si>
    <t>MURALI s.r.o.</t>
  </si>
  <si>
    <t>Výroba a plnenie atramentových (inkjetových) kaziet.</t>
  </si>
  <si>
    <t>atramentova kazeta, inkjet</t>
  </si>
  <si>
    <t>Sliačanské Obecné Služby, s.r.o.</t>
  </si>
  <si>
    <t>Námestie M. Benku 1385/1, 034 84 Liptovské Sliače</t>
  </si>
  <si>
    <t>Oblasti našej činnosti: cestovný ruch - Penzión Prameň**; ponúkame ubytovanie v blízkosti aquaparkov Bešeňová a Tatralandia, priehrady Liptovská Mara, rieky Váh, lyžiarskych stredísk Jasná, Malinô Brdo, Vysoké a Nízke Tatry, Malá a Veľká Fatra. Máme výbornú reštauráciu, poriadame oslavy, spoločenské akcie, konferencie.</t>
  </si>
  <si>
    <t>Spoločnosť Sliačanské Obecné Služby, s. r. o., r.s.p. je verejnoprospešný podnik, ktorého hlavným cieľom je dosahovanie merateľného pozitívneho sociálneho vplyvu poskytovaním spoločensky prospešnej služby v oblasti služieb na podporu regionálneho rozvoja a zamestnanosti, a to najmä poskytovaním ubytovania, stravovania v reštaurácii, varením a rozvozom obedov pre dôchodcov a pre znevýhodnené a zraniteľné osoby.</t>
  </si>
  <si>
    <t>https://katalogsp.gov.sk/wp-content/uploads/2021/12/Sliacanske-Obecne-Sluzby-2.jpg</t>
  </si>
  <si>
    <t>https://katalogsp.gov.sk/sliacanske-obecne-sluzby-s-r-o/</t>
  </si>
  <si>
    <t>+421 917 202 839</t>
  </si>
  <si>
    <t>penzionpramen.info@gmail.com</t>
  </si>
  <si>
    <t>Penzión Prameň**</t>
  </si>
  <si>
    <t>penzión, ubytovanie, reštaurácia, pizza, obedové menu, oslavy, eventy, akcie</t>
  </si>
  <si>
    <t>Octopus SK s. r. o.</t>
  </si>
  <si>
    <t>Renovujeme tonerové kazety.</t>
  </si>
  <si>
    <t>https://katalogsp.gov.sk/octopus-sk-s-r-o/</t>
  </si>
  <si>
    <t>Octopus SK s.r.o.</t>
  </si>
  <si>
    <t>Renovácia tonerových kaziet.</t>
  </si>
  <si>
    <t>toner, tonerová kazeta, náplň</t>
  </si>
  <si>
    <t>Printmania s. r. o.</t>
  </si>
  <si>
    <t>Bojnická cesta 24, 971 01 Prievidza</t>
  </si>
  <si>
    <t>Predaj náplní do tlačiarní.</t>
  </si>
  <si>
    <t>https://katalogsp.gov.sk/printmania-s-r-o/</t>
  </si>
  <si>
    <t>Printmania s.r.o.</t>
  </si>
  <si>
    <t>náplň do tlačiarne, toner, inkjet, kazeta, farba</t>
  </si>
  <si>
    <t>OH Bacúch, s. r. o.</t>
  </si>
  <si>
    <t>čistiace a upratovacie služby, dom a záhrada, ochrana a bezpečnosť, odpady a recyklácia</t>
  </si>
  <si>
    <t>Hlavná 279/43, 976 64 Bacúch</t>
  </si>
  <si>
    <t>Zabezpečenie komunálnych prác v obci: údržba zelene, ciest, chodníkov.</t>
  </si>
  <si>
    <t>Podnik zamestnáva zdravotne znevýhodnených občanov.</t>
  </si>
  <si>
    <t>https://katalogsp.gov.sk/oh-bacuch-s-r-o/</t>
  </si>
  <si>
    <t>+421 902 778 778</t>
  </si>
  <si>
    <t>starosta@bacuch.sk</t>
  </si>
  <si>
    <t>OH Bacúch, s.r.o.</t>
  </si>
  <si>
    <t>Zemné práce, kosenie, údržba ciest, chodníkov, komunálne práce</t>
  </si>
  <si>
    <t>Mydláreň TAMARA</t>
  </si>
  <si>
    <t>krása-zdravie-relax, iné (tovary a služby)</t>
  </si>
  <si>
    <t>Okružná 9, 976 64 Trnava</t>
  </si>
  <si>
    <t>Vyrábame a predávame ručne robené mydlá rôznych druhov a veľkostí. Na výber ponúkame rozdielne balenia alebo mydlá uvarené na mieru. Našími zákazníkmi sú firmy a spoločnosti, ktoré nakupujú mydlá ako svoje reklamné predmety, alebo darčeky pre zamestnancov a partnerov.</t>
  </si>
  <si>
    <t>V zmysle poskytovania spoločensky prospešnej služby podpory zamestnanosti naše združenie zamestnáva zraniteľné a znevýhodnené osoby. Ich zamestnávaním združenie sleduje cieľ ich (opätovného) sociálneho začlenenia.</t>
  </si>
  <si>
    <t>https://katalogsp.gov.sk/wp-content/uploads/2021/12/Mydlaren-TAMARA-2.jpg</t>
  </si>
  <si>
    <t>https://katalogsp.gov.sk/mydlaren-tamara/</t>
  </si>
  <si>
    <t>+421 908 371 794</t>
  </si>
  <si>
    <t>mydlatamara@gmail.com</t>
  </si>
  <si>
    <t>Vyrábame ručne robené mydlá rôznych druhov a veľkostí. Na výber tiež ponúkame rozdielne balenia alebo mydlá uvarené na mieru.</t>
  </si>
  <si>
    <t>domáce mydlá, reklamné darčeky, šampóny, darčekové mydlá</t>
  </si>
  <si>
    <t>GASTRODOM SPIŠ s.r.o.</t>
  </si>
  <si>
    <t>Medza 3444/10, 052 01 Spišská Nová Ves</t>
  </si>
  <si>
    <t>Spoločnosť GASTRODOM SPIŠ a jej prevádzka Fajnotka - domáca kuchyňa ponúkajú svojim zákazníkom každý deň na výber zo 4 domácich jedál v rámci denného obedového menu (cena je 4,50€). Reštaurácia varí výlučne z čerstvých kvalitných potravín od lokálnych dodávateľov a z vlastných domácich výrobkov, akými sú domáce ručne lepené pirohy rôznych chutí, či noky a šúľance. Tie si môžu naši zákazníci zakúpiť aj vo forme mrazených kilových balení. Kuchyňa sa môže pochváliť aj výrobou svojich vlastných knedlí, buchtičiek, koláčikov a iných jedál ako od babičky. Vo Fajnotke myslíme aj na vegetariánov a vegánov, ktorí si tiež môžu pochutnať na našich domácich fajnotkách i zdravších alternatívach. Zákazníci Fajnotky môžu využiť našu donáškovú službu, ktorá je zdarma, prísť si pre obed osobne alebo si ho vychutnať v pokojnom domácom prostredí našej reštaurácie.</t>
  </si>
  <si>
    <t>Činnosť nášho podniku sa v prvom rade zameriava na prípravu a výdaj jedál sociálne znevýhodneným občanom nášho mesta či dôchodcom. Podnik v súčasnosti zamestnáva 20 pracovníkov, z ktorých väčšina patrí do skupiny znevýhodnených občanov (zdravotne postihnutí, absolventi školy, občan marginalizovanej rómskej komunity, dlhodobo nezamestnaní, starší ako 50 rokov atď.), ktorí sú na okraji záujmu bežných zamestnávateľov. Spoločnosť podporuje miestnu komunitu, pracuje výlučne s miestnymi dodávateľmi a snaží sa rozvíjať aj situáciu v miestnom regióne Spiš.</t>
  </si>
  <si>
    <t>https://katalogsp.gov.sk/wp-content/uploads/2021/12/Gastrodom-3.jpg</t>
  </si>
  <si>
    <t>https://katalogsp.gov.sk/gastrodom-spis-s-r-o/</t>
  </si>
  <si>
    <t>+421 911 258 025</t>
  </si>
  <si>
    <t>marketing@fajnotka.sk</t>
  </si>
  <si>
    <t>Fajnotka - domáca kuchyňa</t>
  </si>
  <si>
    <t xml:space="preserve">Spoločnosť GASTRODOM SPIŠ a jeho prevádzka Fajnotka - domáca kuchyňa ponúkajú svojim zákazníkom každý deň na výber zo 4 domácich jedál v rámci denného obedového menu (cena je 4,50€). Reštaurácia varí výlučne z čerstvých kvalitných potravín od lokálnych dodávateľov a z vlastných domácich výrobkov, akými sú domáce ručne lepené pirohy rôznych chutí, či noky a šúľance. Kuchyňa sa môže pochváliť aj výrobou svojich vlastných knedlí, buchtičiek, koláčikov a iných jedál ako od babičky. Vo Fajnotke myslíme aj na vegetariánov a vegánov, ktorí si tiež môžu pochutnať na našich domácich fajnotkách i zdravších alternatívach. Zákazníci Fajnotky môžu využiť našu donáškovú službu, ktorá je zdarma, prísť si pre obed osobne alebo si ho vychutnať v pokojnom domácom prostredí našej reštaurácie, ak to situácia dovoľuje.
</t>
  </si>
  <si>
    <t xml:space="preserve">reštaurácia, denné menu, obedové menu, obed, domáca kuchyňa, slovenská kuchyňa, domáce jedlo, zdravé recepty, donáška jedla, vegánska strava, vegetariánska kuchyňa, lokálne jedlá, tradičné jedlá, lokálne potraviny </t>
  </si>
  <si>
    <t>VALÍNEK, s. r. o., registrovaný sociálny podnik</t>
  </si>
  <si>
    <t>Vyšné Ružbachy 243, 065 02 Vyšné Ružbachy</t>
  </si>
  <si>
    <t>Zaoberáme sa prevažne stavebnou činnosťou.</t>
  </si>
  <si>
    <t>Ponúkame služby na podporu regionálneho rozvoja a zamestnanosti, zamestnávame prevažne občanov so zdravotným postihnutím.</t>
  </si>
  <si>
    <t>https://katalogsp.gov.sk/wp-content/uploads/2021/12/Valinek-RSP-main1.jpg</t>
  </si>
  <si>
    <t>https://katalogsp.gov.sk/valinek-s-r-o-registrovany-socialny-podnik/</t>
  </si>
  <si>
    <t>+421 915 904 773</t>
  </si>
  <si>
    <t>valineksro@gmail.com</t>
  </si>
  <si>
    <t>VALÍNEK, s. r. o., r. s. p.</t>
  </si>
  <si>
    <t>Stavebné práce, výkopové práce, prípravné práce, dlažby, chodníky, oporné múry, oplotenie</t>
  </si>
  <si>
    <t>SOLIDE SLOVAKIA, s.r.o.</t>
  </si>
  <si>
    <t xml:space="preserve">Fučíkova 10, 935 61 Hronovce </t>
  </si>
  <si>
    <t>Naša ponuka: výroba tradičných cukroviniek (ručná výroba), kusový predaj cukroviniek, darčekové balenie výrobkov z našej výroby do rôznych balení (Mikuláš, balíčky pre deti a seniorov, darčekové košíky, darčekové balenia pre rôzne firemné oslavy), ale aj vymenované darčekové balenia (mix s našími výrobkami ako aj s klasickým tovarom, kozmetické balenia) pre rôzne spoločenské udalosti.</t>
  </si>
  <si>
    <t>Dosahovanie pozitívneho sociálneho vplyvu v našej spoločnosti spĺňame zamestnávaním zdravotne znevýhodnených osôb.</t>
  </si>
  <si>
    <t>https://katalogsp.gov.sk/wp-content/uploads/2021/12/Solide-6-mensie.jpg</t>
  </si>
  <si>
    <t>https://katalogsp.gov.sk/solide-slovakia-s-r-o/</t>
  </si>
  <si>
    <t>+421 905 985 774</t>
  </si>
  <si>
    <t>kalitova@solideslovakia.sk</t>
  </si>
  <si>
    <t>SOLIDE SLOVAKIA s.r.o.</t>
  </si>
  <si>
    <t>Výroba tradičných cukroviniek.</t>
  </si>
  <si>
    <t>cukrovinky, košický med, kokosky, trubičky, sladkosti, penové cukrovinky, kornútky, sultánky, oblátky, darčekové koše</t>
  </si>
  <si>
    <t>LABORE n. o., registrovaný sociálny podnik</t>
  </si>
  <si>
    <t>Námestie SNP 16, 015 01 Rajec</t>
  </si>
  <si>
    <t>Náš registrovaný sociálny podnik je primárne orientovaný na výrobu koláčov, zákuskov, tort a medovníkov (aj zdobených). Výrobky predávame v našej cukrárni alebo na objednávku. Výrobky vieme vyrobiť aj s logom firmy. Našími zákazníkmi sú väčšinou firmy, podnikatelia ale aj fyzické osoby (napr. na rodinné oslavy a pod.). V našej cukrárni predávame aj výrobky ďalších znevýhodnených ľudí zo Slovenska.</t>
  </si>
  <si>
    <t>Zamestnávaním znevýhodnených a zraniteľných na trhu práce - momentálne tvoria až 80% všetkých zamestnancov.</t>
  </si>
  <si>
    <t>https://katalogsp.gov.sk/wp-content/uploads/2021/12/Labore-2.jpg</t>
  </si>
  <si>
    <t>https://katalogsp.gov.sk/labore-n-o-registrovany-socialny-podnik/</t>
  </si>
  <si>
    <t>+421 903 982 937</t>
  </si>
  <si>
    <t>servis@labore.sk</t>
  </si>
  <si>
    <t>RAJecké Radosti - cukráreň v Rajeckých Tepliciach</t>
  </si>
  <si>
    <t>V prevádzke cukrárne predávame naše cukrárenské výrobky a tiež darčekové predmety - výrobky znevýhodnených ľudí zo Slovenska.</t>
  </si>
  <si>
    <t>cukráreň, medovníky, koláče, zákusky, torty, ručne vyrábané darčekové predmety</t>
  </si>
  <si>
    <t>Fajnoty s. r. o. r. s. p.</t>
  </si>
  <si>
    <t>Mojmírova 787/12,  040 01 Košice - Staré Mesto</t>
  </si>
  <si>
    <t>Služby a tovary v gastro sektore.</t>
  </si>
  <si>
    <t>Podpora zamestnanosti znevýhodnených a zraniteľných osôb.</t>
  </si>
  <si>
    <t>https://katalogsp.gov.sk/fajnoty-s-r-o-r-s-p/</t>
  </si>
  <si>
    <t>+421 554 607 000</t>
  </si>
  <si>
    <t>frajnotysro@gmail.com</t>
  </si>
  <si>
    <t>Fajnoty s.r.o. r.s.p.</t>
  </si>
  <si>
    <t>Ponuka tovaru a služieb v gastro sektore.</t>
  </si>
  <si>
    <t>šaláty, koláče, balené hotové jedlá</t>
  </si>
  <si>
    <t>Stavebný sociálny podnik s. r. o.</t>
  </si>
  <si>
    <t>Banská Belá 501, 966 15 Banská Belá</t>
  </si>
  <si>
    <t>Stavebný sociálny podnik s. r. o. je stavebná firma, ktorá sa venuje najmä stavebnej výrobe a uskutočňovaniu stavieb. Hlavnou činnosťou sú stavebné práce, vykonávanie zemných prác, búracích prác, pomocných stavebných prác a s tým súvisiacich pridružených činností.</t>
  </si>
  <si>
    <t>Naším cieľom je, aby si znevýhodnení zamestnanci, ktorí u nás pracujú, osvojili v čo najväčšej možnej miere pracovné návyky a dokázali sa tak postupne integrovať na trh práce a byť plnohodnotnými zamestnancami.</t>
  </si>
  <si>
    <t>https://katalogsp.gov.sk/wp-content/uploads/2021/12/Stavebny-socialny.podnik-main1.jpg</t>
  </si>
  <si>
    <t>https://katalogsp.gov.sk/stavebny-socialny-podnik-s-r-o/</t>
  </si>
  <si>
    <t>+421 915 447 187</t>
  </si>
  <si>
    <t>rsspodnik@gmail.com</t>
  </si>
  <si>
    <t>Hlavným predmetom podnikania je uskutočňovanie stavieb a ich zmien.</t>
  </si>
  <si>
    <t>stavebné práce
zemné práce
búracie práce
pomocné stavebné práce
súvisiace pridružené činnosti</t>
  </si>
  <si>
    <t>Integrácia s. r. o.</t>
  </si>
  <si>
    <t>čistiace a upratovacie služby, ubytovacie a stravovacie služby</t>
  </si>
  <si>
    <t>Dukelská 31, 087 01 Giraltovce</t>
  </si>
  <si>
    <t>Ponúkame stravovanie a služby práčovne.</t>
  </si>
  <si>
    <t>Zamestnávame občanov so zdravotným postihnutím.</t>
  </si>
  <si>
    <t>https://katalogsp.gov.sk/integracia-s-r-o/</t>
  </si>
  <si>
    <t>+421 915 766 320</t>
  </si>
  <si>
    <t>novotnyfld@gmail.com</t>
  </si>
  <si>
    <t>Integrácia s.r.o. RSP</t>
  </si>
  <si>
    <t>Ponúkame služby práčovne, ubytovanie.</t>
  </si>
  <si>
    <t>práčovňa, stravovacie služby</t>
  </si>
  <si>
    <t>TEHLAN, s. r. o.</t>
  </si>
  <si>
    <t>čistiace a upratovacie služby, poľnohospodárstvo a lesníctvo, dom a záhrada, stavebníctvo, účtovníctvo a poradenstvo</t>
  </si>
  <si>
    <t>Tehla 88, 935 35 Tehla</t>
  </si>
  <si>
    <t>Poskytujeme menšiu stavebnú činnosť, letnú a zimnú údržbu, upratovacie práce a vedenie účtovníctva. Medzi našich zákazníkov patria najmä občania a obce v regióne.</t>
  </si>
  <si>
    <t>Náš podnik zamestnáva najmä zdravotne znevýhodnené osoby, čím im poskytujeme možnosť integrácie.</t>
  </si>
  <si>
    <t>https://katalogsp.gov.sk/wp-content/uploads/2021/12/Tehlan-main1.jpg</t>
  </si>
  <si>
    <t>https://katalogsp.gov.sk/tehlan-s-r-o/</t>
  </si>
  <si>
    <t xml:space="preserve"> +421 903 537 408</t>
  </si>
  <si>
    <t>tehlan@obectehla.sk</t>
  </si>
  <si>
    <t>TEHLAN, s.r.o.</t>
  </si>
  <si>
    <t>Poskytujeme stavebnú činnosť, letnú a zimnú údržbu, upratovacie služby a vedenie účtovníctva.</t>
  </si>
  <si>
    <t>zemné práce, búranie, stavebné práce, kosenie, upratovanie, vedenie účtovníctva</t>
  </si>
  <si>
    <t>Bátovské služby, s. r. o.</t>
  </si>
  <si>
    <t>Bátovce 2, 935 03 Bátovce</t>
  </si>
  <si>
    <t>Údržba verejných priestranstiev, technické práce, čistiace práce, reklama .</t>
  </si>
  <si>
    <t xml:space="preserve">Okrem  zamestnávania znevýhodnených osôb poskytujeme služby seniorom a občanom v núdzi. </t>
  </si>
  <si>
    <t>https://katalogsp.gov.sk/batovske-sluzby-s-r-o/</t>
  </si>
  <si>
    <t>+421 918 385 494</t>
  </si>
  <si>
    <t>batovskesluzby@gmail.com</t>
  </si>
  <si>
    <t>Bátovské služby, s.r.o.</t>
  </si>
  <si>
    <t>Údržba verejných priestranstiev,  technické služby, služby občanom ako pílenie dreva, kosenie záhrad, rýľovanie, údržba zelene, čistiace práce...</t>
  </si>
  <si>
    <t>kosenie, rýľovanie, pílenie, upratovanie, opiľovanie, maľovanie, zemné práce...</t>
  </si>
  <si>
    <t>Rejdovka s.r.o.</t>
  </si>
  <si>
    <t>čistiace a upratovacie služby, odevy a obuv, kultúra a šport, bižutéria a darčekové predmety</t>
  </si>
  <si>
    <t>Rejdová 47, 049 26 Rejdová</t>
  </si>
  <si>
    <t>Hlavnou činnosťou Rejdovky s.r.o. - RSP je šitie krojov a krojových súčastí, ktoré má v našej obci dlhoročnú tradíciu. Kroje ponúkame predovšetkým folklórnym súborom nielen z oblasti Gemera, ale aj celého Slovenska. Našimi zákazníkmi sú aj jednotlivci - milovníci folklóru, ktorí si dajú naše produkty vyrobiť pre vlastnú potrebu, príp. ako darček. Okrem kroja ako odevu ponúkame aj krojované bábiky, ktorých výroba je čisto na zákazku podľa želania zákazníka. Pri výrobe krojov sa snažíme dodržať tradičnú technológiu výroby - ručná paličkovaná čipka, ručné vyšívanie a pod. Doplnkovými činnosťami sú napr.: oprava odevov, výroba darčekových predmetov z textilu, výroba háčkovaných bytových doplnkov, ručne vyšívaných opaskov, motýlikov a iné. V prípade záujmu je možné zhotoviť aj iné textilné výrobky - napr. posteľnú bielizeň, obrusy, zástery, nákupné tašky, chňapky a pod. Spoločnosť sa zaoberá aj upratovacími službami, ktoré poskytuje pre obec.</t>
  </si>
  <si>
    <t>Podnik zamestnáva prevažne ľudí so zdravotným postihnutím a inak znevýhodnených (osamelé matky s deťmi, príslušníci rómskej komunity a pod.). Snažíme sa im vytvárať vhodné pracovné podmienky pre ich prácu a začlenenie do pracovného prostredia. Zdravotne postihnutí zamestnanci majú k dispozícii aj pracovných asistentov. Založením nášho RSP sme zároveň uchovali dlhoročnú tradíciu šitia krojov v našej obci a prispeli sme tak k uchovaniu kultúrneho bohatstva našich predkov.</t>
  </si>
  <si>
    <t>https://katalogsp.gov.sk/wp-content/uploads/2021/12/Rejdovka-main1.jpg</t>
  </si>
  <si>
    <t>https://katalogsp.gov.sk/rejdovka-s-r-o/</t>
  </si>
  <si>
    <t>+421 902 109 980</t>
  </si>
  <si>
    <t>rejdovka@rejdovka.eu</t>
  </si>
  <si>
    <t>RSP ponúka šitie krojov a krojových súčastí na zákazku. Kroje šijeme prevažne pre folklórne kolektívy z celého Slovenska, ale aj pre jednotlivcov, deti a mládež. Taktiež ponúkame výrobu darčekových predmetov z textilu - tašky, vyšívané opasky a motýliky, bavlnené rúška , krojované bábiky a iné.</t>
  </si>
  <si>
    <t>kroje, darčekové predmety, krojovaná bábika, rúško, taška, vyšívaný opasok, vyšívaný motýlik, sukňa, zástera, lajblík, vyšívaná vreckovka, paličkovaná čipka, parta, veniec, upratovanie a iné.</t>
  </si>
  <si>
    <t>Verejnoprospešné služby Stará Ľubovňa, s.r.o.</t>
  </si>
  <si>
    <t>čistiace a upratovacie služby, poľnohospodárstvo a lesníctvo, stavebníctvo, kultúra a šport, reklama</t>
  </si>
  <si>
    <t>Levočská 355/21 , 064 01 Stará Ľubovňa</t>
  </si>
  <si>
    <t>Primárnym zámerom spoločnosti sú činnosti spojené s údržbou verejných priestranstiev, poskytovaním jednoduchých a dokončovacích stavebných prác, údržba objektov vo vlastníctve mesta Stará Ľubovňa, čistenie chodníkov a komunikácií. V budúcnosti je zámerom sociálneho podniku poskytovanie činnosti v oblasti vydavateľskej činnosti.</t>
  </si>
  <si>
    <t>Poskytujeme služby na podporu zamestnanosti, a to zamestnávaním znevýhodnených a zraniteľných osôb.</t>
  </si>
  <si>
    <t>https://katalogsp.gov.sk/wp-content/uploads/2021/12/VPP-Stara-Lubovna-2.jpg</t>
  </si>
  <si>
    <t>https://katalogsp.gov.sk/verejnoprospesne-sluzby-stara-lubovna-s-r-o/</t>
  </si>
  <si>
    <t>+421 940 555 649</t>
  </si>
  <si>
    <t>vpssl@vpssl.sk</t>
  </si>
  <si>
    <t>Verejnoprospešné služby Stará Ľubovňa, s. r. o.</t>
  </si>
  <si>
    <t>Údržba verejnej zelene a zimná údržba chodníkov, kosenie verejných priestranstiev, starostlivosť o zeleň, kosenie a hrabanie trávy a lístia, strihanie živých plotov, orezávanie stromov, drobné stavebné úpravy.</t>
  </si>
  <si>
    <t>Uskutočňovanie stavieb a ich zmien,  Prípravné práce k realizácii stavby, verejné obstarávanie, služby súvisiace s produkciou filmov, videozáznamov a zvukových nahrávok, kosenie verejných priestranstiev</t>
  </si>
  <si>
    <t>Alfageo s. r. o.</t>
  </si>
  <si>
    <t>Mudroňova 1751/64, 811 03 Bratislava</t>
  </si>
  <si>
    <t>Geodézia, kartografia, geoinformatika.</t>
  </si>
  <si>
    <t>https://katalogsp.gov.sk/alfageo-s-r-o/</t>
  </si>
  <si>
    <t>+421 903 127 222</t>
  </si>
  <si>
    <t>info@alfageo.sk</t>
  </si>
  <si>
    <t>geodézia, kartografia, geoinformatika, digitálne technické mapy, GIS, geometrické plány, vytyčovanie pozemkov, pozemkové úpravy, evidencia pozemkov</t>
  </si>
  <si>
    <t>PEKÁREŇ U BORIAKOV s. r. o.</t>
  </si>
  <si>
    <t>Krné 125, 962 12 Detva</t>
  </si>
  <si>
    <t>Vyrábame celozrnný chlieb a domáce ťahané štrúdle podľa receptov starých mám. Našími zákazníkmi sú reštaurácie, hotely a všetci, ktorí si chcú v rámci rôznych priležitostí pochutnať na dobrej štrúdli.</t>
  </si>
  <si>
    <t>V našom podniku zamestnávame štyroch ZŤP zamestnancov.</t>
  </si>
  <si>
    <t>https://katalogsp.gov.sk/pekaren-u-boriakov-s-r-o/</t>
  </si>
  <si>
    <t>+421 905 732 611</t>
  </si>
  <si>
    <t>s.krnac@zoznam.sk</t>
  </si>
  <si>
    <t>PEKÁREŇ U BORIAKOV s.r.o. rsp</t>
  </si>
  <si>
    <t>Pečenie celozrnného chleba a štrúdlí podľa starých mám.</t>
  </si>
  <si>
    <t>Celozrnné chlebíčky, štrúdle podľa starých mám, tradičné koláče, domáci chlieb, celozrnný chlieb</t>
  </si>
  <si>
    <t>ZZPOBO, s.r.o.</t>
  </si>
  <si>
    <t xml:space="preserve">odpady a recyklácia </t>
  </si>
  <si>
    <t>Breza 56, 029 53 Breza</t>
  </si>
  <si>
    <t xml:space="preserve">Spoločnosť ZZPOBO s.r.o., r. s. p. bola založená za účelom podnikania v nasledovných oblastiach: podnikanie v oblasti nakladania s iným ako nebezpečným odpadom,
dokončovacie stavebné práce pri realizácii exteriérov a interiérov, sprostredkovateľská činnosť v oblasti obchodu, služieb a výroby, kúpa tovaru na účely jeho predaja konečnému spotrebiteľovi (maloobchod) alebo iným prevádzkovateľom živnosti (veľkoobchod), čistiace a upratovacie služby, administratívne služby.
</t>
  </si>
  <si>
    <t>Zamestnávame znevýhodnené osoby, a to vo výške 100 % zamestnancov. Podnik ZZPOBO s.r.o., r. s. p. je definovaný ako prepojený podnik so Záujmovým združením Biela Orava, pre všestranný rozvoj obcí a regiónu Biela Orava (ďalej ako Združenie). Združenie má udelený súhlas na prevádzkovanie zariadenia na zber odpadov. Zberný dvor sa aktuálne nachádza v priestoroch, ktoré má Združenie v prenájme od vlastníka týchto priestorov. Služby, ktoré Združenie poskytuje, spočívajú v zbere odpadu z obcí z regiónu Biela Orava a jeho následnom triedení .</t>
  </si>
  <si>
    <t>https://katalogsp.gov.sk/wp-content/uploads/2021/12/ZZPOBO-Praca-pri-pasovom-dopravniku3.jpg</t>
  </si>
  <si>
    <t>https://katalogsp.gov.sk/zzpobo-s-r-o/</t>
  </si>
  <si>
    <t>+421 905 527 337</t>
  </si>
  <si>
    <t>breza@orava.sk</t>
  </si>
  <si>
    <t>Areál PD Breza</t>
  </si>
  <si>
    <t>Triedenie separovaného odpadu a lisovanie plastov.</t>
  </si>
  <si>
    <t>triedenie odpadov, odpadové hospodárstvo, zber odpadu, vývoz odpadu</t>
  </si>
  <si>
    <t>BoGo bus s.r.o.</t>
  </si>
  <si>
    <t>doprava, cestovný ruch, kultúra a šport, krása-zdravie-relax, pre deti</t>
  </si>
  <si>
    <t xml:space="preserve">Partizánska 297/17, 972 71 Nováky </t>
  </si>
  <si>
    <t>Autobusová preprava osôb, služby pre širokú verejnosť v oblasti plávania.</t>
  </si>
  <si>
    <t>Regionálny rozvoj a zamestnanosť.</t>
  </si>
  <si>
    <t>https://katalogsp.gov.sk/wp-content/uploads/2021/12/BoGoBus-main1.jpg</t>
  </si>
  <si>
    <t>https://katalogsp.gov.sk/bogo-bus-s-r-o/</t>
  </si>
  <si>
    <t>+421 905 298 275</t>
  </si>
  <si>
    <t>gogola.michal@gmail.com</t>
  </si>
  <si>
    <t>BoGo bus</t>
  </si>
  <si>
    <t>Autobusová preprava osôb, poskytovanie služieb verejnosti v oblasti plávania.</t>
  </si>
  <si>
    <t>plávanie, autobus, relax, regenerácia, zájazdy</t>
  </si>
  <si>
    <t>HaSlox s. r. o.</t>
  </si>
  <si>
    <t xml:space="preserve">Kpt. Nálepku 444/18, 935 32 Kalná nad Hronom </t>
  </si>
  <si>
    <t xml:space="preserve">Hlavnou hospodárskou činnosťou spoločnosti HaSlox s.r.o. je stavebná činnosť, výroba a predaj typizovaných nízkoenergetických murovaných stavieb a drevostavieb, ktoré budú svojimi parametrami vhodné k využitiu ako sociálne a štartovacie byty, ktorých je na Slovensku stále nedostatok. 
Vedľajšími výrobnými činnosťami spoločnosti sú drobné výrobky z dreva: altánky, vtáčie búdky, včelie úle, rôzny mobiliár pre samosprávy a iné drobné výrobky z dreva
</t>
  </si>
  <si>
    <t>Zamestnávanie znevýhodnených a zraniteľných osôb.</t>
  </si>
  <si>
    <t>https://katalogsp.gov.sk/haslox-s-r-o/</t>
  </si>
  <si>
    <t>+421 905 573 136</t>
  </si>
  <si>
    <t>marian.slobodnik16@gmail.com</t>
  </si>
  <si>
    <t>HaSlox s.r.o.</t>
  </si>
  <si>
    <t>domy, drevostavby, drevovýroba, stavebná činnosť, nízkoenergetické domy, drevodomy</t>
  </si>
  <si>
    <t>Obecné služby Spišská Teplica s.r.o.</t>
  </si>
  <si>
    <t>čistiace a upratovacie služby, poľnohospodárstvo a lesníctvo, stavebníctvo, ubytovacie a stravovacie služby, dom a záhrada, cestovný ruch</t>
  </si>
  <si>
    <t xml:space="preserve">Obrancov mieru 454/3, 059 34 Spišská Teplica </t>
  </si>
  <si>
    <t>Obecný podnik vykonáva stavebné práce - v obci sme vďaka nemu vybudovali cyklochodník, opravili a pristavili sme hasičskú zbrojnicu, postavili nové komunitné centrum, vybudovali sme reguláciu miestneho potoka, opravili cesty a chodníky, zrekonštruovali časť materskej školy, zrekonštruovali oplotenie cintorína. Náš podnik sa venuje aj pohostinskej činnosti, keď prevádzkuje miestnu reštauráciu Zvonček. V jej priestoroch je možné organizovanie osláv, svadieb a iných spoločenských akcií s kapacitou do 120 ľudí. Náplňou práce je aj údržba zelene - kosenie a zber trávy, štiepkovanie konárov, orez a výrub stromov. V rámci firmy vykonávame taktiež výkopové a zemné práce, upratovacie práce, prevádzkujeme záhradníctvo s kvetinárstvom.</t>
  </si>
  <si>
    <t>Zamestnávanie znevýhodnených miestnych obyvateľov, zlepšovanie ich pracovných návykov a zručností, využívanie miestnych zdrojov, príprava a rozvoz stravy pre seniorov v obci za zvýhodnené ceny, prevádzkovanie jedinej gastroprevádzky v obci, podpora miestnej ekonomiky</t>
  </si>
  <si>
    <t>https://katalogsp.gov.sk/wp-content/uploads/2021/12/Spiska-teplica-3.jpg</t>
  </si>
  <si>
    <t>https://katalogsp.gov.sk/obecne-sluzby-spisska-teplica-s-r-o/</t>
  </si>
  <si>
    <t>+421 917 804 163</t>
  </si>
  <si>
    <t>sro@obecspisskateplica.sk</t>
  </si>
  <si>
    <t>Reštaurácia Zvonček</t>
  </si>
  <si>
    <t>Ponúkame denné menu, výber zo 7 jedál podľa aktuálnej ponuky. Chutné jedlo, príjemná a dobrá lokalita, milá obsluha a primerané ceny. Platba stravnými lístkami, platobnou kartou alebo hotovosťou.</t>
  </si>
  <si>
    <t>Reštaurácia, Zvonček, denné menu, obedové menu, oslavy, svadby, akcie, donáška stravy, rozvoz stravy pre seniorov, záhrada, kvety, výrub stromov, orez, štiepkovanie, stavebné práce, údržba zelene</t>
  </si>
  <si>
    <t>PE BONUM s. r. o.</t>
  </si>
  <si>
    <t>čistiace a upratovacie služby, poľnohospodárstvo a lesníctvo, dom a záhrada, stavebníctvo, odpady a recyklácia</t>
  </si>
  <si>
    <t>Štefana Moyzesa 2, 969 01 Banská Štiavnica</t>
  </si>
  <si>
    <t>Stavebné práce (opravy bytov, kompetné stavebné realizácie, oplocovanie pozemkov, stavba múrov, kladenie zámkovej dlažby), maliarske a natieračské práce, zimná a letná údržba pozemkov, výroba šindľa, upratovacie služby, čistenie žúmp a likvidácia odpadových vôd, triedenie materiálov a ukladanie materiálov na palety, drobné reklamné predmety.</t>
  </si>
  <si>
    <t>Zamestnávanie znevýhodnených zamestnancov</t>
  </si>
  <si>
    <t>https://katalogsp.gov.sk/pe-bonum-s-r-o/</t>
  </si>
  <si>
    <t>+421 905 281 015</t>
  </si>
  <si>
    <t>pebonum@gmail.com</t>
  </si>
  <si>
    <t>PE BONUM s. r. o., r.s.p.</t>
  </si>
  <si>
    <t>Stavebná výroba, zimná a letná údržba pozemkov, maliarske a natieračské práce, výroba šindľov.</t>
  </si>
  <si>
    <t>stavba, maľovanie, kosenie, šindle, upratovanie, triedenie, reklamné predmety</t>
  </si>
  <si>
    <t>LASY, s. r. o.</t>
  </si>
  <si>
    <t>krása-zdravie-relax, odevy a obuv, pre deti, bižutéria a darčekové predmety</t>
  </si>
  <si>
    <t xml:space="preserve">Hrdinov SNP 6, 036 01 Martin </t>
  </si>
  <si>
    <t>Ručne vyrábané darčekové predmety ako sú sviečky, maľované hrnčeky, plienkové torty, darčekové sety, štrikované produkty, ručne vyrabané šperky a rôzne iné darčekové predmety.</t>
  </si>
  <si>
    <t>Pomáhame uplatniť sa na trhu práce hendikepovaným a zraniteľným osobám.</t>
  </si>
  <si>
    <t>https://katalogsp.gov.sk/lasy-s-r-o/</t>
  </si>
  <si>
    <t>+421 908 596 731</t>
  </si>
  <si>
    <t>info@paradnedarceky.sk</t>
  </si>
  <si>
    <t>Maloobchod a veľkoobchod s darčekovými predmetmi</t>
  </si>
  <si>
    <t>Výroba, nákup a predaj darčekových predmetov.</t>
  </si>
  <si>
    <t>sviečky, hrnčeky, vankúše, tričká, smaltované cedule, kozmetické sady, čaje, darčeková káva, hry, hračky, pivné darčeky, šperky, bižutéria</t>
  </si>
  <si>
    <t>Sociálny podnik mesta Martin, s. r. o.</t>
  </si>
  <si>
    <t>Námestie S. H. Vajanského 1/1, 036 01 Martin</t>
  </si>
  <si>
    <t>Našími zákazníkmi sú všetci, ktorí potrebujú rôzne stavebné, vodoinštalatérske alebo kúrenárske práce.</t>
  </si>
  <si>
    <t>Podpora regionálnej zamestnanosti.</t>
  </si>
  <si>
    <t>https://katalogsp.gov.sk/wp-content/uploads/2021/12/Soc-podnik-Martin-logo-banner1.jpg</t>
  </si>
  <si>
    <t>https://katalogsp.gov.sk/socialny-podnik-mesta-martin-s-r-o/</t>
  </si>
  <si>
    <t xml:space="preserve">  +421 915 049 972</t>
  </si>
  <si>
    <t>riaditel@rspmartin.sk</t>
  </si>
  <si>
    <t>Sociálny podnik mesta Martin, s.r.o.</t>
  </si>
  <si>
    <t>Rôzne stavebné, vodoinštalatérske alebo kúrenárske práce.</t>
  </si>
  <si>
    <t>zemné a stavebné práce, inštalatérske práce</t>
  </si>
  <si>
    <t>AGROFARMA KRŠKANY s. r. o.</t>
  </si>
  <si>
    <t>poľnohospodárstvo a lesníctvo, zvieratá</t>
  </si>
  <si>
    <t>Krškany 337, 934 01 Krškany</t>
  </si>
  <si>
    <t>Naša spoločnosť momentálne disponuje chovom sliepok (nosníc, brojlerov) a chovom kôz -  produkujeme kozie mlieko.V budúcnosti plánujeme rozšíriť chov o kačky.</t>
  </si>
  <si>
    <t>Zamestnávanie znevýhodnených osôb a produkcia mäsa sliepok a vajec z voľného výbehu.</t>
  </si>
  <si>
    <t>https://katalogsp.gov.sk/agrofarma-krskany-s-r-o/</t>
  </si>
  <si>
    <t>+421 948 009 999</t>
  </si>
  <si>
    <t>agrofarmakrskany@gmail.com</t>
  </si>
  <si>
    <t>AGROFARMA KRŠKANY s.r.o.</t>
  </si>
  <si>
    <t>Naša spoločnosť ponúka predaj sliepok - mäsa a vajec - z voľného výbehu.</t>
  </si>
  <si>
    <t>farma, chov hydiny, predaj hydiny, mäso, bio vajcia, mlieko</t>
  </si>
  <si>
    <t>LIPA s.r.o.</t>
  </si>
  <si>
    <t>reklama</t>
  </si>
  <si>
    <t>Nám. osloboditeľov 10, 071 01 Michalovce</t>
  </si>
  <si>
    <t>Ponúkame reklamné a marketingové služby pre firmy, školy a samosprávu. Služby zahŕňajú reklamné predmety s potlačou alebo gravírovaním laserom, pracovné odevy s potlačou alebo výšivkou, tabule, samolepiace fólie a bannery s UV potlačou; digitálnu tlač a výrobu letákov, plagátov, vizitiek a pod.; online marketing pre sociálne siete a Google.</t>
  </si>
  <si>
    <t>Podpora zamestnanosti prostredníctvom zamestnávania znevýhodnených a zraniteľných osôb.</t>
  </si>
  <si>
    <t>https://katalogsp.gov.sk/wp-content/uploads/2021/12/LIPA-logo-banner1.jpg</t>
  </si>
  <si>
    <t>https://katalogsp.gov.sk/lipa-s-r-o/</t>
  </si>
  <si>
    <t>+421 905 874 738</t>
  </si>
  <si>
    <t>reklama@lipa.sk</t>
  </si>
  <si>
    <t>Reklamné predmety s potlačou alebo gravírom laserom, pracovné odevy s potlačou alebo výšivkou, digitálna tlač a výroba plagátov, letákov, brožúr, vizitiek a pod.</t>
  </si>
  <si>
    <t>tlač, výšivka, potlač textilu, plagát, leták, brožúra, vizitka, banner, bilboard, tabuľa, online reklama, tričko, polokošeľa, mikina, bunda, šiltovka, kalendár, taška, reklamné predmety, reklamný textil, kampaň</t>
  </si>
  <si>
    <t>M-HAND s.r.o</t>
  </si>
  <si>
    <t>obaly, bižutéria a darčekové predmety, iné (tovary a služby)</t>
  </si>
  <si>
    <t>Kuzmányho 923/25, 017 01 Považská Bystrica</t>
  </si>
  <si>
    <t>Ponúkame predovšetkým prácu vo mzde - jednoduché manipulačné práce ako balenie, lepenie, skladanie, práce s tlačovinami, jednoduché montážne práce, manuálne práce podľa požiadaviek zákazníka, ktoré nemôžu byť nahradené strojom.</t>
  </si>
  <si>
    <t>Zamestnávame ľudí, ktorí sa vďaka práci v našom podniku cítia spoločensky užitoční a i napriek svojim zdravotným znevýhodneniam sa dokážu postarať sami o seba a byť prospešní aj iným.</t>
  </si>
  <si>
    <t>https://katalogsp.gov.sk/m-hand-s-r-o/</t>
  </si>
  <si>
    <t>+421 948 246 826, +421 948 188 041</t>
  </si>
  <si>
    <t>mp.sklenka@gmail.com, m.sklenar52@gmail.com</t>
  </si>
  <si>
    <t>M-HAND s.r.o., prevádzka Martin</t>
  </si>
  <si>
    <t>Práca vo mzde - manuálne práce rôzneho druhu, jednoduché manipulačné práce, balenie, skladanie, lepenie, práca s tlačovinami, jednoduché montážne práce.</t>
  </si>
  <si>
    <t>balenie,skladanie,manipulácia, drevo,papier,kovy, lepenie, montážne práce, manuálne práce, zákazka</t>
  </si>
  <si>
    <t>Obecný podnik služieb Betliar, s.r.o., registrovaný sociálny podnik</t>
  </si>
  <si>
    <t>dom a záhrada, cestovný ruch, odpady a recyklácia</t>
  </si>
  <si>
    <t>Šafárikova 67, 049 21 Betliar</t>
  </si>
  <si>
    <t>Poskytujeme služby občanom i návštevníkom obce, starostlivosť o verejné priestranstvá, sociálne služby pre občanov obce, odpadové hospodárstvo, výroba jednoduchých výrobkov z dreva.</t>
  </si>
  <si>
    <t>Zamestnávanie znevýhodnených zamestnancov.</t>
  </si>
  <si>
    <t>https://katalogsp.gov.sk/wp-content/uploads/2021/12/Betliar-3.jpg</t>
  </si>
  <si>
    <t>https://katalogsp.gov.sk/obecny-podnik-sluzieb-betliar-s-r-o-registrovany-socialny-podnik/</t>
  </si>
  <si>
    <t>+421 911 595 086</t>
  </si>
  <si>
    <t>obecbetliar@hotmail.com</t>
  </si>
  <si>
    <t>Starostlivosť o verejné priestranstvá obce, parkovacie služby, prevádzka zberného dvora, výroba jednoduchých výrobkov z dreva.</t>
  </si>
  <si>
    <t>kosenie, drevovýroba, parkovacie služby, zberný dvor, odpad</t>
  </si>
  <si>
    <t>MASÁŽE s.r.o.</t>
  </si>
  <si>
    <t>Fraňa Kráľa 2543/8, 052 01 Spišská Nová Ves</t>
  </si>
  <si>
    <t>Masérske služby - všetky druhy masáží; uvedené služby poskytujeme ako pre širokú verejnosť tak aj pre firmy.</t>
  </si>
  <si>
    <t>Starostlivosť o ľudské telo - masáž je forma zdravotnej starostlivosti v boji proti bolestiam. Dokáže priaznivo ovplyvniť fyzický aj psychický stav človeka, pomáha pri mnohých zdravotných problémoch, zraneniach alebo strese.</t>
  </si>
  <si>
    <t>https://katalogsp.gov.sk/masaze-s-r-o/</t>
  </si>
  <si>
    <t>+421 905 779 269</t>
  </si>
  <si>
    <t>stefania.neuvirthova@gmail.com</t>
  </si>
  <si>
    <t>Masérske služby - masáže všetkých druhov.</t>
  </si>
  <si>
    <t>masáž, klasická masáž, lymfodrenážna masáž, masáž lávovými kameňmi, chiropraxia, reflexná masáž</t>
  </si>
  <si>
    <t>Komunitné centrum KOMPAS</t>
  </si>
  <si>
    <t>čistiace a upratovacie služby, dom a záhrada, potraviny a nápoje</t>
  </si>
  <si>
    <t>Pribinova 3, 940 02 Nové Zámky</t>
  </si>
  <si>
    <t>Čistiace a upratovacie služby - čistenie verejných priestranslev na území mesta Nové Zámky, upratovanie prevádzok a domácností.</t>
  </si>
  <si>
    <t>Veríme, že táto činnosť naštartuje sociálnu ekonomiku v meste Nové Zámky, zabezpečí vytvorenie pracovných miest pre znevýhodnené skupiny obyvateľov, pri ktorých budú prispôsobené pracovné podmienky zamestnancov tak, aby sa výrazne zvýšila úspešnosť udržania stabilnej obsadenosti pracovných pozícií. Napomôže tomu aj podpora pomáhajúcich profesií, s ktorými bude Komunitné centrum KOMPAS spolupracovať. Zabezpečí tiež kontinuitu práce s cieľovou skupinou, podporí zmenu jej sociálneho statusu pracovným uplatnením v spojitosti so zabezpečením dočasného a trvalého bývania, ako aj podporou samostatného bývania prostredníctvom sociálnych služieb.</t>
  </si>
  <si>
    <t>https://katalogsp.gov.sk/wp-content/uploads/2021/12/Komunitne-centrum-Kompas-logo1-E-katalog-RSP.jpg</t>
  </si>
  <si>
    <t>https://katalogsp.gov.sk/komunitne-centrum-kompas/</t>
  </si>
  <si>
    <t>+421 918 707 431</t>
  </si>
  <si>
    <t>milanpresburger@gmail.com</t>
  </si>
  <si>
    <t>Komunitné centrum Kompas</t>
  </si>
  <si>
    <t>Cooworkingové centrum s kaviarňou.</t>
  </si>
  <si>
    <t>co-working, kaviareň, komunitné centrum, upratovanie, čistenie, starostlivosť o domácnosť</t>
  </si>
  <si>
    <t>ZEDKO, s.r.o.</t>
  </si>
  <si>
    <t>doprava, odpady a recyklácia</t>
  </si>
  <si>
    <t>Zvolenská cesta 14A, 974 05 Banská Bystrica</t>
  </si>
  <si>
    <t>Náš podnik zabezpečuje zber, prepravu a spracovanie elektroodpadov, kovových odpadov, batérií a pod.</t>
  </si>
  <si>
    <t>Zamestnávame zraniteľné alebo znevýhodnené osoby.</t>
  </si>
  <si>
    <t>https://katalogsp.gov.sk/wp-content/uploads/2021/12/ZEDKO-s.r.o.-logo1-E-katalog-RSP.jpg</t>
  </si>
  <si>
    <t>https://katalogsp.gov.sk/zedko-s-r-o/</t>
  </si>
  <si>
    <t>+421 484 161 261</t>
  </si>
  <si>
    <t>zedko@zedko.sk</t>
  </si>
  <si>
    <t>Zber, preprava a spracovanie elektroodpadov, kovových odpadov, batérií a iných odpadov.</t>
  </si>
  <si>
    <t>zber, preprava a spracovanie odpadov, triedenie odpadu, recyklácia, elektroodpad, kovový odpad, výkup batérií, rafinácia drahých kovov</t>
  </si>
  <si>
    <t>Obecné služby Rybník s. r. o.</t>
  </si>
  <si>
    <t>Hlavná 201, 935 23 Rybník</t>
  </si>
  <si>
    <t xml:space="preserve">Hlavnými službami registrovaného sociálneho podniku Obecné služby Rybník s.r.o. sú technické a upratovacie služby v domácnostiach, záhradách a na verejných priestranstvách, ako napr. kosenie, hrabanie, štiepanie, kálanie palivového dreva, menšie búracie a stavebné práce, opilovávanie, umývanie okien, upratovanie domácností, maľovanie a čistenie po maľovaní a pod.
Našimi zákazníkmi sú občania - fyzické osoby z obce a jej širšieho okolia a samosprávy. Ponúkame im dostupné a kvalitné služby podľa požiadaviek, často "šité na mieru". Máme zručných, spoľahlivých a usilovných zamestnancov, ktorí sú garanciou kvalitne vykonanej práce.
</t>
  </si>
  <si>
    <t>Podporujeme zamestnávanie znevýhodnených a zraniteľných osôb v širšom okruhu obce Rybník v Levickom okrese.</t>
  </si>
  <si>
    <t>https://katalogsp.gov.sk/wp-content/uploads/2021/12/Obecne-sluzby-Rybnik-s.r.o.-banner1-E-katalog-RSP.jpg</t>
  </si>
  <si>
    <t>https://katalogsp.gov.sk/obecne-sluzby-rybnik-s-r-o/</t>
  </si>
  <si>
    <t>+421 905 526 475</t>
  </si>
  <si>
    <t>obecnesluzbyrybnik@gmail.com</t>
  </si>
  <si>
    <t>Obecné služby Rybník s.r.o.</t>
  </si>
  <si>
    <t>Opravy, upratovacie a údržbové práce.</t>
  </si>
  <si>
    <t>upratovanie, kosba, čistenie, opravy, údržba, umývanie okien, pílenie stromov, kálanie dreva, menšie búracie práce, stavebné práce</t>
  </si>
  <si>
    <t>OLBL, s.r.o.</t>
  </si>
  <si>
    <t>Obrancov mieru 350, 018 41 Dubnica nad Váhom</t>
  </si>
  <si>
    <t>Naša prevádzka poskytuje služby v oblasti čistenia odevov - zákazníkom ponúkame čistenie širokej škály odevov, kobercov, pranie i žehlenie. Našimi zákazníkmi sú široká verejnosť, malé i stredné podniky, subjekty sociálnej ekonomiky i verejnej správy.</t>
  </si>
  <si>
    <t>https://katalogsp.gov.sk/wp-content/uploads/2021/12/OLBL-s.r.o-banner3-E-katalog-RSP.jpg</t>
  </si>
  <si>
    <t>https://katalogsp.gov.sk/olbl-s-r-o/</t>
  </si>
  <si>
    <t>+421 917 300 700</t>
  </si>
  <si>
    <t>info@perudubnica.sk</t>
  </si>
  <si>
    <t>PERU EKOČISTIAREŇ</t>
  </si>
  <si>
    <t>Čistenie, pranie odevov.</t>
  </si>
  <si>
    <t>práčovňa, čistiareň, pranie, žehlenie, čistenie kobercov</t>
  </si>
  <si>
    <t>EkonoConsult, s.r.o. r.s.p.</t>
  </si>
  <si>
    <t xml:space="preserve">dom a záhrada, stavebníctvo, účtovníctvo a poradenstvo, </t>
  </si>
  <si>
    <t>Orgovánová 956/26, 079 01 Veľké Kapušany</t>
  </si>
  <si>
    <t>Hlavnou činnosťou našej spoločnosti od jej založenia je vedenie účtovníctva pre všetky typy subjektov, od malých živnostníkov bez zamestnancov až po stredne veľké spoločnosti. 
V roku 2021 sme rozšírili svoje činnosti v ďalšej oblasti, ktorú by sme mohli jednou vetou opísať ako „ZELENÉ RIEŠENIE PRE VÁŠ ŽIVOT“. Zahŕňa nasledovné činnosti:
- realizácia záhrad a verejných priestranstiev na kľúč alebo aj čiastkovo a následná údržba a starostlivosť; sú to činnosti ako výsadba zelene, plánovanie a realizácia kvetinových záhonov, pokládka trávnikov, zhotovenie úžitkových, vyvýšených a vysokých záhonov, dažďovej záhrady, komplexné riešenie odvodu dažďovej vody, kosenie, mulčovanie, rezanie stromov a živých plotov,
- realizácia ekologických riešení stavieb, ako zelené strechy, prevetrané fasády, retenčné plochy, gumové dopadové plochy, drevené terasy a drevené podlahy v interiéroch. 
Uvedené činnosti ponúkame pre súkromné osoby, podnikateľské subjekty aj pre verejný sektor.</t>
  </si>
  <si>
    <t>Zamestnávaním znevýhodnených osôb a pozitívnym ekologickým vplyvom na región.</t>
  </si>
  <si>
    <t>https://katalogsp.gov.sk/ekonoconsult-s-r-o-r-s-p/</t>
  </si>
  <si>
    <t>+421 905 439 628</t>
  </si>
  <si>
    <t>office@ekonoconsult.eu</t>
  </si>
  <si>
    <t>GRONN LIV - Zelené riešenie pre váš život</t>
  </si>
  <si>
    <t>"ZELENÉ RIEŠENIE PRE VÁŠ ŽIVOT“:
- Realizácia záhrad a verejných priestranstiev na kľúč alebo aj čiastkovo a následná údržba a starostlivosť. Sú to činnosti ako výsadba zelene, plánovanie a realizácia kvetinových záhonov, pokládka trávnikov, zhotovenie úžitkových, vyvýšených a vysokých záhonov, dažďovej záhrady, komplexné riešenie odvodu dažďovej vody, kosenie, mulčovanie, rezanie stromov a živých plotov. 
- Realizácia ekologických riešení stavieb, ako zelené strechy, prevetrané fasády, retenčné plochy, gumové dopadové plochy, drevené terasy a drevené podlahy v interiéri. 
Uvedené činnosti ponúkame pre súkromné osoby, podnikateľské subjekty aj pre verejný sektor.</t>
  </si>
  <si>
    <t xml:space="preserve"> kosenie, mulčovanie, sadenie, úprava pôdy, dažďová záhrada, zelená strecha, prevetraná fasáda, ekologické stavby</t>
  </si>
  <si>
    <t>EkonoConsult - účtovníctvo, dane, mzdy, firemné financie</t>
  </si>
  <si>
    <t>V oblasti účtovníctva vykonáva naša spoločnosť vedenie podvojného účtovníctva, jednoduchého účtovníctva pre podnikateľov aj pre neziskový sektor, spracovanie personálnej a mzdovej agendy, evidenciu skladových zásob, evidenciu dlhodobého majetku a výpočet odpisov. Daňové poradenstvo je zabezpečené konateľkou spoločnosti, ktorá je licencovaná daňová poradkyňa.</t>
  </si>
  <si>
    <t>účtovníctvo, mzdy, dane, daňové poradenstvo,</t>
  </si>
  <si>
    <t>VB SP s. r. o., r. s. p.</t>
  </si>
  <si>
    <t>Priemyselná 936/3, 963 01 Krupina</t>
  </si>
  <si>
    <t>Spoločnosť VB SP s.r.o, r.s.p. sa venuje stavebnej výrobe, uskutočňovaniu stavieb a ich zmien, vykonávaniu zemných prác, búracích prác, pomocných stavebných prác a s tým súvisiacich pridružených činností. Druhou činnosťou je poskytovanie služieb v oblasti prania a čistenia odevov a textílií. Týmito činnosťami sleduje svoj hlavný cieľ, ktorým je dosahovanie merateľného pozitívneho sociálneho vplyvu.</t>
  </si>
  <si>
    <t>Spoločnosť VB SP s.r.o., r.s.p. prispieva k dosahovaniu pozitívneho sociálneho vplyvu tým, že zamestnáva zraniteľné a znevýhodnené osoby. Ich zamestnávaním spoločnosť sleduje cieľ ich sociálneho začlenia do spoločnosti, ich vzdelávania za pomoci mentorov a rozširovania ich praktických zručností.</t>
  </si>
  <si>
    <t>https://katalogsp.gov.sk/vb-sp-s-r-o-r-s-p/</t>
  </si>
  <si>
    <t>+421 907 854 588</t>
  </si>
  <si>
    <t>vbsp.sro@gmail.com</t>
  </si>
  <si>
    <t>VB SP s.r.o., r.s.p.</t>
  </si>
  <si>
    <t>Ponúkame služby v oblasti stavebnej výroby - kompletná realizácia stavieb, zemné práce, búracie práce, pomocné stavebné práce a s tým súvisiace pridružené činnosti. 
Ponúkame služby prania a čistenia odevov a textílií pre podnikateľov, nemocnice, domovy sociálnych služieb a tiež pre občanov.</t>
  </si>
  <si>
    <t>stavebná činnosť, stavebné práce,  zemné práce, búracie práce, práčovňa, pranie a čistenie odevov</t>
  </si>
  <si>
    <t>Solisko ČIRČ s.r.o., r.s.p.</t>
  </si>
  <si>
    <t>Čirč 208, 065 42 Čirč</t>
  </si>
  <si>
    <t>Stavebné a rekonštrukčné práce.</t>
  </si>
  <si>
    <t>Zamestnávame aj zdravotne znevýhodnených pracovníkov.</t>
  </si>
  <si>
    <t>https://katalogsp.gov.sk/wp-content/uploads/2021/12/Solisko-Circ-main1.jpg</t>
  </si>
  <si>
    <t>https://katalogsp.gov.sk/solisko-circ-s-r-o-r-s-p/</t>
  </si>
  <si>
    <t>+421 905 575 840</t>
  </si>
  <si>
    <t>mike.didik@gmail.com</t>
  </si>
  <si>
    <t>Solisko Čirč s.r.o., r.s.p.</t>
  </si>
  <si>
    <t xml:space="preserve">Stavebné práce, stavba, rekonštrukcia </t>
  </si>
  <si>
    <t>Dedinky s. r. o.</t>
  </si>
  <si>
    <t>doprava, cestovný ruch</t>
  </si>
  <si>
    <t>Dedinky 79, 049 73 Dedinky</t>
  </si>
  <si>
    <t>Hlavným zameraním je prevádzka lanovej dráhy Dedinky - Geravy. Táto služba je určená pre širokú verejnosť bez rozdielu - pre domácich obyvateľov, tuzemských aj zahraničných návštevníkov regiónu.</t>
  </si>
  <si>
    <t>Sociálny podnik nám pomáha riešiť nezamestnanosť znevýhodnených osôb na úrovni minimálne 30 %. Prostredníctvom neho podnikáme v oblasti cestovného ruchu. Zamestnaním celkového počtu 7 - 9 pracovníkov znižujeme nezamestnanosť v našom regióne.</t>
  </si>
  <si>
    <t>https://katalogsp.gov.sk/dedinky-s-r-o/</t>
  </si>
  <si>
    <t>+421 905 756 788</t>
  </si>
  <si>
    <t>dedinky.sro@gmail.com</t>
  </si>
  <si>
    <t>Poskytovanie služieb prepravy osôb na lanovej dráhe Dedinky - Geravy.</t>
  </si>
  <si>
    <t>lanová dráha, preprava,  sedačková lanovka</t>
  </si>
  <si>
    <t>Obecný podnik Žabokreky, s. r. o.</t>
  </si>
  <si>
    <t>poľnohospodárstvo a lesníctvo, dom a záhrada, stavebníctvo, cestovný ruch, odpady a recyklácia</t>
  </si>
  <si>
    <t>Žabokreky 145, 038 40 Žabokreky</t>
  </si>
  <si>
    <t>Obecný podnik Žabokreky, s.r.o. poskytuje komplexné komunálne služby najmä obci Žabokreky a jej občanom. Poskytujeme služby charakteru stavebných činností, krajinných úprav, nakladania s iným ako nebezpečným odpadom, údržby a správy verejných budov, správy informačných rezervačných systémov, letnej a zimnej údržby verejných priestranstiev.</t>
  </si>
  <si>
    <t>Obecný podnik Žabokreky, s.r.o. prispieva k dosahovaniu robustnejšieho pozitívneho sociálneho vplyvu v oblasti inklúzie znevýhodnených a zraniteľných osôb na pracovný trh; tieto osoby zapája do činností poskytovania komplexných komunálnych služieb. Tým prispieva najmä k vytváraniu sociálnej stability na území obce i v širšom okolí, najmä príkladom dobrej praxe.</t>
  </si>
  <si>
    <t>https://katalogsp.gov.sk/wp-content/uploads/2021/12/Obecny-podnik-Zabokreky-s.r.o.-banner-.jpg</t>
  </si>
  <si>
    <t>https://katalogsp.gov.sk/obecny-podnik-zabokreky-s-r-o/</t>
  </si>
  <si>
    <t>+421 919 355 811</t>
  </si>
  <si>
    <t>ohrapka1@gaya.sk</t>
  </si>
  <si>
    <t>Obecný podnik Žabokreky, s.r.o.</t>
  </si>
  <si>
    <t xml:space="preserve">Obecný podnik Žabokreky, s.r.o. ponúka služby v činnostiach stavebných, krajinných úprav, nakladania s iným ako nebezpečným odpadom, údržby a správy verejných budov, správy informačných rezervačných systémov na prenájom obecných nehnuteľností, športových potrieb a verejných priestranstiev, ktoré má registrovaný sociálny podnik v správe na základe zmluvného vzťahu s obcou Žabokreky ako jedným zo svojich zakladateľov.
</t>
  </si>
  <si>
    <t>Obecný podnik Žabokreky, komunálne služby, zemné práce, požičovňa športových potrieb, nakladanie s iným ako nebezpečným odpadom, krajinné úpravy, záhradnícke služby</t>
  </si>
  <si>
    <t>Breco s. r. o.</t>
  </si>
  <si>
    <t>ochrana a bezpečnosť, reklama, obaly, nábytok a bytové doplnky, bižutéria a darčekové predmety</t>
  </si>
  <si>
    <t>Kalvária 3, 949 01 Nitra</t>
  </si>
  <si>
    <t>Spoločnosť sa zameriava na výrobu, nákup a predaj predovšetkým vlastných výrobkov, a to: osobné ochranné prostriedky, vstupné čistiace rohože, certifikované sorpčné rohože pre zamedzenie úniku pohonných hmôt a olejov, reklamné tašky, modelovacie hmoty a reklamné predmety. Aktuálne máme v ponuke rôzne dekoračné a úžitkové predmety z preglejky, vždy podľa aktuálnej sezóny.
Naši zákazníci sú obchodné spoločnosti, samosprávy, školy, cirkevné organizácie, obchodné reťazce a samozrejme v nemalej miere konečný spotrebiteľ.</t>
  </si>
  <si>
    <t>Spoločnosť prispieva k dosahovaniu pozitívneho sociálneho vplyvu poskytovaním spoločensky prospešnej služby v oblasti zamestnanosti, a to zamestnávaním znevýhodnených a/alebo zraniteľných osôb.Tieto si osvoja pracovné návyky a získajú nové zručnosti pre výkon povolania, čo zvýši šance na ich opätovné spoločenské začlenenie berúc do úvahy ich novonadobudnutú mieru finančnej autonómie a samostatnosti, sebadôvery či schopnosti fungovať v prostredí pracovného kolektívu. Uvedené bude mať na osoby pozitívny sociálny vplyv. Dôjde k odstráneniu vylúčenia týchto osôb a k ich začleneniu z okraja spoločnosti do reálneho života.</t>
  </si>
  <si>
    <t>https://katalogsp.gov.sk/wp-content/uploads/2021/12/Breco-s.-r.-o.-banner-logo1.jpg</t>
  </si>
  <si>
    <t>https://katalogsp.gov.sk/breco-s-r-o/</t>
  </si>
  <si>
    <t>+421 948 210 977</t>
  </si>
  <si>
    <t>info@breco.sk</t>
  </si>
  <si>
    <t>Spoločnosť sa zameriava na výrobu, nákup a predaj predovšetkým vlastných výrobkov, a to: osobné ochranné prostriedky (rúška, ochranné štíty), vstupné čistiace rohože, certifikované sorpčné rohože pre zamedzenie úniku pohonných hmôt a olejov, reklamné tašky, modelovacie hmoty a reklamné predmety. Aktuálne máme v ponuke dekoračné predmety z preglejky (vianočné ozdoby), vždy podľa danej sezóny.</t>
  </si>
  <si>
    <t>rúška, ochranné štíty, rohože, sorpčné rohože, vstupné rohože, printové rohože, bavlnené tašky, tašky, modelársky materiál, modulit, vianočné ozdoby, dekorácie, rezanie laserom, ultrazvukové zváranie, potlač, reklamné predmety, darčekové predmety, výrobky z dreva</t>
  </si>
  <si>
    <t>KNK PLUS, výrobné družstvo</t>
  </si>
  <si>
    <t>nábytok a bytové doplnky, iné (tovary a služby)</t>
  </si>
  <si>
    <t>Majerská cesta 73, 974 01 Banská Bystrica</t>
  </si>
  <si>
    <t>Medzi sortiment výrobkov, ktoré KNK PLUS, výrobné družstvo, r. s. p. ponúka, patria: nábytkové úchytky, knopky, závesy, pánty, vešiaky, kolieska, klzáky, zámky, kľučky, nohy na nábytok, kovania na posuvné dvere a skladacie dvere, spojovacie kovania, konštrukčné prvky, technické odliatky a mnohé ďalšie.</t>
  </si>
  <si>
    <t>https://katalogsp.gov.sk/knk-plus-vyrobne-druzstvo/</t>
  </si>
  <si>
    <t>+421 905 512 546</t>
  </si>
  <si>
    <t>pipiska@knkplus.sk</t>
  </si>
  <si>
    <t>Medzi sortiment výrobkov, ktoré KNK PLUS, výrobné družstvo, r. s. p. ponúka patria: nábytkové úchytky, knopky, závesy, pánty, vešiaky, kolieska, klzáky, zámky, kľučky, nohy na nábytok, kovania na posuvné dvere a skladacie dvere, spojovacie kovania, konštrukčné prvky, a mnohé ďalšie. Ponúkame rôzne baliace práce a ako registrovaný sociálny podnik poskytujeme náhradné plnenie.</t>
  </si>
  <si>
    <t>nábytkové úchytky, knopky, závesy, pánty, vešiaky, kolieska, klzáky, zámky, kľučky, nohy na nábytok, kovania na posuvné dvere a skladacie dvere, spojovacie kovania, konštrukčné prvky, balenie, baliace práce</t>
  </si>
  <si>
    <t>HATER - HANDLOVÁ spol. s r.o.</t>
  </si>
  <si>
    <t>dom a záhrada, stavebníctvo, doprava, odpady a recyklácia</t>
  </si>
  <si>
    <t>Potočná 20, 972 51 Handlová</t>
  </si>
  <si>
    <t>Hlavné činnosti: uskladnenie odpadu, údržba komunikácií, dopravné výkony, separácia odpadov, údržba zelene, návrhy a realizácia záhrad, zvoz a spracovanie bio odpadu (BIO) a biologicky rozložiteľného kuchynského odpadu (BRKO).</t>
  </si>
  <si>
    <t>Podporujeme regionálny rozvoj a zamestnanosť.</t>
  </si>
  <si>
    <t>https://katalogsp.gov.sk/hater-handlova-spol-s-r-o/</t>
  </si>
  <si>
    <t>+421 918 945 173</t>
  </si>
  <si>
    <t>info@hatersro.sk, mholeinova@hatersro.sk</t>
  </si>
  <si>
    <t>Skládka odpadov Handlová</t>
  </si>
  <si>
    <t>Uskladnenie odpadov.</t>
  </si>
  <si>
    <t>odpad, doprava, kosenie, BRKO, stavebné práce, zemné práce, záhradné práce, údržba zelene, záhrada, spracovanie odpadu</t>
  </si>
  <si>
    <t>GADER, s.r.o.</t>
  </si>
  <si>
    <t>ubytovacie a stravovacie služby</t>
  </si>
  <si>
    <t>Blatnica 377, 038 15 Blatnica</t>
  </si>
  <si>
    <t>Ponúkame ubytovacie a reštauračné služby, rôzne spoločenské oslavy, firemné akcie ako školenia či team-buildingy. Našimi zákazníkmi sú predovšetkým návštevnici Národného parku Veľká Fatra, ale aj rôzne skupiny, rodiny s deťmi, firmy.</t>
  </si>
  <si>
    <t>Realizujeme služby na podporu zamestnanosti - percentom zamestnaných znevýhodnených a/alebo zraniteľných osôb z celkového počtu zamestnancov.</t>
  </si>
  <si>
    <t>https://katalogsp.gov.sk/wp-content/uploads/2021/12/Gader-s.r.o-banner-E-katalog-RSP.jpg</t>
  </si>
  <si>
    <t>https://katalogsp.gov.sk/gader-s-r-o/</t>
  </si>
  <si>
    <t>+421 43 494 8194</t>
  </si>
  <si>
    <t>gader@gaderskadolina.sk</t>
  </si>
  <si>
    <t>Chatová osada Gader</t>
  </si>
  <si>
    <t>Ubytovacie služby, prevádzka reštaurácie, bufetu a zmrzlinového stánku.</t>
  </si>
  <si>
    <t>reštaurácia, ubytovanie, firemné akcie, eventy, teambuilding</t>
  </si>
  <si>
    <t>OSP JAMNÍK s. r. o.</t>
  </si>
  <si>
    <t>Jamník 101, 053 22 Jamník</t>
  </si>
  <si>
    <t>Zveľaďovanie verejných priestranstiev a rekonštrukcia obecných budov. Zákazníci si môžu objednať prenájom hnuteľných vecí ako je napríklad mini bager, nákladné auto do 3,5 t, traktor s prívesom na vývoz.</t>
  </si>
  <si>
    <t>Dosahovanie pozitívneho sociálneho vplyvu sa meria predovšetkým percentom zamestnaných znevýhodnených a zraniteľných osôb. Ďalšou formou dosahovania pozitívneho sociálneho vplyvu je, že OSP Jamník umožňuje znižovanie nezamestnanosti v regióne Spiš a v obci Jamník, ako aj efektívne využitie verejných zdrojov v prospech občanov obce.</t>
  </si>
  <si>
    <t>https://katalogsp.gov.sk/osp-jamnik-s-r-o/</t>
  </si>
  <si>
    <t>+421 53 449 2114</t>
  </si>
  <si>
    <t>starosta@jamnik-spis.sk</t>
  </si>
  <si>
    <t>OSP JAMNÍK s.r.o.</t>
  </si>
  <si>
    <t>Zákazníci si môžu objednať prenájom hnuteľných vecí ako je napríklad mini bager, nákladné auto do 3,5 t, traktor s prívesom na vývoz.</t>
  </si>
  <si>
    <t>kosenie, bagrovanie, prevoz materiálu, prenájom stavebných strojov, nákladné auto</t>
  </si>
  <si>
    <t>Smižianské služby s.r.o</t>
  </si>
  <si>
    <t>dom a záhrada, stavebníctvo, doprava</t>
  </si>
  <si>
    <t>Námestie M. Pajdušáka 1341/50, 053 11 Smižany</t>
  </si>
  <si>
    <t>Drobné stavby, chodníky, ploty, terénne úpravy, požičovňa vozíka 2T, preprava vozidlom do 3,5 t, údržba zelene, kanalizačné a vodovodné prípojky,</t>
  </si>
  <si>
    <t>Zamestnávame znevyhodnených ľudí, ZŤP.</t>
  </si>
  <si>
    <t>https://katalogsp.gov.sk/smizianske-sluzby-s-r-o/</t>
  </si>
  <si>
    <t>+421 905 836 348</t>
  </si>
  <si>
    <t>info.smizany@obecnesluzby.sk</t>
  </si>
  <si>
    <t>Výstavba drobných stavieb, preprava materiálov autom do 3,5 t, prenájom vozíka 2T, terénne úpravy, údržba zelene.</t>
  </si>
  <si>
    <t xml:space="preserve">chodník, plot, kosenie, prípojka, bager, minibager, výkop, voda, </t>
  </si>
  <si>
    <t>Viktória Dance Servis s.r.o.</t>
  </si>
  <si>
    <t>odevy a obuv, nábytok a bytové doplnky, galantéria</t>
  </si>
  <si>
    <t>Malé Zalužice 179, 072 34 Zalužice</t>
  </si>
  <si>
    <t>Hlavnou činnosťou je predaj tanečných topánok, šitie tanečných kostýmov a predaj doplnkov pre všetky druhy tanca. Ďalej sa zaoberáme odevnou výrobou, realizujeme zákazkové šitie a opravy odevov, ako aj rôzne špeciálne zákazky (zatienenie zimných záhrad, prekrytie pódia atď.). Zaoberáme sa aj predajom záhradného nábytku (ratanové sedenie, závesné vajíčka a rôzny exteriérový nábytok). Predávame železiarsky  sortiment vhodný pre domácich kutilov a výrobcov nábytku (maloobchod aj veľkoobchod).</t>
  </si>
  <si>
    <t>Zamestnávanie znevýhodnených občanov.</t>
  </si>
  <si>
    <t>https://katalogsp.gov.sk/viktoria-dance-servis-s-r-o/</t>
  </si>
  <si>
    <t>+421 907 914 307</t>
  </si>
  <si>
    <t>kral.maros@gmail.com</t>
  </si>
  <si>
    <t>Naša prevádzkareň v Košiciach sa zaoberá predajom obuvi, oblečenia a tanečných doplnkov.</t>
  </si>
  <si>
    <t>Tanečná obuv, tanečné oblečenie,tanečné doplnky,  krajčírstvo, záhradný nábytok, ratanový nábytok, závesné vajíčko, zákazkové šitie,  železiarstvo</t>
  </si>
  <si>
    <t>Prevádzkareň v Zalužiciach sa venuje odevnej výrobe, zákazkovému šitiu, predaju záhradného nábytku a železiarskych komponentov.</t>
  </si>
  <si>
    <t>Tanečná obuv, tanečné oblečenie,tanečné doplnky,  krajčírstvo, záhradný nábytok, zákazkové šitie,  železiarstvo</t>
  </si>
  <si>
    <t>MDMT s. r. o., registrovaný sociálny podnik</t>
  </si>
  <si>
    <t>dom a záhrada, ubytovacie a stravovacie služby, účtovníctvo a poradenstvo</t>
  </si>
  <si>
    <t>Široké 185, 082 37 Široké</t>
  </si>
  <si>
    <t>Firma MDMT s. r o., registrovaný sociálny podnik, bola založená v roku 2019 s cieľom poskytovania služieb v oblasti účtovníctva, daňového poradenstva, donášky jedál pre právnické aj fyzické osoby. Túto ponuku sme rozšírili o služby osobného charakteru poskytované najmä osobám s rozhodnutím o odkázanosti na sociálne služby.</t>
  </si>
  <si>
    <t>Viac ako 75% naších zamestnacov tvoria znevýhodnené osoby so zdravotným postihnutím.</t>
  </si>
  <si>
    <t>https://katalogsp.gov.sk/mdmt-s-r-o-registrovany-socialny-podnik/</t>
  </si>
  <si>
    <t>+421 917 541 766</t>
  </si>
  <si>
    <t>oazabranisko@gmail.com</t>
  </si>
  <si>
    <t>MDMT s. r.o., registrovaný sociálny podnik</t>
  </si>
  <si>
    <t>Účtovnícke a audítorské činnosti, vedenie účtovných kníh; daňové poradenstvo
donáška jedál
starostlivosť o domácnosť</t>
  </si>
  <si>
    <t xml:space="preserve">Účtovnícke a audítorské činnosti, vedenie účtovných kníh; daňové poradenstvo
donáška jedál
starostlivosť o domácnosť </t>
  </si>
  <si>
    <t>Hrabovčan s. r. o., r.s.p.</t>
  </si>
  <si>
    <t>stavebníctvo, dom a záhrada, potraviny a nápoje</t>
  </si>
  <si>
    <t>Nižný Hrabovec 153, 094 21 Nižný Hrabovec</t>
  </si>
  <si>
    <t>Náš podnik poskytuje služby a tovar v 3 oblastiach: 
1. stavebná činnosť - výstavba chodníkov, zemné stavebné práce, výkopové práce, pomocné práce pri stavebných zákazkách, upratovanie objektov od stavebných sutín (zákazníkmi sú stavebné firmy, samosprávy...);
2. záhradníctvo - maloobchodná predajňa v obci s ponukou záhradníckeho tovaru - hnojivá, zeminy, náradie, farby a laky, bežný spotrebný materiál pre záhradkárov;
tvoríme rôzne ikebany so sezónnou tematikou - dušičkové, vianočné, celoročné aranžmány  (zákazníkmi v tejto oblasti sú obyvatelia našej obce, okolitých obcí a firmy, ktoré si objednajú aranžmány pre svojich zamestnancov);
3. výroba pirohov a cestovín - gastro prevádzka na výrobu regionálnych potravín, ako sú pirohy, zemiakové lokše, cestoviny; prevádzka má vlastnú maloobchodnú predajňu a zároveň výrobky distribuujeme do obchodných regionálnych sietí (našimi zákazníkmi sú obyvatelia našej obce, okolitých obcí a COOP Jednota Vranov nad Topľou).</t>
  </si>
  <si>
    <t>Náš podnik zamestnáva znevýhodnené skupiny obyvateľov v bližšom okolí. Našou činnosťou zveľaďujeme prostredie, v ktorom žijeme (stavebné práce - chodníky), občanom ponúkame služby, ktoré denne potrebujú pre svoje potreby a aj nemobilní občania sa dostanú k službám pre svoju záhradu. Ponúkame potravinový tovar, ktorý uľahčí prácu zamestnaným ľuďom. Najväčším spoločenským prínosom ale je, že poskytujeme prácu 17 zamestnancom, ktorí našli uplatnenie v našej firme.</t>
  </si>
  <si>
    <t>https://katalogsp.gov.sk/hrabovcan-s-r-o-r-s-p/</t>
  </si>
  <si>
    <t>+421 948 555 867</t>
  </si>
  <si>
    <t>hrabovcan.sp@gmail.com</t>
  </si>
  <si>
    <t>CP Hrabovčan</t>
  </si>
  <si>
    <t>Výroba pirohov, cestovín a zemiakových lokší.</t>
  </si>
  <si>
    <t>pirohy, cestoviny, lokše, zákusky, gastro, zmrzlina</t>
  </si>
  <si>
    <t>Záhradníctvo Hrabovčan</t>
  </si>
  <si>
    <t>Maloobchodná predajňa záhradníckych potrieb, tvorba aranžmánov.</t>
  </si>
  <si>
    <t>hnojivá, postreky, substráty, náradie, farby, laky, kvetináče, vence, ikebany, darčekové predmety; stavebné práce, výkopové práce, upratovanie staveniska</t>
  </si>
  <si>
    <t>Obecný sociálny podnik Nižná s.r.o.</t>
  </si>
  <si>
    <t>čistiace a upratovacie služby, poľnohospodárstvo a lesníctvo, dom a záhrada, stavebníctvo, doprava, ubytovacie a stravovacie služby, kultúra a šport, odpady a recyklácia</t>
  </si>
  <si>
    <t>Hviezdoslavova 330/19, 027 43 Nižná</t>
  </si>
  <si>
    <t>Spoločnosť preberá činnosť príspevkovej organizácie obce Nižná. Obec Nižná je tak pre spoločnosť kľúčovým objednávateľom služieb. Najvýznamnejšími službami poskytovanými obci Nižná je zimná a letná údržba verejných priestranstiev, nakladanie s odpadom a realizácia stavieb a stavebných úprav budov, ciest, chodníkov a pod. Spoločnosť tiež organizačne a technicky zabezpečuje kultúrne a spoločenské podujatia. V budúcnosti sa plánuje rozširovať portfólio poskytovaných služieb o výrobu drobných tovarov z betónu, dreva, kovu (napr. betónové prefabrikáty).
Spoločnosť môže poskytovať drobné služby (napr. kosenie trávnikov, drobné stavebné úpravy) aj fyzickým osobám.</t>
  </si>
  <si>
    <t>100 % z dosiahnutého zisku po zdanení bude použitých na splnenie hlavného cieľa - dosahovanie pozitívneho sociálneho vplyvu meraného percentom zamestnaných znevýhodnených a zraniteľných osôb (min. 30 % z celkového počtu zamestnancov).</t>
  </si>
  <si>
    <t>https://katalogsp.gov.sk/obecny-socialny-podnik-nizna-s-r-o/</t>
  </si>
  <si>
    <t>+421 905 969 967</t>
  </si>
  <si>
    <t>obecny.podnik@nizna.sk</t>
  </si>
  <si>
    <t>Aktuálne spoločnosť ponúka najmä zimnú a letnú údržbu komunikácií a priestranstiev, nakladanie s odpadom a realizáciu stavieb a stavebných úprav budov, ciest, chodníkov a pod.</t>
  </si>
  <si>
    <t>upratovanie a čistenie, údržba zelene, nakladanie s odpadom, zber odpadu, stavebná činnosť, spoločenské akcie, podujatia, drobné stavebné práce, kosenie</t>
  </si>
  <si>
    <t>Thermostav s.r.o.</t>
  </si>
  <si>
    <t>stavebníctvo, poľnohospodárstvo a lesníctvo, dom a záhrada</t>
  </si>
  <si>
    <t>Staničná 8/12, 076 15 Veľaty</t>
  </si>
  <si>
    <t>Výroba štiepky, stavebná činnosť, služby s traktorom.</t>
  </si>
  <si>
    <t>https://katalogsp.gov.sk/thermostav-s-r-o/</t>
  </si>
  <si>
    <t>+421 918 702 996</t>
  </si>
  <si>
    <t>ocu@velaty.sk</t>
  </si>
  <si>
    <t>Thermostav, s. r. o.</t>
  </si>
  <si>
    <t>štiepkovanie, kosenie, búranie, výstavba</t>
  </si>
  <si>
    <t>Komunálne Služby Horná Súča, s. r. o., r. s. p.; skrátený názov: KSHS, s. r. o., r. s. p.</t>
  </si>
  <si>
    <t>čistiace a upratovacie služby, poľnohospodárstvo a lesníctvo, dom a záhrada, stavebníctvo, doprava, ubytovacie a stravovacie služby, cestovný ruch, účtovníctvo a poradenstvo, kultúra a šport, odpady a recyklácia, reklama, obaly, auto-moto, elektro, počítačová a kancelárska technika</t>
  </si>
  <si>
    <t>Horná Súča 233, 913 33 Horná Súča</t>
  </si>
  <si>
    <t>Spoločnosť Komunálne Služby Horná Súča s.r.o., r.s.p. je verejnoprospešný podnik, ktorého hlavným cieľom je dosahovanie merateľného pozitívneho sociálneho vplyvu poskytovaním spoločensky prospešnej služby v oblasti podpory regionálneho rozvoja a zamestnanosti.
Našim dlhodobým podnikateľským zámerom je poskytovanie čo najkvalitnejších komunálnych služieb miestnym obyvateľom, obci, okolitým obciam a iným podnikateľským subjektom: oprava miestnych rozhlasov a verejného osvetlenia, zber, separácia a zhodnocovanie komunálneho odpadu, vývoz fekálií, vodoinštalatérske, údržbárske a elektroinštalatérske práce, pomocné stavebné práce, údržba miestnych komunikácií a verejných priestranstiev, dovoz stravy občanom, opravy a budovanie turistických chodníkov a cyklotrás, príprava športových a kultúrnych podujatí.
Našim cieľom je profesionálne, zodpovedne a systematicky predávať naše ponúkané služby a tovary.</t>
  </si>
  <si>
    <t>Prvoradým hlavným cieľom podnikateľskej činnosti našej spoločnosti je dosahovanie merateľného sociálneho vplyvu v oblasti poskytovania spoločensky prospešných služieb. Základným problémom, z ktorého vychádza náš podnikateľský zámer, je zlepšiť životné podmienky obyvateľov v obci zvýšením zamestnanosti a poskytnutie zamestnania občanom, ktorí sú znevýhodnenými uchádzačmi o zamestnanie – odstránenie vylúčenia týchto osôb a začlenenie z okraja spoločnosti do reálneho života. Podstatné je vybudovať prostredie pre využívanie a uplatnenie individuálneho potenciálu občanov, ktorí nedokážu samostatne uplatniť svoje vedomosti, zručnosti a odhodlanie. Chceme byť pozitívnym vzorom v tejto oblasti a šíriť myšlienky sociálneho podnikania.</t>
  </si>
  <si>
    <t>https://katalogsp.gov.sk/wp-content/uploads/2021/12/Komunalne-Sluzby-Horna-Suca-s.r.o.-banner2-E-katalog-RSP.jpg</t>
  </si>
  <si>
    <t>https://katalogsp.gov.sk/komunalne-sluzby-horna-suca-s-r-o-r-s-p/</t>
  </si>
  <si>
    <t>+421 918 500 836</t>
  </si>
  <si>
    <t>kshs@hornasuca.sk</t>
  </si>
  <si>
    <t>Komunálne Služby Horná Súča s.r.o., r.s.p.</t>
  </si>
  <si>
    <t xml:space="preserve">Ponúkame:                                                                           - služby v poľnohospodárstve a záhradníctve,
- služby v lesníctve a poľovníctve,
- opracovanie drevnej hmoty a výroba komponentov z dreva,
- výroba nekovových minerálnych výrobkov a výrobkov z betónu, sadry a cementu,
- výroba a opracovanie jednoduchých výrobkov z kovu,
- diagnostika kanalizačných potrubí a čistenie kanalizačných systémov,
- uskutočňovanie stavieb a ich zmien,
- údržba motorových vozidiel bez zásahu do motorickej časti vozidla,
- sprostredkovateľská činnosť v oblasti obchodu, služieb, výroby,
- poskytovanie obslužných služieb pri kultúrnych a iných spoločenských podujatiach,
- prenájom nehnuteľností spojený s poskytovaním iných než základných služieb spojených s prenájmom,
- prenájom hnuteľných vecí,
- čistiace a upratovacie služby,
- organizovanie športových, kultúrnych a iných spoločenských podujatí,
- oprava osobných potrieb a potrieb pre domácnosť.
</t>
  </si>
  <si>
    <t>kosenie, zemné práce, sťahovacie a prepravné služby, stavebné práce, vodoinštalatérske a elektroinštalatérske práce, búranie, poľnohospodárstvo, kanalizácia, motorové vozidlá, doprava, obchod, služby, výroba, kultúrne a športové podujatia, projektovanie, cenárstvo, verejné obstarávanie, inžinierstvo, upratovanie, administratíva, donáška jedla, turistické chodníky, cyklotrasy</t>
  </si>
  <si>
    <t>SBS KOBRA Martin s.r.o.</t>
  </si>
  <si>
    <t>Hollého 66, 036 01 Martin</t>
  </si>
  <si>
    <t>Naša spoločnosť ponúka služby v oblasti súkromnej bezpečnosti, ochranu objektov, majetku a osôb v rozsahu zákona č. 473/2005 Z. z.</t>
  </si>
  <si>
    <t>https://katalogsp.gov.sk/sbs-kobra-martin-s-r-o/</t>
  </si>
  <si>
    <t xml:space="preserve"> '+421 905 527 375</t>
  </si>
  <si>
    <t>smalo@sbskobra.sk</t>
  </si>
  <si>
    <t>Zabezpečenie ochrany objektov, priestorov, inštalácia kamerových systémov.</t>
  </si>
  <si>
    <t>SBS, strážna služba, ochrana, bezpečnosť, kamery</t>
  </si>
  <si>
    <t>STAVENEC BYSTRÉ s.r.o., r.s.p.</t>
  </si>
  <si>
    <t>Šarišská 98/20, 094 34 Bystré</t>
  </si>
  <si>
    <t xml:space="preserve">Hlavná oblasť nášho podnikania je zameraná na stavebnú činnosť - práce v rozsahu demolačné, búracie a prípravné stavebné práce. Svojim zákazníkom budeme ponúkať výkony spojené s prípravou jednoduchých a pomocných prác  zameraných na murárske práce a pokládku obkladov, dlažieb, montáž sadrokartónov a ostatných stavebných prác.                           Medzi služby, ktoré bude naša spoločnosť poskytovať, patria: 
- podnikanie v oblasti nakladania s iným ako nebezpečným odpadom,
- uskutočňovanie stavieb a ich zmien,
- prípravné práce k realizácii stavby, demolácie, búracie práce,
- dokončovacie stavebné práce pri realizácii exteriérov a interiérov,
- upratovacie práce,
- starostlivosť o zelené plochy a verejné priestranstvá.
</t>
  </si>
  <si>
    <t xml:space="preserve">Spoločenský dopad sociálneho podniku spočíva v znížení nezamestnanosti znevýhodnených a najviac zraniteľných osôb z obce Bystré a jej okolia. Pozitívny spoločenský dopad  budeme  dosahovať aj prácami spojenými so skrášľovaním prostredia obce, čo bude mať vplyv na skvalitnenie života obyvateľov. </t>
  </si>
  <si>
    <t>https://katalogsp.gov.sk/stavenec-bystre-s-r-o-r-s-p/</t>
  </si>
  <si>
    <t>+421  911 194 527</t>
  </si>
  <si>
    <t>stavenec.bystre@azet.sk</t>
  </si>
  <si>
    <t>STAVENEC BYSTRÉ, s.r.o., r.s.p.</t>
  </si>
  <si>
    <t>stavebná činnosť, , prípravné práce, búracie práce, údržba verejných priestranstiev, starostlivosť o zeleň, upratovanie</t>
  </si>
  <si>
    <t>ERWEL s.r.o.</t>
  </si>
  <si>
    <t>kovovýroba</t>
  </si>
  <si>
    <t xml:space="preserve">Horný rad 533/3, 906 13 Brezová pod Bradlom </t>
  </si>
  <si>
    <t xml:space="preserve">Spoločnosť ERWEL s.r.o. pôsobí na západnom Slovensku v Brezovej pod Bradlom, kde sú dlhodobé skúsenosti s výrobou pružín a kovoobrábaním, a to už od päťdesiatych rokov minulého storočia. Firmu založenú na rodinnej báze vedú spoločne otec a syn od 14.12.2006.
Naša firma je zameraná na výrobu a predaj pružín a výrobkov z drôtu a pásky. Dlhodobé skúsenosti a využívanie nových technológií sú zárukou vysokej kvality a flexibilnosti pri výrobe i hľadaní vhodných riešení.
</t>
  </si>
  <si>
    <t xml:space="preserve">Nakoľko v oblasti Brezovej pod Bradlom je nedostatok odborných zamestnancov a zamestnancov s praxou v strojárskej výrobe, nechceme dovážať lacnú pracovnú silu  zo zahraničia, čo je bežný jav okolitých firiem. Na úrade práce je dostatok pracovnej sily s pracovným znevýhodnením, preto chce naša spoločnosť zamestnať týchto lokálnych ľudí, aby získali prax a pracovné návyky. </t>
  </si>
  <si>
    <t>https://katalogsp.gov.sk/wp-content/uploads/2021/12/ERWEL-s.r.o-2.jpg</t>
  </si>
  <si>
    <t>https://katalogsp.gov.sk/erwel-s-r-o/</t>
  </si>
  <si>
    <t>+421 903 227 769</t>
  </si>
  <si>
    <t>erwel@erwel.sk</t>
  </si>
  <si>
    <t>ERWEL, s.r.o.</t>
  </si>
  <si>
    <t>Predmetom činnosti našej spoločnosti je výroba pružín, výrobkov z drôtu a pásky.</t>
  </si>
  <si>
    <t>pružina, výrobky z drôtu, tvarovanie drôtu, spletané pružiny, tvarové pružiny, tlačné pružiny, ťažné pružiny, kovovýroba, priemyselná výroba</t>
  </si>
  <si>
    <t>BISOA society s. r. o., r.s.p.</t>
  </si>
  <si>
    <t>účtovníctvo a poradenstvo</t>
  </si>
  <si>
    <t>Trnková 12, 040 14 Košice - Košická Nová Ves</t>
  </si>
  <si>
    <t>Ponúkame účtovné služby a administratívne práce.</t>
  </si>
  <si>
    <t>Percentom zamestnaných znevýhodnených a zraniteľných osôb.</t>
  </si>
  <si>
    <t>https://katalogsp.gov.sk/bisoa-society-s-r-o-r-s-p/</t>
  </si>
  <si>
    <t>+421 907 247 259</t>
  </si>
  <si>
    <t>bisoa@bisoa.sk</t>
  </si>
  <si>
    <t>BISOA society s.r.o., r.s.p.</t>
  </si>
  <si>
    <t>účtovné služby, administratívne práce, vedenie účtovníctva</t>
  </si>
  <si>
    <t>Rimgal, spol. s r.o.</t>
  </si>
  <si>
    <t xml:space="preserve">A. Markuša 17, 979 01 Rimavská Sobota </t>
  </si>
  <si>
    <t>Naša spoločnosť sa zaoberá chovom hydiny, a to už od r.1997. Celoročne ponúkame na predaj slepačie vajcia z vlastného chovu, kŕmne zmesi pre hydinu a ošípané vyrábané priamo u nás, v mesiacoch marec - október živú hydinu, a to brojlerové kurčatá, mládky na znášku, sliepky v znáške a vodnú hydinu kačky, husi. Našu produkciu vajec umiestňujeme iba na slovenskom trhu, najmä do maloobchodných prevádzok po okolí, do cukrárenských výrobní a konečnému spotrebiteľovi. Otvorili sme vlastnú predajňu vajec a hydiny priamo na farme, v obci Nové Hony. Naše výrobky sa vyznačujú dobrou kvalitou, výhodnou cenou a hlavne zaručene slovenským pôvodom, ktorých je už bohužiaľ v Slovenskej republike stále menej a menej...</t>
  </si>
  <si>
    <t>Náš podnik sa rozhodol pomôcť najmä tým ľuďom, ktorí to naozaj najviac potrebujú, a to zamestnávaním znevýhodnených, zraniteľných a zdravotne postihnutých osôb.</t>
  </si>
  <si>
    <t>https://katalogsp.gov.sk/wp-content/uploads/2021/12/Rimgal-spol.-s-r.o.-banner1.jpg</t>
  </si>
  <si>
    <t>https://katalogsp.gov.sk/rimgal-spol-s-r-o/</t>
  </si>
  <si>
    <t>+421 905 947 870</t>
  </si>
  <si>
    <t>foba@atlas.sk</t>
  </si>
  <si>
    <t>Farma Nové Hony</t>
  </si>
  <si>
    <t>Celoročne ponúkame na predaj slepačie vajcia z vlastného chovu, kŕmne zmesi pre hydinu a ošípané vyrábané priamo u nás, v mesiacoch marec - október živú hydinu, a to brojlerové kurčatá, mládky na znášku, sliepky v znáške, kačky, husi.</t>
  </si>
  <si>
    <t>slepačie vajcia, živá hydina, nosnice, mládky, brojlery, kačky, husi, krmivo pre hydinu</t>
  </si>
  <si>
    <t>Výskum a inovácie s. r. o.</t>
  </si>
  <si>
    <t>Topoľčianska 237/48, 958 04 Partizánske</t>
  </si>
  <si>
    <t>Polotovary na výrobu mált, zatepľovacie malty a drtený polystyrén, ktorý sa využíva ako náplň do dierovaných tehál a na iné využitie.</t>
  </si>
  <si>
    <t>Ponúkame inovatívne nápady, tvorivosť a vlastné patentované produkty.</t>
  </si>
  <si>
    <t>https://katalogsp.gov.sk/vyskum-a-inovacie-s-r-o/</t>
  </si>
  <si>
    <t>+421 908 767 460</t>
  </si>
  <si>
    <t>hurajhorka@gmail.com</t>
  </si>
  <si>
    <t>Výskum a inovácie s.r.o.</t>
  </si>
  <si>
    <t>Zatepľovanie, malty, stavebníctvo, kovovýroba</t>
  </si>
  <si>
    <t>Rozvoj a spolupráca s. r. o.</t>
  </si>
  <si>
    <t xml:space="preserve">Kamenná 9, 010 01 Žilina </t>
  </si>
  <si>
    <t>Náš podnik ponúka technológie, ako CNC delenie materiálu (vodný lúč, laser, kyslík plyn, plazma), opracovanie materiálu (rezanie profilu, sústruženie, frézovanie, ohraňovanie), spracovanie materiálu (výroba oceľových konštrukcíí, výroba zásobníkov, výroba cyklónov), zváranie MIG/MAG/TIG/MMA, dopravníkové systémy (reťazové dopravníky, šnekové dopravníky, pásové dopravníky, korčekové dopravníky), technologické linky (spracovanie odpadov, peletovacie linky, briketovacie linky, kontajnerové riešenia), služby (montáž výrobku, projekčné práce, návrh, skreslenie, práce statika, vývoj podľa zadávania).</t>
  </si>
  <si>
    <t>Náš podnik pomáha zamestnávať ľudí so zdravotným znevýhodnením a tiež dlhodobo nezamestnaných; inovatívnou technológiou pristupujeme šetrným spôsobom k životnému prostrediu.</t>
  </si>
  <si>
    <t>https://katalogsp.gov.sk/wp-content/uploads/2021/12/Rozvoj-a-spolupraca-banner5.jpg</t>
  </si>
  <si>
    <t>https://katalogsp.gov.sk/rozvoj-a-spolupraca-s-r-o/</t>
  </si>
  <si>
    <t xml:space="preserve">+421 911 661 894
</t>
  </si>
  <si>
    <t>info@rozvojaspolupraca.sk</t>
  </si>
  <si>
    <t>Rozvoj a spolupráca s.r.o.</t>
  </si>
  <si>
    <t>Špecialista na rezanie vodným lúčom.</t>
  </si>
  <si>
    <t>Triediace linky, spracovanie biomasy, odpadov,  rôzne cestné konštrukcie, zábradlia, kameňolom,štrky, betonárky, technologické linky, oceľové konštrukcie, opracovanie materiálu, CNC, dopravníkové systémy, sústruženie, frézovanie, rezanie profilov</t>
  </si>
  <si>
    <t>SLUŽBY Suchá nad Parnou, s. r. o.</t>
  </si>
  <si>
    <t>stavebníctvo, dom a záhrada</t>
  </si>
  <si>
    <t xml:space="preserve">Suchá nad Parnou 68,  919 01 Suchá nad Parnou  </t>
  </si>
  <si>
    <t>Podnik Služby Suchá nad Parnou s.r.o. realizuje hlavne stavebnú činnosť, všetky základné stavebné práce ako murárske práce, zhotovenie sadrokartónových konštrukcií, obklady, dlažby, maliarske práce, zhotovenie izolácií plochých striech fóliou, atď. Ponúkame tiež služby dekoratéra a floristu.
Našimi zákazníkmi sú obce a rôzne fyzické a právnické osoby.</t>
  </si>
  <si>
    <t>Pozitívny sociálny vplyv dosahujeme začlenením zdravotne a inak znevýhodnených osôb do pracovného procesu, čím zvyšujeme ich spoločenský status a taktiež prispievame k znižovaniu nezamestnanosti v regióne</t>
  </si>
  <si>
    <t>https://katalogsp.gov.sk/wp-content/uploads/2021/12/Sucha-nad-Parnou-banner1.jpg</t>
  </si>
  <si>
    <t>https://katalogsp.gov.sk/sluzby-sucha-nad-parnou-s-r-o/</t>
  </si>
  <si>
    <t>+421 908 481 139</t>
  </si>
  <si>
    <t>sluzby.suchanadparnou@gmail.com</t>
  </si>
  <si>
    <t>SLUŽBY Suchá nad Parnou, s.r.o.</t>
  </si>
  <si>
    <t>Realizujeme najmä stavebnú činnosť, všetky základné stavebné práce ako murárske, zhotovenie sadrokartónových konštrukcií, obklady, dlažby, maliarske práce, zhotovenie izolácií plochých striech fóliou atď. Ponúkame tiež služby dekoratéra a floristu.</t>
  </si>
  <si>
    <t>stavebné práce, stavebná činnosť, ploché strechy, plochá strecha, Fatrafol fólie, dekorácie, obklady, dlažby, dokončovacie práce, sadrokartón, maľby, nátery, omietky, kazetové stropy, zámková dlažba, stavebný dozor, aranžovanie kvetov, dekorácie, floristika, výrub stromov, pílenie, pilčícke práce</t>
  </si>
  <si>
    <t>RENOP, spol. s r.o.</t>
  </si>
  <si>
    <t>doprava, auto-moto, iné (tovary a služby)</t>
  </si>
  <si>
    <t>Liptovská Teplá, 034 83 Liptovská Teplá</t>
  </si>
  <si>
    <t>Spoločnosť Renop prináša najširšiu ponuku v protektorovaní pneumatík studenou a teplou vulkanizáciou, predaj nových pneumatík, výrobu produktov z technickej gumy lisovaných na etážových lisoch. Pracovná plocha uvedených lisov je 400 x 400, 800 x 800 a 1200 x1100 mm. V prevádzke technickej gumy ďalej ponúkame pogumovanie kovov, opravy a lepenie dopravníkových pásov a výrobu gumotextilných výrobkov.
Z nášho sortimentu vyberáme:
- univerzálne autorohože,
- podložky pod koľajnice,
- rúčky na fúriky,
- gumové brity pre snehové pruhy,
- blatníky pre traktory,
- gumové časti mostových ložísk,
- nátrubky, nárazníky, priechodky, redukcie, spojky, kolieska,
- pogumovanie kladiek,
- pružiny, prísavky, sitá, špirály, zátky......</t>
  </si>
  <si>
    <t>Vďaka podpore MPSVR SR  sa našej spoločnosti darí udržiavať zamestnanosť zdravotne znevýhodnených osôb a tým prispievať k regionálnemu rozvoju a zamestnanosti.</t>
  </si>
  <si>
    <t>https://katalogsp.gov.sk/wp-content/uploads/2021/12/RENOP-banner2.jpg</t>
  </si>
  <si>
    <t>https://katalogsp.gov.sk/renop-spol-s-r-o/</t>
  </si>
  <si>
    <t>+421 907 704 430</t>
  </si>
  <si>
    <t>renop@renop.sk</t>
  </si>
  <si>
    <t>RENOP, spol. s r.o., registrovaný sociálny podnik</t>
  </si>
  <si>
    <t>Protektorovanie pneumatík studenou a teplou vulkanizáciou, predaj nových pneumatík, ponúkame výrobu produktov z technickej gumy lisovaných na etážových lisoch, v  prevádzke technickej gumy ďalej ponúkame pogumovanie kovov, opravy a lepenie dopravníkových pásov a výrobu gumotextilných výrobkov.</t>
  </si>
  <si>
    <t>protektorovanie pneumatík, predaj pneumatík, technická guma, autorohoža, rúčky na fúrik, táčky, blatník pre traktor</t>
  </si>
  <si>
    <t>GRANIA RSP, s.r.o.</t>
  </si>
  <si>
    <t>poľnohospodárstvo a lesníctvo, dom a záhrada, stavebníctvo, potraviny a nápoje, nábytok a bytové doplnky, pre deti</t>
  </si>
  <si>
    <t xml:space="preserve">Kapitulská 318/21, 974 01 Banská Bystrica </t>
  </si>
  <si>
    <t xml:space="preserve">Náš podnik vyvíja svoju činnosť v niekoľkých oblastiach:
- výroba úžitkovej a prezentačnej keramiky,
- stolárske práce a výroba hračiek z dreva (tento projekt je v realizačnej príprave),
- pomocné lesné a rekultivačné práce,
- spracovanie medu a výroba produktov z medu,
- stavebné práce - prerábky bytov, pomocné stavebné práce, murárske práce, výkopové práce.
</t>
  </si>
  <si>
    <t>V našej spoločnosti využívame synergický efekt príležitostí a skúseností v spolupráci so sociálnymi zariadeniami. Podľa individuálnych schopností vytvárame pracovné miesta pre ľudí z ťažkých sociálnych podmienok, ktorí majú problém nájsť miesto na trhu práce. Ide o ľudí bez domova, z výkonu trestu, marginálne skupiny alebo zdravotne znevýhodnených.</t>
  </si>
  <si>
    <t>https://katalogsp.gov.sk/grania-rsp-s-r-o/</t>
  </si>
  <si>
    <t>+421 908 729 322</t>
  </si>
  <si>
    <t>graniarsp@gmail.com</t>
  </si>
  <si>
    <t>Nachádza sa na prízemí vľavo, hneď pri vstupe do budovy.</t>
  </si>
  <si>
    <t>keramika, med, lesné práce, stavebné práce, drevené hračky, stolárske práce, lesné práce, rekonštrukcie bytov a domov, výkopové práce</t>
  </si>
  <si>
    <t>Technické služby obce Novoť s. r. o.</t>
  </si>
  <si>
    <t>čistiace a upratovacie služby, dom a záhrada, stavebníctvo, kultúra a šport, odpady a recyklácia</t>
  </si>
  <si>
    <t>Novoť 285, 029 55  Novoť</t>
  </si>
  <si>
    <t xml:space="preserve">Spoločnosť Technické služby obce Novoť s.r.o. je verejnoprospešný podnik, ktorý sa venuje činnostiam: vykonávanie parkových, sadových a záhradných úprav, vyžínanie trávy, výrez nežiadúcich krovín, čistenie brehov a dna riek, čistenie vodných nádrží, uskutočňovanie stavieb a ich zmien - realizácia chodníkov, rekonštrukcia verejného osvetlenia, prípravné práce k realizácii stavby, diagnostikovanie kanalizačných potrubí a čistenie kanalizačných systémov, čistiace a upratovacie služby, odstraňovanie nánosov pieskov a štrkopieskov pri údržbe vodných tokov a poskytovanie služieb osobného charakteru. </t>
  </si>
  <si>
    <t xml:space="preserve">Technické služby obce Novoť s.r.o. prispieva k dosahovaniu pozitívneho sociálneho vplyvu poskytovaním spoločensky prospešnej služby v oblasti zamestnanosti, a to zamestnávaním znevýhodných osôb. Tieto si osvojujú pracovné návyky a získavajú nové zručnosti pre výkon povolania, čo zvyšuje šance na ich opätovné spoločenské začlenenie berúc do úvahy ich novonadobudnutú mieru finančnej autonómie a samostnatnosti, sebadôvery  či schopnosti fungovať v prostredí pracovného kolektívu. </t>
  </si>
  <si>
    <t>https://katalogsp.gov.sk/wp-content/uploads/2021/12/Technicke-sluzby-obce-Novot-banner1.jpg</t>
  </si>
  <si>
    <t>https://katalogsp.gov.sk/technicke-sluzby-obce-novot-s-r-o/</t>
  </si>
  <si>
    <t>+421 918 318 474</t>
  </si>
  <si>
    <t>technickeslužby@novot.sk</t>
  </si>
  <si>
    <t>Technické služby obce Novoť s.r.o.</t>
  </si>
  <si>
    <t xml:space="preserve">Ponúkame realizáciu parkových , sadových a záhradných úprav, vyžínanie trávy, výrez nežiaducích krovín, čistenie brehov a dna riek, vodných nádrží, uskutočňovanie stavieb a ich zmien - realizáciu chodníkov, rekonštrukciu verejného osvetlenia, prípravné práce k realizácii stavby, diagnostikovanie kanalizačných potrubí a čistenie kanalizačných systémov, čistiace a upratovacie služby, dobývanie dna z vodného dna, odstráňovanie nánosov pieskov a štrkpieskov pri údržbe vodných tokov a poskytovanie služieb osobného charakteru. </t>
  </si>
  <si>
    <t>kosenie, hrabanie, čistenie, chodníky, kanalizácia, upratovanie</t>
  </si>
  <si>
    <t>Obecné služby Kunerad, s.r.o.</t>
  </si>
  <si>
    <t>čistiace a upratovacie služby, dom a záhrada, stavebníctvo, odpady a recyklácia</t>
  </si>
  <si>
    <t>Hlavná ulica 60/37, 013 13  Kunerad</t>
  </si>
  <si>
    <t>Naša spoločnosť sa venuje predovšetkým komunálnym a verejnoprospešným službám, najmä údržbe verejných priestranstiev, údržbe domácností a záhrad občanov mikroregiónu (kosenie, čistenie, atď.). V portfóliu našich služieb sú aj upratovacie a čistiace práce (hrubé aj detailné), rôzne montážne a prípravné stavebné práce.</t>
  </si>
  <si>
    <t xml:space="preserve">Spoločnosť prispieva k dosahovaniu pozitívneho sociálneho vplyvu poskytovaním spoločensky prospešnej služby v oblasti zamestnanosti, a to zamestnávaním zraniteľných a znevýhodnených osôb. Tieto si osvoja pracovné návyky a získajú nové zručnosti pre výkon povolania, môžu sa lepšie spoločensky začleniť, získať určitú mieru finančnej samostatnosti, sebadôvery či schopnosti fungovať v prostredí pracovného kolektívu. </t>
  </si>
  <si>
    <t>https://katalogsp.gov.sk/wp-content/uploads/2021/12/Obecne-sluzby-Kunerad-2.jpg</t>
  </si>
  <si>
    <t>https://katalogsp.gov.sk/obecne-sluzby-kunerad-s-r-o/</t>
  </si>
  <si>
    <t>+421 910 523 216</t>
  </si>
  <si>
    <t>obecnesluzbykunerad.rsp@gmail.com</t>
  </si>
  <si>
    <t>Komunálne a verejnoprospešné služby, najmä údržba verejných priestranstiev, domácností a záhrad občanov, mikroregiónu (kosenie, čistenie, atď.). V portfóliu našich služieb sú aj upratovacie a čistiace práce (hrubé aj detailné), rôzne montážne a prípravné stavebné práce.</t>
  </si>
  <si>
    <t>kosenie, montážne práce, stavebné práce, upratovanie, čistenie, údržba, správa, starostlivosť o domácnosť, záhrada</t>
  </si>
  <si>
    <t>ATEKA s.r.o.</t>
  </si>
  <si>
    <t>Brezová 29, 924 01  Galanta</t>
  </si>
  <si>
    <t>Služby starostlivosti o telo.</t>
  </si>
  <si>
    <t>Zamesnávanie znevýhodnených a zraniteľných osôb.</t>
  </si>
  <si>
    <t>https://katalogsp.gov.sk/ateka-s-r-o/</t>
  </si>
  <si>
    <t>+421 903 322 103</t>
  </si>
  <si>
    <t>bodyform@bodyform.sk</t>
  </si>
  <si>
    <t>BodyForm - lymfodrenážne štúdio</t>
  </si>
  <si>
    <t>lymfodrenáž, masáž, zdravie</t>
  </si>
  <si>
    <t>Sociálny podnik obce Slovinky s. r. o.</t>
  </si>
  <si>
    <t>čistiace a upratovacie služby, dom a záhrada, stavebníctvo, nábytok a bytové doplnky, bižutéria a darčekové predmety</t>
  </si>
  <si>
    <t xml:space="preserve">Slovinky 58, 053 40 Slovinky </t>
  </si>
  <si>
    <t xml:space="preserve">Náš podnik sa zaoberá najmä stavebnou činnosťou (realizácia drobných stavieb, rekonštrukcie, modernizácie, opravy a údržba interiérov a exteriérov, kosenie a starostlivosť o domácnosť). 
Ďalšou činnosťou je textilná výroba (úžitkový textil). Šijeme bavlnené tašky, kozmetické taštičky, vrecúška na potraviny, kuchynské zástery, chňapky, odličovacie tampóny, posteľné obliečky. Tvoríme aj z odpadových materiálov, z ktorých háčkujeme napríklad podsedáky. 
Podľa potreby a záujmu vieme vytvoriť a ušiť aj iné užitočné veci vhodné do domácnosti alebo ako darček. </t>
  </si>
  <si>
    <t>Pozitívny sociálny vplyv meriame percentom zamestnaných znevýhodnených alebo zraniteľných osôb. V našom podniku zamestnávame viac ako 90% znevýhodnených osôb.</t>
  </si>
  <si>
    <t>https://katalogsp.gov.sk/wp-content/uploads/2021/12/Socialny-podnik-obce-Slovinky-logo2.jpg</t>
  </si>
  <si>
    <t>https://katalogsp.gov.sk/socialny-podnik-obce-slovinky-s-r-o/</t>
  </si>
  <si>
    <t>+421 911 901 818</t>
  </si>
  <si>
    <t>socialny.podnik@obecslovinky.sk</t>
  </si>
  <si>
    <t>Sociálny podnik obce Slovinky, s. r. o., r.s.p.</t>
  </si>
  <si>
    <t>Medzi služby, ktoré poskytujeme, patria stavebné práce, a to najmä zemné práce, realizácia drobných a jednoduchých stavieb, montáž a výroba jednoduchých kovových a drevených konštrukcií, výkopové práce, betonárske práce, montáž oplotenia, starostlivosť o domácnosť (kosenie trávy, rúbanie, ukladanie dreva). 
Medzi ponúkané tovary patria strojovo šité a ručne vyrábané textilné veci vhodné do domácnosti alebo ako darček, napríklad bavlnená taška, kuchynská zástera, kuchynská chňapka, odličovacie tampóny, kozmetická taštička, vrecúško na potraviny, sťahovacie vrecko, posteľné obliečky, háčkované podsedáky a iné.</t>
  </si>
  <si>
    <t>stavebné práce, rekonštrukcie, modernizácie, montáž a demontáž debnenia, armovanie, betonárske práce, montáž oplotenia, kosenie, úprava hrobových miest, upratovanie, starostlivosť o domácnosť, šitie, háčkovanie, bavlnená taška, kuchynská zástera, kuchynská chňapka, odličovacie tampóny, kozmetická taštička, vrecúško na potraviny, sťahovacie vrecko, posteľné obliečky, zástera, vrecko, posteľné prádlo</t>
  </si>
  <si>
    <t>BJ Energy, s.r.o.</t>
  </si>
  <si>
    <t>Kamenná 9, 010 01 Žilina</t>
  </si>
  <si>
    <t>Realizujeme CNC delenie materiálu (vodný lúč, laser, kyslík plyn, plazma), opracovanie materiálu (rezanie profilu, sústruženie, frézovanie, ohraňovanie), spracovanie materiálu (výroba oceľových konštrukcií, výroba zásobníkov, výroba cyklónov), zváranie MIG/MAG/TIG/MMA), dopravníkové systémy (reťazové dopravníky, šnekové dopravníky, pásové dopravníky, 
 korčekové dopravníky), technologické linky (spracovanie odpadov, peletovacie linky, briketovacie linky, kontajnerové riešenia), služby (montáž výrobku, projekčné práce, návrh, skreslenie, práce statika, vývoj podľa zadávania).</t>
  </si>
  <si>
    <t>Náš podnik pomáha zamestnávať ľudí so zdravotným znevýhodnením a dlhodobo nezamestnaných, inovatívnou technológiou šetríme životné prostredie.</t>
  </si>
  <si>
    <t>https://katalogsp.gov.sk/bj-energy-s-r-o/</t>
  </si>
  <si>
    <t>+421 901 758 929</t>
  </si>
  <si>
    <t>info@bjenergy.sk</t>
  </si>
  <si>
    <t>BJ Energy s.r.o.</t>
  </si>
  <si>
    <t>Špecialista na rezanie vodným lúčom, CNC delenie materiálu, opracovanie materiálu, spracovanie materiálu, dopravníkové systémy, technologické linky, a podobné služby.</t>
  </si>
  <si>
    <t>rezanie vodným lúčom, sústruženie, frézovanie, ochraňovanie či rezanie profilov, CNC, kovovýroba, oceľové konštrukcie, dopravníkové systémy</t>
  </si>
  <si>
    <t>Obecný podnik Ostrý Grúň s. r. o.</t>
  </si>
  <si>
    <t>Ostrý Grúň 106, 966 77 Ostrý Grúň</t>
  </si>
  <si>
    <t>Obecný podnik Ostrý Grúň, s.r.o., r.s.p. je registrovaným sociálnym podnikom so 100 %-nou majetkovou účasťou Obce Ostrý Grúň. Spoločnosť bola založená dňa 14.04.2021 za účelom efektívneho a hospodárneho poskytovania služieb obci, občanom, samosprávam a organizáciám.Viac informácií na stránke www.ostrygrun.sk.</t>
  </si>
  <si>
    <t>https://katalogsp.gov.sk/obecny-podnik-ostry-grun-s-r-o/</t>
  </si>
  <si>
    <t>+421 917 197 609</t>
  </si>
  <si>
    <t>obecnypodni@ostrygrun.sk</t>
  </si>
  <si>
    <t>Obecný podnik Ostrý Grúň s.r.o., r.s.p.</t>
  </si>
  <si>
    <t>Poskytované služby: kosenie pozemkov a záhrad; pílenie, štiepanie a ukladanie dreva; odstraňovanie a odvoz náletových drevín; vypratávanie nehnuteľností – domov, chát a pod.; zabezpečenie vývozu stavebného a drobného odpadu (okrem nebezpečných odpadov); búracie práce drobného rozsahu; ručná úprava pozemkov; pomocné práce rôzneho druhu; iné práce podľa dohody.</t>
  </si>
  <si>
    <t>kosenie, búranie, zemné práce, údržba verejného priestranstva, údržba zelene, pílenie</t>
  </si>
  <si>
    <t>Sondor s.r.o.</t>
  </si>
  <si>
    <t>auto-moto, elektro, poľnohospodárstvo a lesníctvo</t>
  </si>
  <si>
    <t>Veľká okružná 17, 010 01 Žilina</t>
  </si>
  <si>
    <t>Výroba nerezového umývacieho/pieskovacieho boxu, chov včiel, predaj medu, predaj autosúčiastok.</t>
  </si>
  <si>
    <t>Zamestnávanie sociálne znevýhodnených osôb.</t>
  </si>
  <si>
    <t>https://katalogsp.gov.sk/wp-content/uploads/2021/12/Sondor-banner-3.jpg</t>
  </si>
  <si>
    <t>https://katalogsp.gov.sk/sondor-s-r-o/</t>
  </si>
  <si>
    <t>+421 950 885 128</t>
  </si>
  <si>
    <t>sondor.sro@gmail.com</t>
  </si>
  <si>
    <t>Výroba, predaj, čistiaci/pieskovací box, včelí med, predaj LED žiaroviek, svietidlá pre verejné osvetlenie, predaj autosúčiastok.</t>
  </si>
  <si>
    <t>čistiaci/pieskovací box, včelí med, LED žiarovka, svietidlo pre verejné osvetlenie, autosúčiastky.</t>
  </si>
  <si>
    <t>Sociálny podnik Mesta Gelnica, s. r. o.</t>
  </si>
  <si>
    <t>Banícke námestie 4, 056 01 Gelnica</t>
  </si>
  <si>
    <t>Sociálny podnik rozbieha stavebné práce, čistiace a upratovacie práce, údržbu verejnej zelene, údržbu záhrad fyzických osôb a ďalšie podobné služby.</t>
  </si>
  <si>
    <t>Mesto Gelnica plánuje zamestnať hlavne znevýhodnené alebo zraniteľné osoby. Cieľom je pomoc pri ich integrácii na trhu práce.</t>
  </si>
  <si>
    <t>https://katalogsp.gov.sk/socialny-podnik-mesta-gelnica-s-r-o/</t>
  </si>
  <si>
    <t>+421 908 478 944</t>
  </si>
  <si>
    <t>lgross@euroweb.sk</t>
  </si>
  <si>
    <t>Sociálny podnik mesta Gelnica</t>
  </si>
  <si>
    <t>Rozbiehame stavebné práce, čistiace a upratovacie práce, údržbu verejnej zelene, údržbu záhrad fyzických osôb a ďalšie podobné služby.</t>
  </si>
  <si>
    <t>údržba zelene, starostlivosť, upratovanie, čistenie, stavebné práce</t>
  </si>
  <si>
    <t>DEKOR GARDEN, sociálne družstvo, r.s.p.</t>
  </si>
  <si>
    <t>dom a záhrada, nábytok a bytové doplnky, bižutéria a darčekové predmety, iné (tovary a služby)</t>
  </si>
  <si>
    <t>DEKOR GARDEN, sociálne družstvo, r.s.p. je spoločnosť zaoberajúca sa predajom záhradkárskych potrieb, dekoračného materiálu, umelých kvetov a potrieb pre kvetinárov, vinárskych a chovateľských potrieb. Prevádzkujeme veľkoobchodnú aj maloobchodnú predajňu v Banskej Bystrici. Ponúkame kapacity pre výrobu aranžmánov z umelých alebo sušených kvetov na rôzne príležitosti a výrobu dekoračných bytových doplnkov. Ponúkame aj kapacity na váženie a balenie semien a poľnohospodárskych potrieb do spotrebiteľských balení.</t>
  </si>
  <si>
    <t>Pozitívny sociálny vplyv Družstvo dosahuje percentom zamestnaných znevýhodnených a/alebo zraniteľných osôb z celkového počtu zamestnancov.</t>
  </si>
  <si>
    <t>https://katalogsp.gov.sk/dekor-garden-socialne-druzstvo-r-s-p/</t>
  </si>
  <si>
    <t xml:space="preserve"> +421 905 197 543</t>
  </si>
  <si>
    <t>lubomira.pipiskova@dekorgarden.sk</t>
  </si>
  <si>
    <t>Záhradkárske potreby, dekoračný materiál, umelé kvety a potreby pre kvetinárov, vinárske a chovateľské potreby. Výroba aranžmánov z umelých alebo sušených kvetov na rôzne príležitosti a výrobu dekoračných bytových doplnkov. Prevádzkujeme veľkoobchodnú aj maloobchodnú predajňu v Banskej Bystrici. Ponúkame aj kapacity na váženie a balenie semien a poľnohospodárskych potrieb do spotrebiteľských balení.</t>
  </si>
  <si>
    <t>záhradkárstvo, chovateľské potreby, dekoračný materiál, umelé kvety, aranžmány, potreby pre kvetinárov, balenie, substráty, kôra, hnojivá, vence, keramika, kvetináče, obaly na kvety, košíky, sviečky, semená, cibuľoviny, zemiaky, záhradné náradie, vinárske potreby, súdky, balenie, baliace práce</t>
  </si>
  <si>
    <t>Slovenský ústav výstavby a rozvoja bývania, s. r. o.</t>
  </si>
  <si>
    <t>čistiace a upratovacie služby, stavebníctvo, dom a záhrada, iné (tovary a služby)</t>
  </si>
  <si>
    <t>Sad SNP 669/6, 010 01 Žilina</t>
  </si>
  <si>
    <t>Uskutočňovanie stavieb a ich zmien, prípravné práce k realizácii stavby, dokončovacie stavebné práce pri realizácii exteriérov a interiérov, čistiace a upratovacie služby, poskytovanie služieb v záhradníctve, výroba nekovových minerálnych výrobkov a výrobkov z betónu, sadry a cementu, opracovanie drevnej hmoty a výroba komponentov z dreva, výroba jednoduchých výrobkov z dreva, korku, slamy, prútia a ich úprava, oprava a údržba.</t>
  </si>
  <si>
    <t>Podmienku pozitívneho sociálneho vplyvu spoločnosť dosahuje jednak zamestnávaním znevýhodnených a/alebo zraniteľných osôb a zároveň svojimi činnosťami prispievajúcimi k rozvoju regiónu.</t>
  </si>
  <si>
    <t>https://katalogsp.gov.sk/slovensky-ustav-vystavby-a-rozvoja-byvania-s-r-o/</t>
  </si>
  <si>
    <t xml:space="preserve"> +421 950 654 525</t>
  </si>
  <si>
    <t>rozvojbyvania@gmail.com</t>
  </si>
  <si>
    <t>Uskutočňovanie stavieb a ich zmien, prípravné práce k realizácii stavby, dokončovacie stavebné práce pri realizácii interiérov a exteriérov, upratovacie služby, záhradnícke služby.</t>
  </si>
  <si>
    <t>upratovanie, zemné práce, stavebné práce, dokončovacie stavebné práce, prípravné stavebné práce, opracovanie dreva, búranie, žehlenie, umývanie okien, kosenie, opilovanie, pílenie, drevovýroba, výrobky z dreva, slamy, prútia.</t>
  </si>
  <si>
    <t>Rozvojové služby BBSK, s.r.o. registrovaný sociálny podnik</t>
  </si>
  <si>
    <t>Nám. SNP 14585/1A, 974 01 Banská Bystrica</t>
  </si>
  <si>
    <t>Zriaďovateľom našej spoločnosti je Banskobystrický samosprávny kraj, preto svoju hlavnú činnosť smerujeme práve na územie Banskobystrického kraja. Zameriavame sa predovšetkým na stavebné práce na objektoch v správe alebo v majetku BBSK, ale aj na iné stavebné činnosti podľa potrieb či už právnických alebo fyzických osôb. Svojim zákazníkom vieme poskytnúť takmer kompletné stavebné práce, t.j.:
 - jednoduché stavebné práce (napr. maľovanie, natieranie a výmena plávajúcich, resp. laminátových podláh),
 - drobné opravy, pokládka dlažby a obkladov (interiér, exteriér),
 - ručné výkopové práce,
 - zložitejšie rekonštrukcie a nadstavby budov a objektov, opravy striech, stavby plotov, kompletné murárske práce a iné.</t>
  </si>
  <si>
    <t>Zamestnávanie marginalizovaných obyvateľov.</t>
  </si>
  <si>
    <t>https://katalogsp.gov.sk/rozvojove-sluzby-bbsk-s-r-o-registrovany-socialny-podnik/</t>
  </si>
  <si>
    <t xml:space="preserve"> +421 948 874 630</t>
  </si>
  <si>
    <t>p.bucko@rozvojovesluzby.sk</t>
  </si>
  <si>
    <t>Svojim zákazníkom vieme poskytnúť takmer kompletné stavebné práce, t.j.:
 - jednoduché stavebné práce (napr. maľovanie, natieranie a výmena plávajúcich, resp. laminátových podláh),
 - drobné opravy, pokládka dlažby a obkladov (interiér, exteriér),
 - ručné výkopové práce,
 - zložitejšie rekonštrukcie a nadstavby budov a objektov, opravy striech, stavby plotov, kompletné murárske práce a iné.</t>
  </si>
  <si>
    <t>stavebný sociálny podnik</t>
  </si>
  <si>
    <t>PSML s. r. o.</t>
  </si>
  <si>
    <t>Moravské Lieskové 657, 916 42 Moravské Lieskové</t>
  </si>
  <si>
    <t>Drobné stavebné práce, údržba zelene, pomocné práce, prevádzka verejných vodovodov a verejnej kanalizácie, vykonávanie verejnoprospešných služieb pre obec a občanov údržba miestnych komunikácií, zvoz a triedenie odpadov, služby pre občanov, prevádzka čistiarne odpadových vôd, prevádzka verejného vodovodu, čistenie verejných priestranstiev.</t>
  </si>
  <si>
    <t>Likvidujeme čierne skládky s dôrazom na skládky v ochranných pásmach CHKO Biele Karpaty a zabezpečujeme sociálnu pomoc osobám v invalidnom alebo starobnom dôchodku a sociálne znevýhodneným osobám.</t>
  </si>
  <si>
    <t>https://katalogsp.gov.sk/psml-s-r-o/</t>
  </si>
  <si>
    <t xml:space="preserve"> +421 918 287 119</t>
  </si>
  <si>
    <t>starosta@moravskelieskove.sk</t>
  </si>
  <si>
    <t>PSML s.r.o.</t>
  </si>
  <si>
    <t>Drobné stavebné práce, údržba zelene, pomocné práce, prevádzka verejných vodovodov a verejnej kanalizácie, vykonávanie verejnoprospešných služieb pre obec a občanov - údržba miestnych komunikácií, zvoz a triedenie odpadov, služby pre občanov, prevádzka čistiarne odpadových vôd, prevádzka verejného vodovodu, čistenie verejných priestranstiev, likvidácia čiernych skládok s dôrazom na skládky v ochranných pásmach CHKO Biele Karpaty a zabezpečenie sociálnej pomoci osobám v invalidnom alebo starobnom dôchodku a sociálne znevýhodneným osobám.</t>
  </si>
  <si>
    <t>vykonávanie verejnoprospešných služieb pre obec a občanov údržba miestnych komunikácií, zvoz a triedenie odpadov, služby pre občanov, prevádzka čistiarne odpadových vôd, prevádzka verejného vodovodu, čistenie verejných priestranstiev, likvidácia čiernych skládok s dôrazom na skládky v ochranných pásmach CHKO Biele Karpaty, sociálna pomoc osobám v invalidnom alebo starobnom dôchodku a sociálne znevýhodneným osobám</t>
  </si>
  <si>
    <t>Atasof s. r. o.</t>
  </si>
  <si>
    <t>čistiace a upratovacie služby, ubytovacie a stravovacie služby, vzdelávanie, pre deti</t>
  </si>
  <si>
    <t>Chrenovec-Brusno 398, 972 32 Chrenovec-Brusno</t>
  </si>
  <si>
    <t>Ponúkame mimoškolské vzdelávanie a stravovacie a upratovacie služby pre detské jasle a materské školy. Ďalej ponúkame údržbárske a upratovacie služby pre firmy a pod.</t>
  </si>
  <si>
    <t>Zamestnávame znevýhodnených ľudí.</t>
  </si>
  <si>
    <t>https://katalogsp.gov.sk/atasof-s-r-o/</t>
  </si>
  <si>
    <t xml:space="preserve"> +421 940 652 272</t>
  </si>
  <si>
    <t>kozakroman.rk@gmail.com</t>
  </si>
  <si>
    <t>Atasof s.r.o.</t>
  </si>
  <si>
    <t>Mimoškolské vzdelávanie a stravovacie a upratovacie služby pre detské jasle a materské školy. Ponúkame tiež údržbárske a upratovacie služby pre firmy a pod.</t>
  </si>
  <si>
    <t>Vývarovňa, jedáleň, upratovanie, žehlenie, umývanie, kosenie, pomocné údržbárske práce</t>
  </si>
  <si>
    <t>Občianske združenie sv. Rafaela</t>
  </si>
  <si>
    <t>ubytovacie a stravovacie služby, vzdelávanie, iné (tovary a služby)</t>
  </si>
  <si>
    <t>Nám. L. van Beethovena 555/10, 919 65 Dolná Krupá</t>
  </si>
  <si>
    <t>Sme mladý registrovaný sociálny podnik, ktorého snahou je zraniteľným a znevýhodneným ľuďom poskytovať potrebnú pomoc a podporu.
 Predmetom našej činnosti je prenájom ubytovacích priestorov v Dolnej Krupej (pri Trnave), ktoré sú veľmi vhodné
 na vzdelávacie aktivity, školenia, teambuildingy, pracovné mítingy, športové sústredenia, rodinné dovolenky, súkromné oslavy a rôzne iné akcie, duchovné obnovy, duchovné cvičenia, detské tábory, školské výlety a pod. V budove ubytovávame individuálnych záujemcov i skupiny hostí a prenajímame aj iné priestory, napr. učebne. 
 Našimi zákazníkmi sú všetci, ktorí hľadajú vyššie ponúkané služby.</t>
  </si>
  <si>
    <t>Naším poslaním je pomáhať zraniteľným a znevýhodneným ľuďom v ich úsilí žiť svoj život dôstojne, zodpovedne a v rámci ich možností i samostatne.</t>
  </si>
  <si>
    <t>https://katalogsp.gov.sk/wp-content/uploads/2022/01/RSP-2-Rafael-Ubytovanie-E-katalogRSP.jpg</t>
  </si>
  <si>
    <t>https://katalogsp.gov.sk/obcianske-zdruzenie-sv-rafaela/</t>
  </si>
  <si>
    <t xml:space="preserve"> +421 910 109 994</t>
  </si>
  <si>
    <t>rafaeldolnakrupa@gmail.com</t>
  </si>
  <si>
    <t>Predmetom našej činnosti je prenájom ubytovacích priestorov a učební.</t>
  </si>
  <si>
    <t>ubytovacie priestory, vzdelávacie aktivity, školenia, teambuildingy, pracovné meetingy, športové sústredenia, rodinné dovolenky, súkromné oslavy a rôzne iné akcie, duchovné obnovy, duchovné cvičenia, detské tábory, školské výlety, prenájom učební.</t>
  </si>
  <si>
    <t>ADVISONA, s. r. o.</t>
  </si>
  <si>
    <t>Nádvorie Európy 3668/54, 945 01 Komárno</t>
  </si>
  <si>
    <t>Dámske, pánske, detské kaderníctvo.</t>
  </si>
  <si>
    <t>Služby poskytujeme pre skupinu ľudí s nízkymi príjmami.</t>
  </si>
  <si>
    <t>https://katalogsp.gov.sk/wp-content/uploads/2022/01/Advisona-E-katalogRSP-banner-1.jpg</t>
  </si>
  <si>
    <t>https://katalogsp.gov.sk/advisona-s-r-o/</t>
  </si>
  <si>
    <t xml:space="preserve"> +421 910 918 357</t>
  </si>
  <si>
    <t>advisona.2021@gmail.com</t>
  </si>
  <si>
    <t>ADVISONA s.r.o.</t>
  </si>
  <si>
    <t>Dámske, pánske a detské kaderníctvo.</t>
  </si>
  <si>
    <t>kaderníctvo</t>
  </si>
  <si>
    <t>Černík Servis, s. r. o.</t>
  </si>
  <si>
    <t>doprava, odpady a recyklácia, dom a záhrada</t>
  </si>
  <si>
    <t>Černík 145, 941 05 Černík</t>
  </si>
  <si>
    <t>Preprava sypkých materiálov, vývoz komunálu nákladným vozidlom Mercedes Benz.</t>
  </si>
  <si>
    <t>Pomoc obyvateľom v obci i susedným obciam.</t>
  </si>
  <si>
    <t>https://katalogsp.gov.sk/cernik-servis-s-r-o/</t>
  </si>
  <si>
    <t xml:space="preserve"> +421 905 444 022</t>
  </si>
  <si>
    <t>podatelna@obeccernik.eu</t>
  </si>
  <si>
    <t>Černík Servis s.r.o.</t>
  </si>
  <si>
    <t>Preprava nákladným vozidlom Mercedes Benz.</t>
  </si>
  <si>
    <t>preprava, odvoz odpadu, starostlivosť o domácnosť</t>
  </si>
  <si>
    <t>Stráne Invest RSP, s.r.o.</t>
  </si>
  <si>
    <t>čistiace a upratovacie služby, poľnohospodárstvo a lesníctvo, stavebníctvo</t>
  </si>
  <si>
    <t>Stráne pod Tatrami 2, 059 76 Stráne pod Tatrami</t>
  </si>
  <si>
    <t>Realizácia zámkových dlažieb a chodníkov, montáž oplotení, stavebné práce.</t>
  </si>
  <si>
    <t>https://katalogsp.gov.sk/strane-invest-rsp-s-r-o/</t>
  </si>
  <si>
    <t xml:space="preserve"> +421 904 044 342</t>
  </si>
  <si>
    <t>straneinvest2@gmail.com</t>
  </si>
  <si>
    <t>Stráne Invest RSP, s.r.o</t>
  </si>
  <si>
    <t>Stavebné práce, oplotenie, dlažba, chodníky</t>
  </si>
  <si>
    <t>Villa Ursi, s. r. o.</t>
  </si>
  <si>
    <t>Iliašovce 231, 053 11 Iliašovce</t>
  </si>
  <si>
    <t>Naša firma realizuje stavebné práce - rekonštrukčné práce, terénne úpravy, výkopové práce, pokládky zámkovej dlažby, obkladačské práce a služby starostlivosti o domácnosť a záhradu.</t>
  </si>
  <si>
    <t>Podporujeme zamestnanosť a regionálny rozvoj.</t>
  </si>
  <si>
    <t>https://katalogsp.gov.sk/villa-ursi-s-r-o/</t>
  </si>
  <si>
    <t xml:space="preserve"> +421 911 650 195</t>
  </si>
  <si>
    <t>villaursi@iliasovce.sk</t>
  </si>
  <si>
    <t>Villa Ursi, s.r.o.</t>
  </si>
  <si>
    <t>Stavebné práce - rekonštrukčné práce, terénne úpravy, výkopové práce, pokládky zámkovej dlažby, obkladačské práce a služby starostlivosti o domácnosť a záhradu.</t>
  </si>
  <si>
    <t>zemné práce, búranie, obkladanie, výstavba, rekonštrukcia, kosenie, pomoc v domácnosti, záhradné práce</t>
  </si>
  <si>
    <t>Podnik medzitrhu práce, n.o., r.s.p.</t>
  </si>
  <si>
    <t>čistiace a upratovacie služby, poľnohospodárstvo a lesníctvo, dom a záhrada, stavebníctvo, iné (tovary a služby)</t>
  </si>
  <si>
    <t>Magurská 16, 974 11 Banská Bystrica</t>
  </si>
  <si>
    <t>Sme nezisková organizácia zriadená mestom Banská Bystrica so štatútom registrovaného sociálneho podniku. Naším primárnym cieľom je realizovať aktivity zamerané na dočasne podporované zamestnávanie najmä pre zraniteľné a znevýhodnené osoby, a to vykonávaním služieb vo všeobecnom záujme v zmysle svojho poslania na území mesta Banská Bystrica. 
 Ponúkame služby: 
 - kosenie a hrabanie trávnatých porastov, hrabanie lístia,
 - revitalizáciu zelene (odstraňovanie burín, náletových drevín),
 - čistenie chodníkov, zámkovej dlažby (pomocou špeciálnej kefy),
 - drobnú stavebnú činnosť (kladenie a oprava zámkovej dlažby, oprava schodov),
 - čistenie a natieranie zábradlí (železných konštrukcií),
 - zimnú údržbu (odpratávanie snehu ručne alebo strojom, solenie, sekanie ľadu),
 - letnú údržbu (zametanie, čistenie rigolov a žľabov),
 - vypratávanie priestorov, premiestňovanie, sťahovanie,
 - pílenie a rúbanie dreva.</t>
  </si>
  <si>
    <t>Podnik je v zmysle svojho štatútu nezisková organizácia, ktorá vykonáva všeobecne prospešné služby: sociálna pomoc a humanitárna starostlivosť; tvorba, rozvoj, ochrana a obnova kultúrnych hodnôt; vzdelávanie a výchova; tvorba a ochrana životného prostredia; služby na podporu regionálneho rozvoja a zamestnanosti.</t>
  </si>
  <si>
    <t>https://katalogsp.gov.sk/wp-content/uploads/2022/01/Podnik-medzitrhu-prace-banner-4-E-katalogRSP.jpg</t>
  </si>
  <si>
    <t>https://katalogsp.gov.sk/podnik-medzitrhu-prace-n-o-r-s-p/</t>
  </si>
  <si>
    <t xml:space="preserve"> +421 918 741 030</t>
  </si>
  <si>
    <t>podnikmpno@gmail.com</t>
  </si>
  <si>
    <t>Naša ponuka služieb:
 - kosenie a hrabanie trávnatých porastov, hrabanie lístia,
 - revitalizácia zelene (odstraňovanie burín, náletových drevín),
 - čistenie chodníkov, zámkovej dlažby (pomocou špeciálnej kefy),
 - drobná stavebná činnosť (kladenie a oprava zámkovej dlažby, oprava schodov),
 - čistenie, natieranie zábradlí (železných konštrukcií),
 - zimná údržba (odpratávanie snehu, solenie, sekanie ľadu),
 - letná údržba (zametanie, čistenie rigolov a žľabov),
 - vypratávanie priestorov, premiestňovanie a sťahovanie
 - pílenie a rúbanie dreva.</t>
  </si>
  <si>
    <t>kosenie, hrabanie, revitalizácia, čistenie, zámková dlažba, kladenie, oprava, natieranie, odpratávanie, solenie, sekanie, zametanie, vypratávanie, sťahovanie, pílenie, rúbanie, údržba, drobné stavebné práce, sneh, centrum praktického výcviku</t>
  </si>
  <si>
    <t>Kondor - SP, s.r.o.</t>
  </si>
  <si>
    <t>čistiace a upratovacie služby, poľnohospodárstvo a lesníctvo, stavebníctvo, ubytovacie a stravovacie služby, účtovníctvo a poradenstvo</t>
  </si>
  <si>
    <t>Centrálna 812/13, 089 01 Svidník</t>
  </si>
  <si>
    <t>Stavebné práce, stavebnú administratívu.</t>
  </si>
  <si>
    <t>Spoločnosť je verejnoprospešný podnik, ktorého hlavným cieľom je dosahovanie merateľného pozitívneho sociálneho vplyvu poskytovaním spoločensky prospešnej služby na podporu regionálneho rozvoja a zamestnanosti.</t>
  </si>
  <si>
    <t>https://katalogsp.gov.sk/kondor-sp-s-r-o/</t>
  </si>
  <si>
    <t xml:space="preserve"> +421 910 978 876</t>
  </si>
  <si>
    <t>kondorspsro@gmail.com</t>
  </si>
  <si>
    <t>Stavebná činnosť, stavebná administratíva.</t>
  </si>
  <si>
    <t>Zemné práce, búranie, betonáž, murovanie, strechy, stavby</t>
  </si>
  <si>
    <t>Matky v práci, s.r.o.</t>
  </si>
  <si>
    <t>čistiace a upratovacie služby, dom a záhrada, kultúra a šport, pre deti</t>
  </si>
  <si>
    <t>Pod Juhom 7666/26, 911 01 Trenčín</t>
  </si>
  <si>
    <t>Náš predmet činnosti zahŕňa
 1. upratovacie služby rôznym klientom - tepovanie, hĺbkové čistenie unikátnym čistiacim systémom, ktorý vytiahne prach a roztoče z hĺbky 17 cm, čistenie parou; individuálne požiadavky mimo upratovacích služieb, napr. voskovanie podlahy, žehlenie, varenie, stráženie detí...; snažíme sa využívať ekologické prostriedky;
 2. ako doplnkovú službu ponúkame kurzy Nordic Walkingu, severskej chôdze pre zdravie ľudí;
 3. virtuálne asistentky – nová služba, ktorá poskytne priestor pre nové pracovné miesta.
 Naším snom je budovať firmu, ktorá rozvíja talenty ľudí a poskytuje naozaj príjemné prostredie pre prácu, osobnostný aj duchovný rast. 
 Zákazníkmi sú spokojné firmy, lekári, domácnosti, ale aj poskytovatelia ubytovacích služieb a časovo zaneprázdnení jednotlivci, ktorým pomôžeme tráviť vzácny voľný čas efektívnejšie ako upratovaním :-) 
 Tieto služby plánujeme ponúkať postupne aj ľuďom, ktorí si ich nemôžu dovoliť - zdravotne znevýhodnení, seniori.</t>
  </si>
  <si>
    <t>Zamestnávame viac ako 30% zdravotne znevýhodnených a zraniteľných ľudí.</t>
  </si>
  <si>
    <t>https://katalogsp.gov.sk/wp-content/uploads/2021/12/Matky-v-praci-banner1.jpg</t>
  </si>
  <si>
    <t>https://katalogsp.gov.sk/matky-v-praci-s-r-o/</t>
  </si>
  <si>
    <t xml:space="preserve"> +421 904 440 524</t>
  </si>
  <si>
    <t>matkyvpraci@gmail.com</t>
  </si>
  <si>
    <t>Upratovacie služby, služby nordic walking, virtuálna asistencia.</t>
  </si>
  <si>
    <t>Upratovanie, tepovanie, čistenie parou, nordic walking virtuálna asistencia, babysitting, pomoc v domácnosti, domáce práce, varenie, žehlenie</t>
  </si>
  <si>
    <t>Zákamenské služby s. r. o.</t>
  </si>
  <si>
    <t>dom a záhrada, stavebníctvo, čistiace a upratovacie služby</t>
  </si>
  <si>
    <t>Námestie J. Vojtaššáka 1002/12, 029 56 Zákamenné</t>
  </si>
  <si>
    <t>Ponúkame svojim zákazníkom - fyzickým a právnickým osobám dokončovacie stavebné práce pri realizácii exteriérov a interiérov, správu a údržbu bytového a nebytového fondu, čistiace a upratovacie služby.</t>
  </si>
  <si>
    <t>Spoločnosť poskytuje spoločensky prospešné služby v oblasti zamestnanosti, a to zamestnávaním znevýhodnených osôb, ktoré si tak osvoja pracovné návyky a získajú nové zručnosti pre výkon povolania. Uvedené bude mať na ne pozitívny sociálny vplyv, čím dôjde k ich začleneniu do reálneho života.</t>
  </si>
  <si>
    <t>https://katalogsp.gov.sk/wp-content/uploads/2022/01/Zakamenske-sluzby-s.-r.-o.-Oplotenie-cintorin-II.-E-katalogRSP.jpg</t>
  </si>
  <si>
    <t>https://katalogsp.gov.sk/zakamenske-sluzby-s-r-o/</t>
  </si>
  <si>
    <t xml:space="preserve"> +421 918 142 215</t>
  </si>
  <si>
    <t>zakamenskeslužby@gmail.com</t>
  </si>
  <si>
    <t>Stavebné práce pri realizácii exteriérov a interiérov</t>
  </si>
  <si>
    <t>Aquaunion, s. r. o. r. s. p.</t>
  </si>
  <si>
    <t>Galvaniho 7/D, 821 04 Bratislava</t>
  </si>
  <si>
    <t>Výroba, predaj, sprostredkovanie a priamy dovoz balenej bioenergetickej pitnej vody, a to v 18,9 l a v 11 l polykarbonátových bareloch s dlhodobou životnosťou a v 17 l sklenených bareloch s neobmedzenou životnosťou k zákazníkovi. Tým, že tovar balíme do polykarbonátových znovu použiteľných a do sklenených barelov, chránime životné prostredie, keďže sa znižuje množstvo jednorazových pet fliaš, ktoré tvoria najväčší podiel odpadu na našej planéte. 
 Znižujeme aj emisie CO2 plynov, keďže tovar dovezieme zákazníkom priamo domov - 1 auto/1 kuriér obslúži denne 60 domácností, a teda nemusí ísť 60 ľudí svojím autom na nákup. Zákazníci - fyzické osoby, subjekty verejnej správy - materské škôlky, základné a stredné škôlky, domovy sociálnych služieb a domovy dôchodcov, zdravotné zariadenia, obecné a mestské úrady, získavajú prospech postupným vybudovaním zdravého pitného režimu.</t>
  </si>
  <si>
    <t>V zmysle poskytovania spoločensky prospešnej služby tvorby a ochrany životného prostredia naša spoločnosť napomáha k znižovaniu množstva plastového odpadu. Týmto prispievame k zabezpečeniu dlhšej udržateľnosti prírody a k zníženiu znečisťujúcich faktorov životného prostredia, kontaminácie pôdy a podzemných vôd.</t>
  </si>
  <si>
    <t>https://katalogsp.gov.sk/aquaunion-s-r-o-r-s-p/</t>
  </si>
  <si>
    <t xml:space="preserve"> +421 903 930 501</t>
  </si>
  <si>
    <t>gergelykosa27@gmail.com</t>
  </si>
  <si>
    <t>Aquaunion s.r.o. r.s.p.</t>
  </si>
  <si>
    <t>Výroba a predaj bioenergetickej Pí vody v plastových a sklenených bareloch.</t>
  </si>
  <si>
    <t>Pí voda, balená pitná voda, bioenergetická voda, sóda, potravinárska výroba</t>
  </si>
  <si>
    <t>GAZDOVSKÉ ŠPECIALITY Bystriansky s.r.o.</t>
  </si>
  <si>
    <t>Nám. SNP 255, 962 12 Detva</t>
  </si>
  <si>
    <t>Spoločnosť Gazdovské špeciality Bystriansky s.r.o. sa zameriava na predaj mäsa a mäsových výrobkov. Mäsové výrobky, ktoré spoločnosť predáva, sú produkty vyrobené podnikom Bystriansky, s.r.o. Sortiment niektorých produktov, ktoré spoločnosť bude ponúkať: 
 Gazdovská klobása – Bystriansky, Gazdovská klobása s jelením mäsom, Klobása Bystriansky – trvanlivá, Gazdovská saláma, Sušené karé - Bystriansky, Hovädzie sušené mäso,
 Jelenie sušené mäso, Gazdovský údený bôčik b.k., Gazdovská údená slanina, Chrbtová slanina, Gazdovská údená krkovička b.k., Gazdovské údené karé b.k., Gazdovské údené stehno s kožou, Gazdovské údené stehno b.k., Údené plece – orech, Údené rebro tenké, Údené rebro hrubé, Plnená bravčová panenka, Paprikový bok, Šunka špeciál – Bystriansky, Šunka z daniela, Bravčová masť, Špekačky VB, Klobása gril – Bystriansky VB, Teľacie párky VB, Šunka štandard, Šunkový nárez, Sedliacke stehno VB, Moravské mäso, Debrecínska šunka.</t>
  </si>
  <si>
    <t>Pozitívny sociálny vplyv bude spoločnosť ako verejnoprospešný podnik dosahovať predovšetkým zamestnávaním znevýhodnených a zraniteľných osôb. Osvojenie pracovných návykov u takýchto osôb, vytvorenie pracovného kolektívu, ich celkové začlenenie do pracovnej činnosti a tým aj do spoločenského života, bude mať pre ne obrovský význam.</t>
  </si>
  <si>
    <t>https://katalogsp.gov.sk/wp-content/uploads/2022/01/GAZDOVSKE-SPECIALITY-Bystriansky-E-katalog-RSP-1.jpg</t>
  </si>
  <si>
    <t>https://katalogsp.gov.sk/gazdovske-speciality-bystriansky-s-r-o/</t>
  </si>
  <si>
    <t xml:space="preserve"> +421 948 013 848</t>
  </si>
  <si>
    <t>bystriansky@netspace.sk</t>
  </si>
  <si>
    <t>GAZDOVSKÉ ŠPECIALITY Bystriansky s.r.o., r.s.p.</t>
  </si>
  <si>
    <t>Spoločnosť Gazdovské špeciality Bystriansky, s.r.o. ponúka kvalitné mäsové výrobky vyrobené podnikom Bystriansky, s.r.o.: Gazdovská klobása – Bystriansky, Gazdovská klobása s jelením mäsom, Klobása Bystriansky – trvanlivá, Gazdovská saláma, Sušené karé - Bystriansky, Hovädzie sušené mäso,
 Jelenie sušené mäso, Gazdovský údený bôčik b.k., Gazdovská údená slanina, Chrbtová slanina 4+, Gazdovská údená krkovička b.k., Gazdovské údené karé b.k., Gazdovské údené stehno s kožou, Gazdovské údené stehno b.k., Údené plece – orech, Údené rebro tenké, Údené rebro hrubé, Plnená bravčová panenka, Paprikový bok, Šunka špeciál – Bystriansky, Šunka z daniela, Bravčová masť, Špekačky VB, Klobása gril – Bystriansky VB, Teľacie párky VB, Šunka štandard, Šunkový nárez, Sedliacke stehno VB, Moravské mäso, Debrecínska šunka.</t>
  </si>
  <si>
    <t>predaj gazdovských mäsových špecialít; domáce mäsové výrobky, lokálne špeciality</t>
  </si>
  <si>
    <t>TREBAXX s. r. o.</t>
  </si>
  <si>
    <t>Nábrežie sv. Cyrila 47, 971 01 Prievidza</t>
  </si>
  <si>
    <t>Spracovanie jednoduchého, podvojného a mzdového účtovníctva. Spracovanie žiadostí na dotácie, daňové poradenstvo.</t>
  </si>
  <si>
    <t>Zamestnávame viac ako 50% znevýhodnených zamestnancov.</t>
  </si>
  <si>
    <t>https://katalogsp.gov.sk/trebaxx-s-r-o/</t>
  </si>
  <si>
    <t xml:space="preserve"> +421 908 725 204</t>
  </si>
  <si>
    <t>trebaxx@trebaxx.sk</t>
  </si>
  <si>
    <t>TREBAXX s.r.o.</t>
  </si>
  <si>
    <t>Spracovanie jednoduchého, podvojného a mzdového účtovníctva, daňové poradenstvo.</t>
  </si>
  <si>
    <t>účtovníctvo a poradenstvo, dane, žiadosti o príspevky, dotácie</t>
  </si>
  <si>
    <t>LIGADO s. r. o.</t>
  </si>
  <si>
    <t>J. Matušku 764/26, 971 01 Prievidza</t>
  </si>
  <si>
    <t>Upratovacie služby, kontrola kvality.</t>
  </si>
  <si>
    <t>https://katalogsp.gov.sk/ligado-s-r-o/</t>
  </si>
  <si>
    <t xml:space="preserve"> +421 917 650 736</t>
  </si>
  <si>
    <t>laco.ujhelyi@gmail.com</t>
  </si>
  <si>
    <t>LIGADO s.r.o.</t>
  </si>
  <si>
    <t>upratovanie, kontrola kvality, čistenie</t>
  </si>
  <si>
    <t>Unicarback Slovakia, s. r. o.</t>
  </si>
  <si>
    <t>Fraňa Mráza 624, 010 01 Žilina</t>
  </si>
  <si>
    <t>Zabezpečujeme letnú a zimnú údržbu súkromných a obecných pozemkov.</t>
  </si>
  <si>
    <t>Zamestnávame občanov so zmenenou pracovnou schopnosťou, ktorí sú znevýhodnení svojím zdravotným stavom.</t>
  </si>
  <si>
    <t>https://katalogsp.gov.sk/wp-content/uploads/2022/01/Unicarback-banner-EkatalogRSP1.jpg</t>
  </si>
  <si>
    <t>https://katalogsp.gov.sk/unicarback-slovakia-s-r-o/</t>
  </si>
  <si>
    <t xml:space="preserve"> +421 948 701 199</t>
  </si>
  <si>
    <t>info@unicarback.sk</t>
  </si>
  <si>
    <t>Unicarback Slovakia, s.r.o.</t>
  </si>
  <si>
    <t>Zabezpečenie letnej a zimnej údržby súkromných a obecných pozemkov.</t>
  </si>
  <si>
    <t>kosenie, strihanie kríkov, výrub, výsek, odhŕňanie snehu, odvoz snehu, posyp</t>
  </si>
  <si>
    <t>ekki s. r. o.</t>
  </si>
  <si>
    <t>krása-zdravie-relax, reklama, obaly, odevy a obuv, bižutéria a darčekové predmety, iné (tovary a služby)</t>
  </si>
  <si>
    <t>Pstruhárska 785/5, 972 51 Handlová</t>
  </si>
  <si>
    <t>Výroba výrobkov šitím a vysokofrekvenčným zváraním, výroba zdravotníckych pomôcok Dynasit na zdravé sedenie, výroba reklamných predmetov a reklamného textilu.</t>
  </si>
  <si>
    <t>Výroba zdravotníckych pomôcok Dynasit s pridanou hodnotou so zamestnancami, ktorí majú znevýhodnenie.</t>
  </si>
  <si>
    <t>https://katalogsp.gov.sk/ekki-s-r-o/</t>
  </si>
  <si>
    <t xml:space="preserve"> +421 915 883 066</t>
  </si>
  <si>
    <t>martin.zabensky33@gmail.com</t>
  </si>
  <si>
    <t>ekki s.r.o.</t>
  </si>
  <si>
    <t>Výroba výrobkov šitím a vysokofrekvenčným zváraním, výroba zdravotníckych pomôcok Dynasit na zdravé sedenie, výroba športových, futbalových a basketbalových dresov.</t>
  </si>
  <si>
    <t>textilná výroba, zdravotnícke pomôcky, Dynasit, reklamné odevy, reklamné predmety, zdravotnícke pomôcky, športové dresy</t>
  </si>
  <si>
    <t>StavbárSK s.r.o.</t>
  </si>
  <si>
    <t>čistiace a upratovacie služby, stavebníctvo, dom a záhrada</t>
  </si>
  <si>
    <t>Hrádza 98/2, 976 64 Bacúch</t>
  </si>
  <si>
    <t>Prioritou sociálneho podniku sú verejnoprospešné práce so zreteľom na ekológiu a životné prostredie Nízkych Tatier a regiónu Horehronie: stavebné a po-stavebné práce, zemné práce, záhradnícke práce, čistenie brehov vodných tokov, úprava verejných priestranstiev, prírody, úprava ciest, služby pre seniorov. Zo stavebných prác sú to konkrétne: zemné a výkopové práce, líniové stavby, oprávky stien - maľovanie alebo
 vytvorenie novej fasády, búranie stavieb, znižovanie stropov so sadrokartónom, obkladanie toaliet a kúpeľní. Náš personál bude profesionálne zaškolený a pripravený uchádzať sa aj o komplexné zákazky, ako je napríklad budova divadla, rôzne štátne budovy ako policajné stanice, nemocnice, väznice, hasičské zbrojnice a pod.</t>
  </si>
  <si>
    <t>Spoločenský dopad v rámci podpory regionálneho rozvoja a zamestnanosti bude významný - zlepšíme životnú úroveň sociálne znevýhodneným osobám, čím prinesieme lepšiu životnú úroveň do lokálnej komunity. S predpokladom zlepšenia kvality ich života očakávame pokles kriminality a nezamestnanosti. Pozitívny sociálny vplyv bude merateľný výslednou prácou aj spätnou väzbou objednávateľa i samotného okolia. Neustálym vzdelávaním sa a prácou v teréne očakávame a predpokladáme aj viditeľné zmeny v osobnostnom i spoločenskom postoji zamestnancov, rast a prosperitu v margalizovanej skupine a komunite, v ktorej žijú. Spätná väzba sa bude realizovať rozhovorom a dotazníkmi.</t>
  </si>
  <si>
    <t>https://katalogsp.gov.sk/stavbarsk-s-r-o/</t>
  </si>
  <si>
    <t xml:space="preserve"> +421 908 916 408</t>
  </si>
  <si>
    <t>marek@nikel.sk</t>
  </si>
  <si>
    <t>Zemné práce, búranie, úprava okolia budov, nové fasády, maľovanie, znižovanie stropov.</t>
  </si>
  <si>
    <t>zemné práce, búranie, kosenie, úprava prírody, úprava ciest, líniové stavby, maľovanie, nové fasády, búranie stavieb, znižovanie stropov so sadrokartónom, obkladanie záchodov a kúpeľní, rekonštrukcia, starostlivosť o domácnosť</t>
  </si>
  <si>
    <t>EkoRent, s.r.o.</t>
  </si>
  <si>
    <t>čistiace a upratovacie služby, účtovníctvo a poradenstvo</t>
  </si>
  <si>
    <t>Mojš 373, 010 01 Žilina</t>
  </si>
  <si>
    <t>Vedenie a spracovanie účtovníctva, miezd a daňových priznaní.</t>
  </si>
  <si>
    <t>Naše podnikateľské aktivity sú spoločensky prospešné všetkým podnikateľským subjektom a zároveň svoje služby ponúkame aj nepodnikateľom, teda zamestnancom, ktorí si nedokážu svoje daňové priznanie spracovať sami. Zároveň sme vytvorili pracovné miesta aj pre znevýhodnených zamestnancov, ktorí mali problém uplatniť sa na trhu práce. Spoločnosť prispieva k dosahovaniu pozitívneho sociálneho vplyvu poskytovaním spoločensky prospešnej služby v oblasti zamestnanosti, a to zamestnávaním zraniteľných alebo znevýhodnených osôb. Tieto si osvoja pracovné návyky a získajú nové zručnosti pre výkon povolania, čo zvýši šance na ich opätovné spoločenské začlenenie berúc do úvahy ich novonadobudnutú mieru finančnej autonómie a samostatnosti, sebadôvery či schopnosti fungovať v prostredí pracovného kolektívu</t>
  </si>
  <si>
    <t>https://katalogsp.gov.sk/ekorent-s-r-o/</t>
  </si>
  <si>
    <t xml:space="preserve"> +421 911 601 959</t>
  </si>
  <si>
    <t>svobodova.ekorent@gmail.com</t>
  </si>
  <si>
    <t>Naša spoločnosť ponúka vedenie a spracovanie účtovníctva a miezd a tiež upratovacie práce.</t>
  </si>
  <si>
    <t>účtovné služby, upratovacie služby, upratovanie, čistenie, vedenie účtovníctva</t>
  </si>
  <si>
    <t>M&amp;Š products s.r.o.</t>
  </si>
  <si>
    <t>kovovýroba, stavebníctvo</t>
  </si>
  <si>
    <t>Ľ. Štúra 559/12, 990 01 Veľký Krtíš</t>
  </si>
  <si>
    <t>Naša spoločnosť sa zaoberá výrobou brán, plotov, prístreškov z kovu - hliníka, a to od samotného návrhu, výroby, zabezpečenia povrchovej úpravy, montáže až po automatizáciu brán. Vyrábame tiež kovové schody a zábradlia na mieru, vrátane montáže. Renovujeme brány a vyrábame aj iné drobné kovové výrobky.</t>
  </si>
  <si>
    <t>Zamestnávaním zdravotne znevýhodnených a zraniteľných osôb.</t>
  </si>
  <si>
    <t>https://katalogsp.gov.sk/ms-products-s-r-o/</t>
  </si>
  <si>
    <t xml:space="preserve"> +421 915 816 701</t>
  </si>
  <si>
    <t>msproducts.vk@gmail.com</t>
  </si>
  <si>
    <t>M&amp;Š products s.r.o., r.s.p.</t>
  </si>
  <si>
    <t>Výroba kovových a hliníkových brán a plotov, prístreškov, schodísk, zábradlí.</t>
  </si>
  <si>
    <t>kovovýroba, brána, zábradlie, prístrešok, plot, schodisko, kovové výrobky</t>
  </si>
  <si>
    <t>Prevádzka s. r. o.</t>
  </si>
  <si>
    <t>Bzince pod Javorinou 348, 916 11 Bzince pod Javorinou</t>
  </si>
  <si>
    <t>Pohrebné služby, stánkový predaj novín a časopisov, kosenie trávnatých plôch.</t>
  </si>
  <si>
    <t>Podpora zamestnanosti prostredníctvom zamestnávania znevýhodnených alebo zraniteľných osôb.</t>
  </si>
  <si>
    <t>https://katalogsp.gov.sk/prevadzka-s-r-o/</t>
  </si>
  <si>
    <t xml:space="preserve"> +421 901 726 109</t>
  </si>
  <si>
    <t>prevadzka@obecbzince.sk</t>
  </si>
  <si>
    <t>kosenie, predaj vencov, noviny, časopisy</t>
  </si>
  <si>
    <t>KLÁŠTOR</t>
  </si>
  <si>
    <t>Betliarska 74/2, 048 01 Rožňava</t>
  </si>
  <si>
    <t>Monastery - Kláštor (2021) - je krajčírska dielňa v priestoroch bývalého františkánskeho kláštora, ktorý slúži verejnosti ako kultúrno-kreatívne centrum. Nadväzuje na existenciu dvoch šijacích dielní: Kutika (2014) v obci Gemer a Monastery (2018) v meste Rožňava. Kým prvej vďačíme za stroje a vybavenie, druhej za meno a prvotné zabývanie dielne v priestoroch kláštora. Naším cieľom je ponúknuť nové pracovné miesta ľuďom z regiónu Gemera v rámci novovzniknutého sociálneho podniku KLÁŠTOR, ktorého súčasťou je aj krajčírska dielňa. Vám, našim zákazníkom, chceme ponúknuť spokojnosť a radosť z kvalitných služieb a produktov, ktoré v minulosti zdobili tento región.
 Momentálne poskytujeme šijacie služby na priemyselných jednoihlových a dvojihlových strojoch.
 Do budúcnosti sa chceme rozvíjať, aby sme vám vedeli poradiť prípadne aj so strihom, ponúknuť kvalitné certifikované materiály a raz aj naše vlastné miestne produkty.
 Začíname v malom tíme, ale plány máme veľké.</t>
  </si>
  <si>
    <t>Naším zámerom je, aby v prevádzkach sociálneho podniku našli uplatnenie aj ľudia so sociálnym alebo zdravotným znevýhodnením, dlhodobo nezamestnaní a ľudia ťažšie uplatniteľní na trhu práce. Pri výrobe sa riadime princípmi tzv. pomalej módy, využívame udržateľné materiály a poskytujeme služby pre lokálne značky.</t>
  </si>
  <si>
    <t>https://katalogsp.gov.sk/wp-content/uploads/2022/01/Klastor-banner3-E-katalogRSP.jpg</t>
  </si>
  <si>
    <t>https://katalogsp.gov.sk/klastor/</t>
  </si>
  <si>
    <t xml:space="preserve"> +421 904 952 055</t>
  </si>
  <si>
    <t>monastery@kcklastor.sk</t>
  </si>
  <si>
    <t>Kláštor - krajčírska dielňa</t>
  </si>
  <si>
    <t>Momentálne poskytujeme šijacie služby na priemyselných jednoihlových a dvojihlových strojoch. 
 Do budúcnosti sa chceme rozvíjať, aby sme vám vedeli poradiť prípadne aj so strihom, ponúknuť kvalitné certifikované materiály a raz aj naše vlastné miestne produkty.
 Začíname v malom tíme, ale plány máme veľké.</t>
  </si>
  <si>
    <t>krajčírske služby, strih, šitie</t>
  </si>
  <si>
    <t>VeRi, s. r. o.</t>
  </si>
  <si>
    <t>čistiace a upratovacie služby, poľnohospodárstvo a lesníctvo, dom a záhrada, stavebníctvo, doprava, cestovný ruch, kultúra a šport</t>
  </si>
  <si>
    <t>Poštová 652, 956 07 Veľké Ripňany</t>
  </si>
  <si>
    <t>Obecné služby, záhradnícke služby, komunálne služby, stavebné práce, komunitné centrum.</t>
  </si>
  <si>
    <t>Podnik je súčasťou obce, zamestnáva sociálne a zdravotne znevýhodnených občanov.</t>
  </si>
  <si>
    <t>https://katalogsp.gov.sk/wp-content/uploads/2022/01/VeRi-sro-Velke-Ripnany-banner1-E-katalogRSP.jpg</t>
  </si>
  <si>
    <t>https://katalogsp.gov.sk/veri-s-r-o/</t>
  </si>
  <si>
    <t xml:space="preserve"> +421 903 800 566</t>
  </si>
  <si>
    <t>veri.ripnany@gmail.com</t>
  </si>
  <si>
    <t>VeRi, s.r.o.</t>
  </si>
  <si>
    <t>Komunálne služby, záhradné práce, stavebné práce.</t>
  </si>
  <si>
    <t>zemné práce, kosenie, stavebné práce, záhradné práce, komunitné centrum, starostlivosť o domácnosť</t>
  </si>
  <si>
    <t>PEDORE, s.r.o.</t>
  </si>
  <si>
    <t>kultúra a šport, potraviny a nápoje, krása-zdravie-relax, reklama</t>
  </si>
  <si>
    <t>1. mája 144/31, 038 51 Turčianska Štiavnička</t>
  </si>
  <si>
    <t>V našej ponuke sú: reklamné predmety s firemným logom, kalendáre, novoročné pozdravy, diáre, darčekové koše, froté a textil, firemná potlač, firemná výšivka, tlač vizitiek, plagátov, propagačných materiálov, zákazková výroba a pod.
 Ďalšou činnosťou nášho registrovaného sociálneho podniku sú lymfodrenáže, masáže, zoštíhľujúce procedúry, váženie inbody, program na redukciu hmotnosti, predaj výrobkov na chudnutie a výživové poradenstvo, ako i prevádzkovanie zariadení slúžiacich na regeneráciu a rekondíciu.</t>
  </si>
  <si>
    <t>80% našich zamestnancov je na trhu práce znevýhodnených. Ich potreby a zdravotné obmedzenia akceptujeme, vytvárame im vhodné podmienky a pracovné prostredie, pomáhame im uplatňovať sa na trhu práce.</t>
  </si>
  <si>
    <t>https://katalogsp.gov.sk/pedore-s-r-o/</t>
  </si>
  <si>
    <t xml:space="preserve"> +421 915 639 969</t>
  </si>
  <si>
    <t>obchod@pedore.sk, relaxmartin@gmail.com</t>
  </si>
  <si>
    <t>Relax Martin, Pedore sro - rsp</t>
  </si>
  <si>
    <t>Prevádzkovanie zariadení slúžiacich na regeneráciu a rekondíciu, masáže, lymfodrenáže, formovanie postavy, výživové poradenstvo, predaj produktov na chudnutie Ketodiet.</t>
  </si>
  <si>
    <t>masaze, lymfodrenaze, formovanie postavy, solárium, ketodiet, reklamne predmety, darcekove kose, firemna potlac, firemna vysivka</t>
  </si>
  <si>
    <t>reklamne predmety, kalendare, diare, vizitky, práce na zákazku, tlač, reklamný textil</t>
  </si>
  <si>
    <t>Reklamná agentúra Pedore</t>
  </si>
  <si>
    <t>Reklamné predmety s logom spoločnosti, kalendáre, diáre, vizitky, tlač propagačných materiálov, zákazková výroba.</t>
  </si>
  <si>
    <t>Nyos r.s.p. s.r.o.</t>
  </si>
  <si>
    <t>čistiace a upratovacie služby, dom a záhrada, stavebníctvo, reklama, nábytok a bytové doplnky, bižutéria a darčekové predmety</t>
  </si>
  <si>
    <t>Remeselnícka 71, 071 01 Michalovce</t>
  </si>
  <si>
    <t>Naša spoločnosť realizuje baliace činnosti, stavebnú činnosť, upratovacie práce a stolársku výrobu.</t>
  </si>
  <si>
    <t>Zamestnávame zraniteľné a znevýhodnené osoby.</t>
  </si>
  <si>
    <t>https://katalogsp.gov.sk/wp-content/uploads/2022/01/NYOS-banner1-E-katalogRSP.jpg</t>
  </si>
  <si>
    <t>https://katalogsp.gov.sk/nyos-r-s-p-s-r-o/</t>
  </si>
  <si>
    <t xml:space="preserve"> +421 915 166 766</t>
  </si>
  <si>
    <t>marek.cibere@nyos.sk</t>
  </si>
  <si>
    <t>NYOS r.s.p. s.r.o.</t>
  </si>
  <si>
    <t>Poskytujeme našim obchodným partnerom služby v balení tovaru.</t>
  </si>
  <si>
    <t>zemné práce, stavebné práce, kosenie, upratovanie, drevovýroba,reklama</t>
  </si>
  <si>
    <t>P&amp;M house, s. r. o.</t>
  </si>
  <si>
    <t>čistiace a upratovacie služby, účtovníctvo a poradenstvo, elektro, dom a záhrada</t>
  </si>
  <si>
    <t>Generála Fraňu 1122/1, 038 53 Turany</t>
  </si>
  <si>
    <t>P&amp;M house, s.r.o. ako integračný registrovaný sociálny podnik má predovšetkým v záujme vytvoriť stabilne fungujúcu spoločnosť so zameraním na spektrum odborných činností, ktoré garantujú vytváranie pracovných miest aj v prípade poklesu dopytu po niektorej z nich. 
 V súčasnosti sa spoločnosť zameriava na tri okruhy poskytovania služieb, každú so zreteľom na kvalitu a náležité personálne obsadenie: 1. poradenská činnosť existujúcim aj začínajúcim podnikateľom v oblasti personálneho manažmentu a v realitnej činnosti,
 2. upratovacia činnosť,
 3. kompletná montáž elektroinštalácie v bytoch, domoch či administratívnych budovách, inteligentné inštalácie, kamerové systémy, revízie a i.</t>
  </si>
  <si>
    <t>Podmienku dosahovania pozitívneho sociálneho vplyvu spĺňame vyzváraním pracovných miest pre znevýhodnené osoby.</t>
  </si>
  <si>
    <t>https://katalogsp.gov.sk/wp-content/uploads/2022/01/PM-house-s.r.o.-RSP-logo2-E-katalogRSP.jpg</t>
  </si>
  <si>
    <t>https://katalogsp.gov.sk/pm-house-s-r-o/</t>
  </si>
  <si>
    <t xml:space="preserve"> +421 908 613 214</t>
  </si>
  <si>
    <t>judrmonikakarcolova@gmail.com</t>
  </si>
  <si>
    <t>P&amp;M house, s.r.o. RSP</t>
  </si>
  <si>
    <t>Ponúkame poradenskú činnosť pre začínajúcich aj existujúcich podnikateľov, elektroinštalačné práce, upratovacie práce.</t>
  </si>
  <si>
    <t>poradenstvo, elektroinštalácia, upratovacia činnosť, podnikateľské poradenstvo, ekonomické poradenstvo, personalne konzultácie, poradenstvo v realitnej činnosti</t>
  </si>
  <si>
    <t>LEAN EU, s.r.o.</t>
  </si>
  <si>
    <t>odevy a obuv, galantéria</t>
  </si>
  <si>
    <t>Belanského 228, 024 01 Kysucké Nové Mesto</t>
  </si>
  <si>
    <t>Sme obchodná spoločnosť prevádzkujúca maloobchodné predajne s textilom a s obuvou.</t>
  </si>
  <si>
    <t>Vytváraním pracovných miest pre zdravotne znevýhodnené a zraniteľné osoby.</t>
  </si>
  <si>
    <t>https://katalogsp.gov.sk/lean-eu-s-r-o/</t>
  </si>
  <si>
    <t xml:space="preserve"> +421 911 752 147</t>
  </si>
  <si>
    <t>leaneu21@gmail.com</t>
  </si>
  <si>
    <t>IKONNA Spodná Bielizeň</t>
  </si>
  <si>
    <t>maloobchod s textilom a spodnou bielizňou</t>
  </si>
  <si>
    <t>pyžamá, podprsenky, boxerky, župany, plavky, domáce oblečenie, tielká, spodky, nohavičky</t>
  </si>
  <si>
    <t>IKONNA Obuv</t>
  </si>
  <si>
    <t>Predajňa s obuvou.</t>
  </si>
  <si>
    <t>značková obuv, ponožky, opasky, peňaženky, kabelky, galantéria</t>
  </si>
  <si>
    <t>IKONNA</t>
  </si>
  <si>
    <t>Predajňa s textilom.</t>
  </si>
  <si>
    <t>tepláky, mikiny, bundy, svetre, tričká, rifle, čapice, šály</t>
  </si>
  <si>
    <t>OBUV LEAN</t>
  </si>
  <si>
    <t>Obuv, kabelky, ponožky, pančušky, opasky, papuče, čistiace prostriedky, galantéria</t>
  </si>
  <si>
    <t>Helpo. s. r. o.</t>
  </si>
  <si>
    <t>čistiace a upratovacie služby, vzdelávanie, účtovníctvo a poradenstvo, krása-zdravie-relax, odevy a obuv, ochrana a bezpečnosť, doprava</t>
  </si>
  <si>
    <t>Nitrianska 1837/5, 921 01 Piešťany</t>
  </si>
  <si>
    <t>Našim klientom ponúkame povinné sústavné vzdelávanie zdravotníckych pracovníkov (Neodkladná podpora životných funkcií), akreditované kurzy prvej pomoci zamerané pre laickú verejnosť, ako aj kurzy BOZP a požiarnej ochrany. Je možné si u nás objednať služby čistenia priestorov ozónom. Poskytujeme služby v oblasti účtovníctva, ktoré vykonávajú výhradne zdravotne znevýhodnené osoby. A v neposlednom rade prevádzkujeme e-shop https://prvapomoc.online/, kde je možné zakúpiť si rôzne pomôcky a vybavenie pre záchranárov, zdravotníkov i laickú verejnosť a pracovné odevy - www.pracovneodevy.online. Poskytujeme poradenstvo v oblasti zdravej výživy.</t>
  </si>
  <si>
    <t>Vzdelávame asistentov/opatrovateľov zdravotne znevýhodnených osôb, zamestnávame výhradne zdravotne a sociálne znevýhodnené osoby, ktorým pomáhame uplatniť sa na trhu práce bez diskriminácie. Pre našich zamestnancov a ich rodinných príslušníkov, našich zákazníkov, pre dobrovoľníkov a záchranné zložky vykonávame Antigénové a PCR testy na Covid-19.</t>
  </si>
  <si>
    <t>https://katalogsp.gov.sk/helpo-s-r-o/</t>
  </si>
  <si>
    <t xml:space="preserve"> +421 903 522 983</t>
  </si>
  <si>
    <t>helpo@helpo.sk</t>
  </si>
  <si>
    <t>Helpo. s.r.o.</t>
  </si>
  <si>
    <t>Povinné vzdelávanie zdravotníckych pracovníkov, akreditované kurzy prvej pomoci zamerané pre laickú verejnosť, kurzy BOZP a PO. Je možné si u nás objednať služby čistenia priestorov ozónom. Poskytujeme tiež služby v oblasti účtovníctva, ktoré vykonávajú výhradne zdravotne znevýhodnené osoby. Prevádzkujeme e-shop https://prvapomoc.online/, kde je možné zakúpiť si rôzne pomôcky a vybavenie pre záchranárov, zdravotníkov i laickú verejnosť a pracovné odevy - www.pracovneodevy.online. Poskytujeme poradenstvo v oblasti zdravej výživy.</t>
  </si>
  <si>
    <t>Vzdelávanie, Školenie, Prvá pomoc, Ozónovanie, Účtovanie, Poradenstvo, Dezinfekcia, Brašne, Batohy, Lekárničky, Odev, Obuv, Rukavice, Defibrilátor, Fonendoskop, Teplomer, Tlakomer, Odsávačka, Figurína, Dlaha, Nožnice, Ihla, Striekačka, Kanyla, Obväz, Rukavice, BOZP, sociálny taxík, covid testy</t>
  </si>
  <si>
    <t>ALACARTE s. r. o.</t>
  </si>
  <si>
    <t>vzdelávanie, reklama, obaly, iné (tovary a služby)</t>
  </si>
  <si>
    <t>Štúrova 423/1, 920 42 Červeník</t>
  </si>
  <si>
    <t>Spoločnosť ALACARTE je digitálna agentúra poskytujúca široké spektrum služieb online a offline marketingu a reklám. Kompletné portfólio služieb:
 - PPC reklamy,
 - Goodle ADS,
 - kompletná správa sociálnych sietí,
 - tvorba web stránok a e-shopov (od jednoduchších až po komplet custom riešenia),
 - grafické služby (tvorba grafík rôzneho druhu, logá na mieru, úprava fotografií aj na reklamné účely),
 - videotvorba (príprava reklamných spotov, prezentačných videí, strih, komentáre),
 - poradenstvo ohľadom marketingu, zakladania spoločností, r.s.p., spracovanie agendy,
 - tlačový servis, digitálna tlač, razenie, frézovanie, laser, veľkoformátová tlač, reklamné plachty, tabule, kamiónové plachty, samolepiace fólie (inštalácia, lepenie), brožúry, knižná väzba, laminovanie,
 - výroba a šitie reklamných odevov na zákazku (konfekcia aj pracovné odevy), sieťotlač aj výšivky
 - tvorba aplikácií na mieru podľa požiadaviek klienta, kompletná správa, návrh, nastavenie mobilných aj webových aplikácií.</t>
  </si>
  <si>
    <t>Spoločnosť si dala za hlavnú úlohu napĺňanie sociálneho charakteru v maximálnej možnej miere. Aktuálny počet zamestnancov so zdravotným znevýhodnením tvorí viac ako 80%.</t>
  </si>
  <si>
    <t>https://katalogsp.gov.sk/wp-content/uploads/2022/01/Alacarte_logo-E-katalogRSP.png</t>
  </si>
  <si>
    <t>https://katalogsp.gov.sk/alacarte-s-r-o/</t>
  </si>
  <si>
    <t xml:space="preserve"> +421 902 614 578</t>
  </si>
  <si>
    <t>petrgal@alacartesp.sk</t>
  </si>
  <si>
    <t>ALACARTE s.r.o., r.s.p.</t>
  </si>
  <si>
    <t>Tlačový servis, výroba reklamných tričiek a odevov, kompletná ponuka služieb sociálneho podniku.</t>
  </si>
  <si>
    <t>tlač, reklama, marketing, tvorba web stránok, šitie, polepy, sociálne siete, reklamná tabula, aplikácie, poradenstvo, PPC, google ADS, digitálna agentúra, online marketing, offline marketing, videotvorba, marketingové poradenstvo, grafické služby, reklamný textil</t>
  </si>
  <si>
    <t>DH facility services, s. r. o.</t>
  </si>
  <si>
    <t>SNP 289/8, 922 03 Vrbové</t>
  </si>
  <si>
    <t>Sociálny podnik DH facility services s.r.o. je spoľahlivým partnerom, ktorý poskytuje komplexné služby. S celoslovenskou pôsobnosťou ponúkame klientom rôznorodé upratovacie služby, medzi ktoré patrí napríklad upratovanie kancelárií, či spoločných priestorov administratívnych budov. Venujeme sa však i upratovaniu skladových priestorov. Ak teda hľadáte spoločnosť, ktorá Vám zabezpečí upratovanie, ste tu správne.
 S našimi vysoko profesionálnymi službami budete nadmieru spokojní, pretože sa postaráme o všetko, čo v rámci správy budov a ich upratovania potrebujete. V prípade záujmu o upratovacie služby nás neváhajte kontaktovať.</t>
  </si>
  <si>
    <t>Zamestnávame osoby znevýhodné na trhu práce.</t>
  </si>
  <si>
    <t>https://katalogsp.gov.sk/wp-content/uploads/2022/01/DH-facility-services-logo-E-katalogRSP.jpeg</t>
  </si>
  <si>
    <t>https://katalogsp.gov.sk/dh-facility-services-s-r-o/</t>
  </si>
  <si>
    <t xml:space="preserve"> +421 949 311 341</t>
  </si>
  <si>
    <t>info@dhfacilityservices.sk</t>
  </si>
  <si>
    <t>DH facility services, s.r.o.</t>
  </si>
  <si>
    <t>Čistiace a upratovacie služby.</t>
  </si>
  <si>
    <t>Čistiace a upratovacie služby</t>
  </si>
  <si>
    <t>SERIOUS COFFEE s.r.o.</t>
  </si>
  <si>
    <t>Tallerova 4, 811 02 Bratislava</t>
  </si>
  <si>
    <t>Pražiareň výberovej kávy.</t>
  </si>
  <si>
    <t>Percentom zamestnaných znevýhodnených a zraniteľných osôb.</t>
  </si>
  <si>
    <t>https://katalogsp.gov.sk/wp-content/uploads/2022/01/Serious-coffee-logo1-E-katalogRSP.jpg</t>
  </si>
  <si>
    <t>https://katalogsp.gov.sk/serious-coffee-s-r-o/</t>
  </si>
  <si>
    <t xml:space="preserve"> +421 905 292 111</t>
  </si>
  <si>
    <t>seriousroastery@gmail.com</t>
  </si>
  <si>
    <t>Serious Coffee s.r.o.</t>
  </si>
  <si>
    <t>Pražiareň kávy.</t>
  </si>
  <si>
    <t>káva, praženie kávy</t>
  </si>
  <si>
    <t>AMG Security s.r.o.</t>
  </si>
  <si>
    <t>čistiace a upratovacie služby, ochrana a bezpečnosť</t>
  </si>
  <si>
    <t>Lieskovská cesta 6, 960 01 Zvolen</t>
  </si>
  <si>
    <t>Bezpečnostné a upratovacie služby.</t>
  </si>
  <si>
    <t>Vytvárame pracovné podmienky pre zamestnávanie znevýhodnených zamestnancov a ich plnohodnotné začlenenie do pracovného procesu.</t>
  </si>
  <si>
    <t>https://katalogsp.gov.sk/amg-security-s-r-o/</t>
  </si>
  <si>
    <t xml:space="preserve"> +421 455 322 555</t>
  </si>
  <si>
    <t>info@amgsecurity.sk</t>
  </si>
  <si>
    <t>ochrana, bezpečnosť, stráženie, SBS, strážna služba, upratovanie, čistenie, dezinfekcia, technická správa budov</t>
  </si>
  <si>
    <t>Zandrea, s. r. o.</t>
  </si>
  <si>
    <t>Hospodárska 96, 917 01 Trnava</t>
  </si>
  <si>
    <t>Široká ponuka second hand textilu a obuvi.</t>
  </si>
  <si>
    <t>Zamestnávame zdravotne znevýhodnených ľudí.</t>
  </si>
  <si>
    <t>https://katalogsp.gov.sk/wp-content/uploads/2022/01/Zandrea-4.jpg</t>
  </si>
  <si>
    <t>https://katalogsp.gov.sk/zandrea-s-r-o/</t>
  </si>
  <si>
    <t xml:space="preserve"> +421 910 754 265</t>
  </si>
  <si>
    <t>vladimir.zaruba@gmail.com</t>
  </si>
  <si>
    <t>Good secatch</t>
  </si>
  <si>
    <t>Ponúkame second hand textil a obuv pre dámy i pánov.</t>
  </si>
  <si>
    <t>Pánsky a dámsky textil, zimné a prechodné bundy, rifľové bundy, rifle, dámske a pánske nohavice, flanelové košele, saká, vesty, legíny, blúzky a sukne, letné a zimné šaty i sukne, XXL tovar, zimlú, letnú a športovú obuv, kabelky, prestieradlá, návliečky, deky, spodné prádlo dámske i pánske, plyšové hračky</t>
  </si>
  <si>
    <t>KALUSO s.r.o.</t>
  </si>
  <si>
    <t>krása-zdravie-relax, bižutéria a darčekové predmety, iné (tovary a služby)</t>
  </si>
  <si>
    <t>Topoľa 102, 067 65 Topoľa</t>
  </si>
  <si>
    <t>Podnik sa zaoberá predajom zdravotníckych a kompenzačných pomôcok, výrobou sviečok, darčekových predmetov z vosku. Naše produkty, výrobky a tovar si môže zadovážiť ktokoľvek, kto dbá o svoje zdravie alebo chce prekvapiť darčekom svoje okolie.</t>
  </si>
  <si>
    <t>Pozitívny sociálny vplyv dosahujeme zamestnávaním osôb so zdravotným znevýhodnením.</t>
  </si>
  <si>
    <t>https://katalogsp.gov.sk/wp-content/uploads/2022/01/RSP-2-KALUSO-s.r.o..jpg</t>
  </si>
  <si>
    <t>https://katalogsp.gov.sk/kaluso-s-r-o/</t>
  </si>
  <si>
    <t xml:space="preserve"> +421 910 143 569</t>
  </si>
  <si>
    <t>info.kaluso@gmail.com</t>
  </si>
  <si>
    <t>VZP KA-MA</t>
  </si>
  <si>
    <t>V prevádzkarni je k dispozícii široká ponuka rehabilitačných pomôcok. V prípade potreby naši konzultanti dokážu predviesť isté pomôcky aj u zákazníka.</t>
  </si>
  <si>
    <t>Zdravotnícke pomôcky, prídavné pohony, invalidné vozíky, sviečky, darčekové balenia</t>
  </si>
  <si>
    <t>BPM AREA SK s. r. o.</t>
  </si>
  <si>
    <t>účtovníctvo a poradenstvo, iné (tovary a služby)</t>
  </si>
  <si>
    <t>Medený Hámor 15, 974 01 Banská Bystrica</t>
  </si>
  <si>
    <t>Spoločnosť poskytuje počítačové služby a služby súvisiace s počítačovým spracovaním údajov. Pod touto činnosťou podnik realizuje vývoj, prevádzku a poskytovanie služieb v oblasti informačných technológií, spracovanie ekonomických, obchodných, logistických a iných dát vrátane vedenia a spracovania účtovníctva.</t>
  </si>
  <si>
    <t>Spoločnosť zamestnáva vysoký podiel znevýhodnených pracovníkov. Ide najmä o integráciu osôb s istým zdravotným znevýhodnením, ale aj inak znevýhodnené osoby.</t>
  </si>
  <si>
    <t>https://katalogsp.gov.sk/bpm-area-sk-s-r-o/</t>
  </si>
  <si>
    <t xml:space="preserve"> +421 905 927 157</t>
  </si>
  <si>
    <t>bpmarea@bpmarea.sk</t>
  </si>
  <si>
    <t>BPM AREA SK s.r.o.</t>
  </si>
  <si>
    <t>Spoločnosť poskytuje komplexné služby v oblasti informačných technológií a spracovania dát.</t>
  </si>
  <si>
    <t>vývoj, programovanie, dáta, software, SW, grafika, web, online, účtovníctvo a poradenstvo</t>
  </si>
  <si>
    <t>DC Sielnica, n.o.</t>
  </si>
  <si>
    <t>vzdelávanie, pre deti, iné (tovary a služby)</t>
  </si>
  <si>
    <t>Lazovná 1487/56, 974 01 Banská Bystrica</t>
  </si>
  <si>
    <t>Ponúkame: - mimoškolskú vzdelávaciu činnosť pre deti so špeciálnymi výchovno-vzdelávacími potrebami,
 - výrobu pomôcok pre deti so špeciálnymi výchovno-vzdelávacími potrebami,
 - úpravu motorových vozidiel pre osoby ZŤP,
 - výrobu a montáž zdvíhacích zariadení pre osoby ZŤP,
 - výrobu a montáž nájazdových plošín a rámp pre osoby ZŤP,
 - starostlivosť o záhradu a okolie domu osobám so sociálnym znevýhodnením (hlavne seniorom),
 - likvidáciu biologického odpadu - drevnej hmoty,
 - počítačové služby - tvorbu web stránok,
 - počítačové služby - marketing a SEO - optimalizáciu pre vyhľadávače.</t>
  </si>
  <si>
    <t>Náš podnik je spoločensky prospešný tým, že vytvára podmienky vzdelávania pre deti so špeciálnymi výchovnovzdelávacími potrebami alebo inak znevýhodnené deti v predškolskom veku. Sekundárne tak umožňuje rodičom týchto detí uplatniť sa na trhu práce. Našimi zamestnancami sú aj osoby znevýhodnené a zraniteľné. V budúcnosti sa budeme snažiť vytvárať pracovné miesta pre ďalšie osoby so znevýhodnením.</t>
  </si>
  <si>
    <t>https://katalogsp.gov.sk/dc-sielnica-n-o/</t>
  </si>
  <si>
    <t xml:space="preserve"> +421 911 097 098</t>
  </si>
  <si>
    <t>riaditel@dcsielnica.com</t>
  </si>
  <si>
    <t>Detské centrum Sielnica</t>
  </si>
  <si>
    <t>Vzdelávanie detí so špeciálnymi výchovno-vzdelávacími potrebami.</t>
  </si>
  <si>
    <t>vzdelávanie, počítačové služby, plošiny, zdvíhacie zariadenia, úprava automobilu pre ZŤP, zdravotnícke pomôcky</t>
  </si>
  <si>
    <t>Ramex trade, s.r.o.</t>
  </si>
  <si>
    <t>M.R. Štefánika 4280/30, 926 01 Sereď</t>
  </si>
  <si>
    <t>Naša spoločnosť Ramex trade, s.r.o. pôsobí na Slovenskom trhu od roku 2013. Hlavným predmetom podnikania je nákup a predaj poľnohospodárskych komodít s orientáciou na slovenský a európsky trh. V rámci našej obchodnej činnosti úzko spolupracujeme s renomovanými zahraničnými spoločnosťami.
 Našimi vývoznými komoditami sú obilie, kukurica, olejniny, strukoviny, komponenty pre kŕmne zmesi pre vtákov a krmoviny. 
 Pri svojom pôsobení kladieme maximálny dôraz na zabezpečenie kvality, zdravotnej nezávadnosti produktov a potravinovej bezpečnosti poľnohospodárskych komodít.
 Za dôležitý moment vo vývoji našej spoločnosti považujeme transformáciu Ramex trade, s.r.o. na registrovaný sociálny podnik v zmysle zákona č. 112/2018 Z. z. o sociálnej ekonomike a sociálnych podnikoch zameraný na podporu zamestnávania osôb so zdravotným postihnutím.</t>
  </si>
  <si>
    <t>Zamestnávame osoby so zdravotným postihnutím.</t>
  </si>
  <si>
    <t>https://katalogsp.gov.sk/ramex-trade-s-r-o/</t>
  </si>
  <si>
    <t xml:space="preserve"> +421 903 808 174</t>
  </si>
  <si>
    <t>piluchova@ramextrade.sk</t>
  </si>
  <si>
    <t>Nákup a predaj poľnohospodárskych a potravinárskych produktov.</t>
  </si>
  <si>
    <t>Nákup a predaj poľnohospodárskych a potravinárskych produktov, kŕmne zmesi</t>
  </si>
  <si>
    <t>Gergiš s.r.o.</t>
  </si>
  <si>
    <t>Veterná 1463/56, 036 01 Martin</t>
  </si>
  <si>
    <t>Naša spoločnosť je zameraná na výrobu sviečok z parafínov, voskov a gélov. Vyrábame sviečky so zameraním na dekoračné, energetické, príležitostné, reklamné, ezoterické a ďalšie druhy podľa požiadaviek našich zákazníkov a spolupracovníkov. Našimi zákazníkmi sú predajne s darčekovým sortimentom, kvetinárstva, zariadenia zaoberajúce sa starostlivosťou o človeka v celom rozsahu služieb.</t>
  </si>
  <si>
    <t>Zamestnávame zamestnacov ZŤP, resp. s iným znevýhodnením.</t>
  </si>
  <si>
    <t>https://katalogsp.gov.sk/wp-content/uploads/2022/01/Gergis-RSP-5.jpg</t>
  </si>
  <si>
    <t>https://katalogsp.gov.sk/gergis-s-r-o/</t>
  </si>
  <si>
    <t xml:space="preserve"> +421 911 323 263</t>
  </si>
  <si>
    <t>gergis0918@gmail.com</t>
  </si>
  <si>
    <t>Gergiš s.r.o., r.s.p. - výroba</t>
  </si>
  <si>
    <t>Sviečky, keramika, výrobky z dreva, lyka, kovu, skla, minerály a polodrahokamy.</t>
  </si>
  <si>
    <t>sviečky, šperky, ručne vyrábané výrobky z dreva, lyka, skla, keramika...</t>
  </si>
  <si>
    <t>Inžiniering MH, s. r. o.</t>
  </si>
  <si>
    <t>cestovný ruch, stavebníctvo</t>
  </si>
  <si>
    <t>Centrum 2304, 017 01 Považská Bystrica</t>
  </si>
  <si>
    <t>Stavebné práce, výkon stavebného dozoru, ubytovanie v ubytovacom zariadení Camping Manínska tiesňava.</t>
  </si>
  <si>
    <t>Zamestnávanie zdravotne znevýhodnených.</t>
  </si>
  <si>
    <t>https://katalogsp.gov.sk/inziniering-mh-s-r-o/</t>
  </si>
  <si>
    <t xml:space="preserve"> +421 903 885 610</t>
  </si>
  <si>
    <t>inziniering@gmail.com</t>
  </si>
  <si>
    <t>Camping Manínska tiesňava</t>
  </si>
  <si>
    <t>Ubytovanie v chatkách, stanoch a karavanoch, služby bufetu.</t>
  </si>
  <si>
    <t>ubytovanie, chatová osada, stanovanie, karavany, stavebný dozor, stavebné práce</t>
  </si>
  <si>
    <t>SP Jelenec, s.r.o.</t>
  </si>
  <si>
    <t>poľnohospodárstvo a lesníctvo, dom a záhrada, stavebníctvo, doprava, ubytovacie a stravovacie služby, cestovný ruch</t>
  </si>
  <si>
    <t>Jelenec 701, 951 73 Jelenec</t>
  </si>
  <si>
    <t>Prevádzka turistického zariadenia Ubytovanie u Forgácha s doplnkovými službami, komunálne služby, traktorové služby, stavebné práce.</t>
  </si>
  <si>
    <t>Podpora zamestnanosti miestnych obyvateľov i z radov znevýhodnených, podpora miestnej komunity a ekonomiky.</t>
  </si>
  <si>
    <t>https://katalogsp.gov.sk/wp-content/uploads/2022/01/RSP-Jelenec_4.jpg</t>
  </si>
  <si>
    <t>https://katalogsp.gov.sk/sp-jelenec-s-r-o/</t>
  </si>
  <si>
    <t>konateľ: +421903784336, ubytovanie: +421944591880</t>
  </si>
  <si>
    <t>spjelenec@jelenec.sk</t>
  </si>
  <si>
    <t>Ubytovanie, organizácia podujatí, výdajňa jedál, traktorové služby, stavebné práce.</t>
  </si>
  <si>
    <t>ubytovanie, kosenie, orba, mulčovanie, stavebné práce, rekonštrukcie, stravovanie</t>
  </si>
  <si>
    <t>GEMGAL s.r.o. Rožňava r.s.p.</t>
  </si>
  <si>
    <t>ubytovacie a stravovacie služby, cestovný ruch, poľnohospodárstvo a lesníctvo, zvieratá, kultúra a šport, pre deti</t>
  </si>
  <si>
    <t>Kružnianska 513, 049 51 Brzotín</t>
  </si>
  <si>
    <t>Naša spoločnosť sa zaoberá chovom nosničiek, chovom koní. Dopestujeme si vlastné krmoviny. Prevádzkujeme wellnes a bazén, jazdecký klub pre deti a mládež.</t>
  </si>
  <si>
    <t>Dosahujeme ho percentom zamestnaných znevýhodnených a zraniteľných osôb.</t>
  </si>
  <si>
    <t>https://katalogsp.gov.sk/gemgal-s-r-o-roznava-r-s-p/</t>
  </si>
  <si>
    <t xml:space="preserve"> +421 907 947 668</t>
  </si>
  <si>
    <t>restauracia@konskydvor.sk</t>
  </si>
  <si>
    <t>Gemgal s.r.o. Rožňava r.s.p</t>
  </si>
  <si>
    <t>Poľnohospodárka činnosť - chov koní a nosničiek.</t>
  </si>
  <si>
    <t>wellnes, vnútorný relaxačno-plavecký bazén, jazdecké služby, kosenie, jazda na koni, chov koní</t>
  </si>
  <si>
    <t>SLUNCE s. r. o.</t>
  </si>
  <si>
    <t>potraviny a nápoje, bižutéria a darčekové predmety</t>
  </si>
  <si>
    <t>Vážskeho brehu 152/17, 945 01 Komárno</t>
  </si>
  <si>
    <t>Náš podnik sa venuje výrobe tradičných výrobkov, napríklad zo sušených kvetín, keramiku, robíme výrobky pre firmu Ferplad Taliansko. Transformovali sme sa z chránenej dielne, ktorá úspešne fungovala 11 rokov. Naše výrobky su známe i v zahraničí, získali sme niekoľko ocenení za keramické výrobky. Prevádzkujeme Čajovňu U dobrej víly, kde ponúkame domáce zákusky, sirupy, džemy a čaje - všetko si vyrábame sami.</t>
  </si>
  <si>
    <t>Dôležitá je pre nás sociálna a humanitárna pomoc. Prevádzkujeme sociálnu výdajňu pre seniorov a matky samoživiteľky; každý tyždeň rozdáme cca 6 ton potravín.</t>
  </si>
  <si>
    <t>https://katalogsp.gov.sk/wp-content/uploads/2022/01/RSP-Slunce-4.jpg</t>
  </si>
  <si>
    <t>https://katalogsp.gov.sk/slunce-s-r-o/</t>
  </si>
  <si>
    <t xml:space="preserve"> +421 908 925 732</t>
  </si>
  <si>
    <t>dtegladova@zoznam.sk</t>
  </si>
  <si>
    <t>Keramika, sirupy, džemy.</t>
  </si>
  <si>
    <t>Keramika,čaje,sirupy, zákusky, džemy, sviečky,kozmetika, keramika, sušené kvety</t>
  </si>
  <si>
    <t>M-PROMEX, s.r.o.</t>
  </si>
  <si>
    <t>vzdelávanie, účtovníctvo a poradenstvo, odevy a obuv, iné (tovary a služby)</t>
  </si>
  <si>
    <t>Kukučínova 2599, 024 01 Kysucké Nové Mesto</t>
  </si>
  <si>
    <t>Našimi zákazníkmi sú právnické a fyzické osoby, podnikatelia.
 Naša ponuka:
 - textilná výroba, poskytujeme služby výroby textilných produktov na objednávku,
 - počítačové spracovanie údajov,
 - vzdelávanie dospelých a poradenstvo (podnikateľské, personálne, oblasť ochrany osobných údajov a i.)</t>
  </si>
  <si>
    <t>https://katalogsp.gov.sk/wp-content/uploads/2022/01/M_PROMEX_foto3.jpg</t>
  </si>
  <si>
    <t>https://katalogsp.gov.sk/m-promex-s-r-o/</t>
  </si>
  <si>
    <t xml:space="preserve"> +421 903 827 833</t>
  </si>
  <si>
    <t>mpromex@mpromex.sk</t>
  </si>
  <si>
    <t>M-PROMEX, s.r.o., r.s.p.</t>
  </si>
  <si>
    <t>Naša ponuka:
 - textilná výroba, poskytujeme služby výroby textilných produktov na objednávku,
 - počítačové spracovanie údajov,
 - vzdelávanie dospelých a poradenstvo (podnikateľské, personálne, oblasť ochrany osobných údajov a i.)</t>
  </si>
  <si>
    <t>Nemáme prevádzku. Totožné s uvedeným na predchádzajúcej strane:
 Našimi zákazníkmi sú právnické a fyzické osoby, podnikatelia.
 Naša ponuka:
 Textilná výroba, poskytujeme služby výroby textilných produktov na objednávku.
 Počítačové spracovanie údajov.
 Vzdelávanie dospelých a poradenstvo (podnikateľské, personálne, oblasť ochrany osobných údajov ...), šitie na zákazku, odevy, tašky, vaky</t>
  </si>
  <si>
    <t>VARTOTH s.r.o.</t>
  </si>
  <si>
    <t>Švábovce 535, 059 12 Švábovce</t>
  </si>
  <si>
    <t>Spoločnosť VARTOTH s.r.o. vytvorila podmienky pre realizáciu opatrení sociálnej politiky a využíva nástroje, ktoré umožňujú vytvárať podmienky pre zamestnávanie najmä dlhodobo nezamestnaných a inak znevýhodnených obyvateľov. 
 Predmetná poskytovaná služba pozostáva z prípravy jedla a jeho následného rozvozu priamo na adresu zákazníka. 
 Spoločnosť prevádzkuje výdajňu jedla v Spišskom Štvrtku a v rámci svojej činnosti vykonáva aj rozvoz jedla. Predmetom činnosti spoločnosti je pohostinská činnosť a výroba hotových jedál určených na priamu spotrebu mimo prevádzkových priestorov. Primárnou cieľovou skupinou pri poskytovaní služieb sú seniori, odkázané skupiny a inak znevýhodnení obyvatelia prevažne v okruhu 20 km od prevádzky. Sekundárnou cieľovou skupinou je ostatné obyvateľstvo a v čase koronakrízy aj zamestnanci, ktorí sa za bežných podmienok chodili stravovať do uzavretých stravovacích zariadení.</t>
  </si>
  <si>
    <t>Spoločnosť momentálne zamestnáva iba znevýhodnené osoby v zmysle príslušných ustanovení zákona č. 112/2018 Z. z..</t>
  </si>
  <si>
    <t>https://katalogsp.gov.sk/wp-content/uploads/2022/01/VARTOTH_3.jpeg</t>
  </si>
  <si>
    <t>https://katalogsp.gov.sk/vartoth-s-r-o/</t>
  </si>
  <si>
    <t xml:space="preserve"> +421 948 115 654</t>
  </si>
  <si>
    <t>vartoth1@gmail.com</t>
  </si>
  <si>
    <t>Spoločnosť VARTOTH s.r.o. v prevádzke v Spišskom Štvrtku poskytuje hotovú hermeticky balenú stravu a rozváža ju priamo na adresu spotrebiteľa.</t>
  </si>
  <si>
    <t>rozvoj jedál, príprava hotových jedál, výdajňa jedla, donáška stravy</t>
  </si>
  <si>
    <t>Fandíme Slovensku, občianske združenie</t>
  </si>
  <si>
    <t>vzdelávanie, kultúra a šport, reklama, pre deti</t>
  </si>
  <si>
    <t>Budovateľská 1068, 925 52 Šoporňa</t>
  </si>
  <si>
    <t>Naše občianske združenie chce spolupracovať so športovcami a fanúšikmi. Naším prvým produktom sú tlieskacie rukavice, ktoré sú jedinečné a ktoré máme zároveň patentované. Pripravujeme spoluprácu aj i externými firmami na tvorbe produktov určených pre fanúšikov a športovcov. Ponúkame tiež produkty týkajúce sa zdravého životného štýlu, marketingu a brandingu pre športové kluby.</t>
  </si>
  <si>
    <t>Máme ZŤP a zdravotne znevýhodnených zamestnancov, primárne obchodných zástupcov. Máme tiež pripravený projekt na financovanie športových trénerov a iné podobné projekty pre všetky deti či dorast.</t>
  </si>
  <si>
    <t>https://katalogsp.gov.sk/fandime-slovensku-obcianske-zdruzenie/</t>
  </si>
  <si>
    <t xml:space="preserve"> +421 940 575 609</t>
  </si>
  <si>
    <t>info@fandimeslovensku.sk</t>
  </si>
  <si>
    <t>Fandíme Slovensku</t>
  </si>
  <si>
    <t>Momentálne pracujeme na dotvorení obsahu webovej stránky, príprave blogu, súťaží pre fanúšikov. Taktiež plánujeme zamestnať obchodných zástupcov pre predaj našich produktov a pripravujeme výrobu vlastných produktov.</t>
  </si>
  <si>
    <t>tlieskacie rukavice</t>
  </si>
  <si>
    <t>RA design, s. r. o.</t>
  </si>
  <si>
    <t>Hrabinská 591/15, 038 52 Sučany</t>
  </si>
  <si>
    <t>Sme malá, ale rýchlo sa rozvíjajúca firma, zaoberajúca sa reklamou. Okrem zabezpečenia tlače reklamných letákov, vizitiek, pozvánok a ostatných tlačovín, vám vieme zhotoviť aj grafické návrhy. Ďalej sa zameriavame na potlač/vyšívanie textílií a iných predmetov, gravírovanie či výrobu etikiet. Našou prioritou je pristupovať k zákazníkom individuálne a s dôrazom na kvalitu.</t>
  </si>
  <si>
    <t>Poskytovaním spoločensky prospešnej služby v oblasti podpory regionálneho rozvoja a zamestnanosti.</t>
  </si>
  <si>
    <t>https://katalogsp.gov.sk/ra-design-s-r-o/</t>
  </si>
  <si>
    <t xml:space="preserve"> +421 918 088 705</t>
  </si>
  <si>
    <t>radesignsro@gmail.com</t>
  </si>
  <si>
    <t>Zabezpečíme výrobu reklamných letákov, tlač vizitiek, pozvánok a ostatných tlačovín vrátane grafických návrhov. Robíme potlač/vyšívanie textílií a iných predmetov, gravírovanie, výrobu etikiet.</t>
  </si>
  <si>
    <t>tlač, reklama, grafické práce, potlač, vyšívanie, gravírovanie, tlač etikiet, vizitky</t>
  </si>
  <si>
    <t>Ekopom s. r. o.</t>
  </si>
  <si>
    <t>M. Falešníka 10, 971 01 Prievidza</t>
  </si>
  <si>
    <t>Spoločnosť Ekopom s.r.o., vznikla 20.05.2010. Od svojho založenia sa venujeme hlavne vedeniu účtovníctva v programe Money, spracovaniu daňových priznaní, evidencii majetku, zakladaniu spoločností, administratívnej činnosti, vedeniu mzdovej a personálnej agendy, počítačovej činnosti, činnosti podnikateľských, organizačných a ekonomických poradcov, prenájmu hnuteľných vecí, vzdelávacej činnosti, atď. Dňa 27.01.2021 nám bol priznaný štatút registrovaného integračného sociálneho podniku. Základným predpokladom pre bezproblémový chod každého podnikania je správne a načas spracované účtovníctvo a administratíva pod kontrolou, poskytovaním našich služieb pomáhame, aby tento cieľ dokázali splniť všetci naši aktuálni, ako aj budúci klienti. Náš slogan je: "Administratívu nechajte na nás, VY OBCHODUJTE!"</t>
  </si>
  <si>
    <t>Zamestnávaním znevýhodnených a/alebo zraniteľných osôb.</t>
  </si>
  <si>
    <t>https://katalogsp.gov.sk/wp-content/uploads/2022/02/Ekopom-banner.jpg</t>
  </si>
  <si>
    <t>https://katalogsp.gov.sk/ekopom-s-r-o/</t>
  </si>
  <si>
    <t xml:space="preserve"> +421 903 801 546</t>
  </si>
  <si>
    <t>snircova@ekopom.sk</t>
  </si>
  <si>
    <t>Ekopom s. r. o., r. s. p.</t>
  </si>
  <si>
    <t>Venujeme sa hlavne vedeniu účtovníctva, mzdovej a personálnej agendy, spracovaniu daňových priznaní, evidencii majetku, založeniu spoločností a následne ich zániku, poskytujeme podnikateľské, organizačné a ekonomické poradenstvo, spracovávame výkazy a štatistiky, poskytujeme ostatné administratívne služby, počítačové služby, prenajímame hnuteľné veci, atď. Účtovníctvo spracovávame aj online, v programe Money s možnosťou využitia zdieľania dát.</t>
  </si>
  <si>
    <t>Vedenie účtovníctva, daňové priznania, poradenstvo, administratíva, mzdová agenda, personálna agenda, evidencia majetku, výkazy, štatistiky, konzultácie</t>
  </si>
  <si>
    <t>Hrhovské služby, s. r. o., r. s. p.</t>
  </si>
  <si>
    <t>stavebníctvo, potraviny a nápoje, reklama, bižutéria a darčekové predmety</t>
  </si>
  <si>
    <t>SNP 10, 053 02 Spišský Hrhov</t>
  </si>
  <si>
    <t>V ponuke máme viacero činností: - - stavebné práce - výstavba rodinných domov, bytových domov, chodníkov, rekonštrukcia budov, rekonštrukcia ciest, pretlakové práce, 
 - gravírovanie do dreva - ponúkame rôzne darčekové predmety s gravírovaným motívom, varešky, denká, kľúčenky a čokoľvek podľa vlastného výberu,
 - Kredenc - poctivé potraviny, kde predávame najmä regionálne produkty (šťavy, syry, klobásy, čaje, korenie, džemy, bezobalové potraviny - mak, sušené ovocie a podobne.)
 - pestovateľská pálenica - ponúkame pálenie domácej pálenky z doma pripraveného kvasu.</t>
  </si>
  <si>
    <t>Je prospešný v prvom rade v oblasti zamestnávania.</t>
  </si>
  <si>
    <t>https://katalogsp.gov.sk/hrhovske-sluzby-s-r-o-r-s-p/</t>
  </si>
  <si>
    <t xml:space="preserve"> +421 907 116 676</t>
  </si>
  <si>
    <t>kucerova@spisskyhrhov.sk</t>
  </si>
  <si>
    <t>Hrhovské služby s.r.o., r.s.p.</t>
  </si>
  <si>
    <t>Stavebná činnosť - výstavba, rekonštrukcie, kamenárske práce;
 Drevospracujúca výroba - výroba komponentov z dreva, včelie úle, vyvýšené záhony;
 Kredenc - poctivé potraviny z regiónu;
 Gravírovanie - gravírovacie práce do dreva, varešky, kľúčenky s textom a iné;
 Pestovateľská pálenica - pálenica pre pestovateľov, vypálime Vám z doma pripraveného kvasu kvalitný alkohol.</t>
  </si>
  <si>
    <t>kamenárske práce, gravírovanie do dreva, potraviny, bezobalovo, vyvýšené záhony, drevovýroba, pálenica, lokálne potraviny</t>
  </si>
  <si>
    <t>POH, s.r.o. "registrovaný sociálny podnik"</t>
  </si>
  <si>
    <t>stavebníctvo, odpady a recyklácia</t>
  </si>
  <si>
    <t>Lučenecká cesta 2266/6, 960 96 Zvolen</t>
  </si>
  <si>
    <t>Sme stavebno-obchodná spoločnosť. Ponúkame komplexné stavby na kľúč, či ide o rekonštrukcie, novostavby alebo priemyselné stavby. Zameriavame sa na budovanie prvkov zelenej infraštruktúry v intraviláne a extraviláne obcí. Ide o realizáciu vegetačných "zelených" striech, stien, ekologických priepustných spevnených plôch, dažďových záhrad. Ponúkame na predaj aj samostatný ekologický stavebný materiál, ktorý je 100% vyrobený z recyklovaných materiálov. Vzdelávame našich zákazníkov na prechod na obehové hospodárstvo. Medzi našich zákazníkov patria od veľkých developerských spoločností, stavebných firiem až po drobných stavebníkov, fyzické osoby. Zameriavame sa na mestá a obce a ponúkame im naše stavebné služby.</t>
  </si>
  <si>
    <t>Uskutočňovaním stavieb a ich zmien so zameraním sa na prvky zelenej infraštruktúry, ako sú úprava bežných striech na vegetačné strechy, sadové úpravy k zníženiu asfaltových plôch, ako napríklad retenčných plôch parkovísk s cieľom zvýšenia zelene v zastavaných plochách, realizácia protihlukových opatrení realizovaných výstavbou, ako aj tepelné a akustické izolácie budov. V oblasti vzdelávania a zvyšovania povedomia sa spoločnosť venuje vzdelávacím aktivitám prispievajúcim k pozitívnym zmenám v oblasti klimatických zmien so zameraním na obehové hospodárstvo. Obehové hospodárstvo spočíva v inteligentnom riešení spotreby obyvateľov s následnou opravou použiteľných zdrojov, ich repasáciu a zároveň nakladanie s odpadom až po návrat surovín naspäť do hospodárstva a ich opätovné využitie vo výrobnom cykle už v podobe druhotných surovín.</t>
  </si>
  <si>
    <t>https://katalogsp.gov.sk/wp-content/uploads/2022/01/POH-logo2.jpg</t>
  </si>
  <si>
    <t>https://katalogsp.gov.sk/poh-s-r-o-registrovany-socialny-podnik/</t>
  </si>
  <si>
    <t xml:space="preserve"> +421 907 136 851</t>
  </si>
  <si>
    <t>konatel@poh.sk</t>
  </si>
  <si>
    <t>Ponuka služieb v rámci stavebníctva, predaj ekologických aj klasických stavebných maeriálov.</t>
  </si>
  <si>
    <t>komplexné dodávky stavieb, predaj recyklovaných materiálov, zelené strechy, dažďové záhrady, ekologické stavby, obehové hospodárstvo, ekologický materiál, poradenstvo pre obehové hospodárstvo</t>
  </si>
  <si>
    <t>Girmonn, s.r.o.</t>
  </si>
  <si>
    <t>Letná 930, 053 33 Nálepkovo</t>
  </si>
  <si>
    <t>Registrovaný sociálny podnik Girmonn, s. r. o. pôsobí na trhu so štiepaným palivovým drevom od júla 2021. Jeho činnosť sa primárne orientuje na službu štiepania palivového dreva mobilným štiepacím poloautomatom s vlastným pohonom v domácnostiach u zákazníkov - doma alebo na chalupe. Touto službou chce sociálny podnik pomôcť všetkým obyvateľom, ktorí na vykurovanie používajú drevo a odbremeniť ich od náročného a zdĺhavého ručného štiepania. Podnik taktiež zabezpečuje výrobu štiepaného palivového dreva, ktoré je voľne sypané a dodávané v štandardných dĺžkach od 25 cm do 50 cm podľa želania zákazníka. Doprava dreva je pre zákazníkov zabezpečená vozidlom do 3,5 tony v rámci okresov Spišská Nová Ves a Gelnica. V roku 2022 plánujeme využívať servisné poukážky, ktorými bude možné za službu štiepania dreva platiť. Pre odkázanú osobu to predstavuje polovičné náklady vynaložené na zabezpečenie dôležitej životnej potreby, najmä v oblastiach, kde sa stále kúri tuhým palivom.</t>
  </si>
  <si>
    <t>Tvorbou pracovných miest a zvyšovaním zamestnanosti znevýhodnených a zraniteľných osôb.</t>
  </si>
  <si>
    <t>https://katalogsp.gov.sk/wp-content/uploads/2022/01/Girmonn2.jpg</t>
  </si>
  <si>
    <t>https://katalogsp.gov.sk/girmonn-s-r-o/</t>
  </si>
  <si>
    <t xml:space="preserve"> +421 908 395 787</t>
  </si>
  <si>
    <t>miroslava.girmonnova@gmail.com</t>
  </si>
  <si>
    <t>Služba štiepania palivového dreva, štiepané palivové drevo s možnosťou dopravy</t>
  </si>
  <si>
    <t>štiepanie palivového dreva, štiepané palivové drevo</t>
  </si>
  <si>
    <t>Registrovaný sociálny podnik Alfa s.r.o.</t>
  </si>
  <si>
    <t>reklama, obaly, iné (tovary a služby)</t>
  </si>
  <si>
    <t>Kyjevské námestie 2, 974 04 Banská Bystrica</t>
  </si>
  <si>
    <t>Ponúkame polygrafické služby doplnené o knihárske spracovanie, kalendáre, diáre, kancelárske potreby, reklamné predmety, ďalej výrobu pre automotive a elektroinštaláciu, umývanie KLT boxov a prepraviek, digitálne služby a správu online priestoru.</t>
  </si>
  <si>
    <t>V integrácii väčšieho počtu osôb so zníženou pracovnou schopnosťou do zamestnania.</t>
  </si>
  <si>
    <t>https://katalogsp.gov.sk/wp-content/uploads/2023/08/Alfa_logo.jpg</t>
  </si>
  <si>
    <t>https://katalogsp.gov.sk/registrovany-socialny-podnik-alfa-s-r-o/</t>
  </si>
  <si>
    <t xml:space="preserve"> +421 908 058 778</t>
  </si>
  <si>
    <t>podnik@kniharstvo.sk</t>
  </si>
  <si>
    <t>Registrovaný sociálny podnik ALFA s.r.o.</t>
  </si>
  <si>
    <t>Polygrafické služby doplnené o knihárske spracovanie, kalendáre diáre, kancelárske potreby, reklamné predmety, ďalej výroba pre automotive a elektroinštaláciu, umývanie KLT boxov a prepraviek, digitálne služby a správu online priestoru.</t>
  </si>
  <si>
    <t>Polygrafické služby doplnené o knihárske spracovanie, kalendáre diáre, kancelárske potreby, reklamné predmety, výroba pre automotive a elektroinštaláciu, umývanie KLT, digitálne služby a správa online priestoru, katalóg, vizitky, plagáty</t>
  </si>
  <si>
    <t>JA life s.r.o., r. s. p.</t>
  </si>
  <si>
    <t>čistiace a upratovacie služby, dom a záhrada, ubytovacie a stravovacie služby, reklama, obaly, počítačová a kancelárska technika</t>
  </si>
  <si>
    <t>Pletiarska 10/A, 969 01 Banská Štiavnica</t>
  </si>
  <si>
    <t>Pomoc odkázaným a zraniteľným občanom, sociálne slabším, seniorom v základných ľudských potrebách, ako sú upratovanie, stravovanie, doprovod do zdravotných zariadení.
 Zamestnávame občanov, ktorí majú zdravotný alebo iný sociálny postih, čím ich začleňujeme do spoločenského života a prispievame nielen k finančnej nezávislosti, ale aj psychickej pomoci.</t>
  </si>
  <si>
    <t>Naším hlavným cieľom je pozitívny sociálny vplyv zamestnávaním sociálne slabších, zraniteľných a znevýhodnených občanov, čo prispieva k znižovaniu nezamestnanosti.</t>
  </si>
  <si>
    <t>https://katalogsp.gov.sk/wp-content/uploads/2022/01/Ja-life-logo1.jpg</t>
  </si>
  <si>
    <t>https://katalogsp.gov.sk/ja-life-s-r-o-r-s-p/</t>
  </si>
  <si>
    <t xml:space="preserve"> +421 902 903 290</t>
  </si>
  <si>
    <t>pracovnabs@gmail.com</t>
  </si>
  <si>
    <t>JA Life s.r.o., r.s.p.</t>
  </si>
  <si>
    <t>stolárska výroba, prevádzka kuchyne, vývarovňa,
poskytovanie sociálnej pomoci,služby čistiarne a práčovne</t>
  </si>
  <si>
    <t>menu
kuchyňa
ponuka jedla
pranie
upratovanie
umývanie
práca v záhrade
pomoc seniorom
senior
doprovod
výroba kuchyňe
nábytok
olepovanie
 maľovanie
spracovanie
 sublimačná tlač
 gravirovanie</t>
  </si>
  <si>
    <t>Obecný podnik Cerovo, s.r.o.</t>
  </si>
  <si>
    <t>čistiace a upratovacie služby, odpady a recyklácia, dom a záhrada</t>
  </si>
  <si>
    <t>Cerovo 259, 962 52 Cerovo</t>
  </si>
  <si>
    <t>Komunálne služby a služby spojené s údržbou a správou majetku obce.</t>
  </si>
  <si>
    <t>Zamestnanie znevýhodnených skupín.</t>
  </si>
  <si>
    <t>https://katalogsp.gov.sk/obecny-podnik-cerovo-s-r-o/</t>
  </si>
  <si>
    <t xml:space="preserve"> +421 905 973 749</t>
  </si>
  <si>
    <t>obecnypodnikcerovo@gmail.com</t>
  </si>
  <si>
    <t>Komunálne služby a služby osobného charakteru</t>
  </si>
  <si>
    <t>služby pre obec, komunálne služby, údržba zelene</t>
  </si>
  <si>
    <t>Sociálny podnik Košického samosprávneho kraja, s.r.o., r. s. p.</t>
  </si>
  <si>
    <t>Námestie Maratónu mieru 1, 042 66 Košice</t>
  </si>
  <si>
    <t>Stavebné práce, práce v záhrade, práce v domácnosti, upratovanie.</t>
  </si>
  <si>
    <t>Pozitívny sociálny vplyv spoločnosť dosahuje predovšetkým zamestnávaním marginalizovaných skupín obyvateľstva, napr. zamestnávaním zdravotne postihnutých, znevýhodnených a zraniteľných osôb. Osvojenie pracovných návykov, vytvorenie pracovného kolektívu a začlenenie takýchto osôb do pracovnej činnosti a tým aj do spoločenského života, ich socializácia, má na ne pozitívny sociálny vplyv. Začlenením takýchto osôb do pracovnej činnosti dochádza k rozvíjaniu ich osobnostných predpokladov, k odstráneniu ich vylúčenia na okraj spoločnosti a k ich začleneniu do reálneho života.</t>
  </si>
  <si>
    <t>https://katalogsp.gov.sk/wp-content/uploads/2022/01/SP-Kosickeho-kraja-logo1.jpg</t>
  </si>
  <si>
    <t>https://katalogsp.gov.sk/socialny-podnik-kosickeho-samospravneho-kraja-s-r-o-r-s-p/</t>
  </si>
  <si>
    <t xml:space="preserve"> +421 908 066 126</t>
  </si>
  <si>
    <t>anna.bezilova@spksk.sk</t>
  </si>
  <si>
    <t>Sociálny podnik Košického samosprávneho kraja, s.r.o., r.s.p.</t>
  </si>
  <si>
    <t>Stavebné práce, práce v záhradníctve, sadovníctve, v domácnosti, upratovanie.</t>
  </si>
  <si>
    <t>stavebné práce, stavba, rekonštrukcia, záhrada, kosenie, pílenie, upratovanie, domácnosť</t>
  </si>
  <si>
    <t>Sociálny podnik obce Slavošovce s.r.o., r.s.p.</t>
  </si>
  <si>
    <t>poľnohospodárstvo a lesníctvo, stavebníctvo</t>
  </si>
  <si>
    <t>Slavošovce 113, 049 36 Slavošovce</t>
  </si>
  <si>
    <t>Prípravné práce k realizácii stavieb, usktutočňovanie stavieb a ich zmien, dokončovacie stavebné práce.</t>
  </si>
  <si>
    <t>Zamestnaním znevýhodnených uchádzačov o prácu vo výške 30% z celkového počtu zamestnancov.</t>
  </si>
  <si>
    <t>https://katalogsp.gov.sk/socialny-podnik-obce-slavosovce-s-r-o-r-s-p/</t>
  </si>
  <si>
    <t xml:space="preserve"> +421 911 805 416</t>
  </si>
  <si>
    <t>erika.potomczykova@gmail.com</t>
  </si>
  <si>
    <t>Sociálny podnik obce Slavošovce, s.r.o., r.s.p.</t>
  </si>
  <si>
    <t>Stavebné práce k realizácii stavieb, uskutočňovanie stavieb a ich zmien, dokončovacie stavebné práce pri realizácii exteriérov a interiérov, poskytovanie služieb v poľnohospodárstve a záhradníctve.</t>
  </si>
  <si>
    <t>zemné práce, búracie práce, dokončovacie stavebné práce v interiéri a exteriéri</t>
  </si>
  <si>
    <t>MoToDoor s.r.o.</t>
  </si>
  <si>
    <t>Zámoryho ul. 107/14, 945 01 Komárno</t>
  </si>
  <si>
    <t>Sieťky proti hmyzu, parapety, ohýbanie plechov, žalúzie na okná.</t>
  </si>
  <si>
    <t>Pomáhame zdravotne postihnutým ľuďom začleniť sa do plnohodnotného života.</t>
  </si>
  <si>
    <t>https://katalogsp.gov.sk/motodoor-s-r-o/</t>
  </si>
  <si>
    <t xml:space="preserve"> +421 905 391 276</t>
  </si>
  <si>
    <t>motodoorsro@gmail.com</t>
  </si>
  <si>
    <t>Motodoor s.r.o.</t>
  </si>
  <si>
    <t>Vyrábame rôzne druhy sietí proti hmyzu, okenné parapety, žalúzie na okná a dvere.</t>
  </si>
  <si>
    <t>výroba okenných, dverných sieťok proti hmyzu, parapety, žalúzie</t>
  </si>
  <si>
    <t>Hanako Slovakia s. r. o.</t>
  </si>
  <si>
    <t>dom a záhrada, zvieratá</t>
  </si>
  <si>
    <t>Dolná Streda 834, 925 63 Dolná Streda</t>
  </si>
  <si>
    <t>Náš sociálny podnik poskytuje:
 1. služby v záhradníctve - jednoduché úpravy záhrad, kosenie, úprava zelene, údržba závlahového systému, výstavba záhradných jazier a biobazénov, realizácie závlah, údržba a jednoduchá oprava elektrických zariadení používaných v záhradníctve, ľahké stavebné práce, úpravy terénov, technická správa areálu a pod.
 2. výroba krmív pre športový rybolov a krmív pre chov rýb.</t>
  </si>
  <si>
    <t>V našom podniku zamestnávame 50% zdravotne postihnutých pracovníkov a naším zámerom je ich počet zvyšovať. Zamestnanci u nás pracujú na rôznych činnostiach v exteriéri či interiéri. Okrem realizácií a výroby ich budeme zapájať aj do oblastí administratívy, marketingu, či predaja.</t>
  </si>
  <si>
    <t>https://katalogsp.gov.sk/hanako-slovakia-s-r-o/</t>
  </si>
  <si>
    <t xml:space="preserve"> +421 902 191 834</t>
  </si>
  <si>
    <t>hanakospol@gmail.com</t>
  </si>
  <si>
    <t>Hanako Slovakia s.r.o.</t>
  </si>
  <si>
    <t>Momentálne poskytujeme služby mimo našej prevádzky priamo u zákazníkov.</t>
  </si>
  <si>
    <t>záhradnícké práce, záhrané jazierka, biobazén, závlahy, predaj a výroba krmív pre športový rybolov a chov rýb</t>
  </si>
  <si>
    <t>COUPE INVEST, s. r. o.</t>
  </si>
  <si>
    <t>Dúbravská 2, 841 04 Bratislava</t>
  </si>
  <si>
    <t>Protipožiarna ochrana, poskytovanie služieb v oblasti BOZP a PO. Predaj tovarov z oblasti ochranných osobných pracovných prostriedkov.</t>
  </si>
  <si>
    <t>Zamestnávame znevýhodnené a zraniteľné osoby v počte viac ako 30% celkového počtu zamestnancov.</t>
  </si>
  <si>
    <t>https://katalogsp.gov.sk/wp-content/uploads/2022/01/Coupe-Invest-logo2-E-katalogRSP.jpg</t>
  </si>
  <si>
    <t>https://katalogsp.gov.sk/coupe-invest-s-r-o/</t>
  </si>
  <si>
    <t xml:space="preserve"> +421 917 431 264</t>
  </si>
  <si>
    <t>terezia.bazalova@zahas-group.sk</t>
  </si>
  <si>
    <t>Protipožiarna ochrana. Poskytovanie služieb v oblasti BOZP a PO. Predaj tovaru - OOPP.</t>
  </si>
  <si>
    <t>Služby v oblasti BOZP a PO. Predaj tovaru: OOPP, ochranné pracovné prostriedky</t>
  </si>
  <si>
    <t>L-METAL, s.r.o.</t>
  </si>
  <si>
    <t>Trstice 1418, 925 42 Trstice</t>
  </si>
  <si>
    <t>Výroba výrobkov z plastov.</t>
  </si>
  <si>
    <t>https://katalogsp.gov.sk/l-metal-s-r-o/</t>
  </si>
  <si>
    <t xml:space="preserve"> +421 910 985 018</t>
  </si>
  <si>
    <t>abugar@alfaservice.sk</t>
  </si>
  <si>
    <t>L-METAL s.r.o.</t>
  </si>
  <si>
    <t>plasty</t>
  </si>
  <si>
    <t>J J M T, s.r.o.</t>
  </si>
  <si>
    <t>Železničná 7, 966 81 Žarnovica</t>
  </si>
  <si>
    <t>Zákazníkom ponúkame pranie, čistenie bielizne, čistenie zariadenia bytov a domov, jednoduchú údržbu zariadení domov a bytov, osobné služby. Opravujeme osobné potreby a potreby pre domácnosť. Robíme predaj drogérie na pranie a čistenie. Uvedené služby ponúkame s dovozom zákazníkovi.</t>
  </si>
  <si>
    <t>Podporujeme regionálny rozvoj a zamestnanosť, sociálnu pomoc obyvateľstvu, služby poskytujeme so zreteľom na ochranu životného prostredia a zdravia obyvateľstva.</t>
  </si>
  <si>
    <t>https://katalogsp.gov.sk/j-j-m-t-s-r-o/</t>
  </si>
  <si>
    <t xml:space="preserve"> +421 904 333 947</t>
  </si>
  <si>
    <t>obchod@perunka.sk</t>
  </si>
  <si>
    <t>Čistiareň, práčovňa a predaj drogérie Perunka Žarnovica.</t>
  </si>
  <si>
    <t>Ponúkame služby obyvateľstvu a firmám - čistenie a pranie bielizne, čistenie zariadenia bytov a domov, poskytovanie služieb osobného charakteru obyvateľstvu so zreteľom na ochranu životného prostredia a zdravia.</t>
  </si>
  <si>
    <t>práčovňa, čistiareň, predaj drogérie na pranie a čistenie. Kosenie a drobná údržba domov a bytov.</t>
  </si>
  <si>
    <t>ADVENTIM n.o.</t>
  </si>
  <si>
    <t>vzdelávanie</t>
  </si>
  <si>
    <t>Nám. SNP 197/45, 929 01 Dunajská Streda</t>
  </si>
  <si>
    <t>Náš sociálny podnik sa zaoberá vzdelávacou činnosťou a poskytovaním voľnočasových aktivít.</t>
  </si>
  <si>
    <t>Pozitívny sociálny vplyv dosahujeme zamestnávaním zdravotne znevýhodnených zamestnancov a doplnkovým vzdelávaním žiakov s rôznymi druhmi znevýhodnenia.</t>
  </si>
  <si>
    <t>https://katalogsp.gov.sk/adventim-n-o/</t>
  </si>
  <si>
    <t xml:space="preserve"> +421 910 739 234</t>
  </si>
  <si>
    <t>adventimnonprofit@gmail.com</t>
  </si>
  <si>
    <t>Vzdelávanie, mimoškolské aktivity, hand made dielne.</t>
  </si>
  <si>
    <t>poradenstvo pri založení podniku, jazykové korektúry textov v slovenskom jazyku, kurzy hand made z odpadových materiálov, kurzy pre mäkké zručnosti podnikateľov, soft skills, editácia textov</t>
  </si>
  <si>
    <t>Obecný podnik Zborov nad Bystricou s. r. o.</t>
  </si>
  <si>
    <t>Zborov nad Bystricou 223, 023 03 Zborov nad Bystricou</t>
  </si>
  <si>
    <t>Obecný podnik Zborov nad Bystricou s. r. o., r. s. p, ktorého zriaďovateľom je Obec Zborov nad Bystricou, sa venuje najmä drobným stavebným činnostiam, maliarskym prácam, záhradkárskym prácam, ako napr. kosenie, výrobe drevených výrobkov, sťahovacím a upratovacím službám. Týmito činnosťami sleduje svoj hlavný cieľ, ktorým je dosahovanie merateľného pozitívneho sociálneho vplyvu.</t>
  </si>
  <si>
    <t>Vznik Obecného podniku Zborov nad Bystricou s. r. o., r. s. p. je naplnením snahy znížiť mieru nezamestnanosti v obci, zvýšiť životnú úroveň obyvateľstva a podnietiť u nezamestnaných záujem o získanie nových vedomostí a zručností. K rozvoju zamestnanosti významnou mierou prispieva najmä vytvorenie a udržanie pracovných miest pre znevýhodnených uchádzačov o zamestnanie. Od roku 2020 zamestnal Obecný podnik Zborov nad Bystricou s. r. o., r. s. p. 11 zamestnancov, z toho 9 znevýhodnených uchádzačov o zamestnanie z Úradu práce, sociálnych vecí a rodiny v Čadci.</t>
  </si>
  <si>
    <t>https://katalogsp.gov.sk/wp-content/uploads/2022/01/Obecny-podnik-Zborov-nad-Bystricou1.jpg</t>
  </si>
  <si>
    <t>https://katalogsp.gov.sk/obecny-podnik-zborov-nad-bystricou-s-r-o/</t>
  </si>
  <si>
    <t xml:space="preserve"> +421 911 484 401</t>
  </si>
  <si>
    <t>podnik@zborovnadbystricou.sk</t>
  </si>
  <si>
    <t>Stavebné, maliarske a záhradkárske činnosti - kosenie, výroba drevených doplnkov, sťahovacie služby, upratovacie služby.</t>
  </si>
  <si>
    <t>zemné práce, záhradné práce, drevovýroba, sťahovanie</t>
  </si>
  <si>
    <t>SP Detva s.r.o.</t>
  </si>
  <si>
    <t>stavebníctvo, elektro, doprava, iné (tovary a služby)</t>
  </si>
  <si>
    <t>Štúrova 1612/86, 962 12 Detva</t>
  </si>
  <si>
    <t>Predaj komunálnej techniky s elektrickým pohonom, stavebná činnosť, spracovanie textilu.</t>
  </si>
  <si>
    <t>Poskytovaním služieb, tovarov a zamestnávaním znevýhodnených osôb.</t>
  </si>
  <si>
    <t>https://katalogsp.gov.sk/sp-detva-s-r-o/</t>
  </si>
  <si>
    <t xml:space="preserve"> +421 903 287 196</t>
  </si>
  <si>
    <t>vybostok.j@gmail.com</t>
  </si>
  <si>
    <t>RS Detva s.r.o.</t>
  </si>
  <si>
    <t>Predaj komunálnej techniky na elektrický pohon, stavebníctvo, spracovanie textilu.</t>
  </si>
  <si>
    <t>SWEET REVELATION s.r.o., r.s.p.</t>
  </si>
  <si>
    <t>Košické Oľšany 145, 044 42 Košické Oľšany</t>
  </si>
  <si>
    <t>V našej ponuke sú: - kúpa tovaru na účely jeho predaja konečnému spotrebiteľovi (maloobchod) alebo iným prevádzkovateľom živností (veľkoobchod), 
 - sprostredkovateľská činnosť v oblasti obchodu a služieb,
 - príprava a predaj na priamu konzumáciu zmrzliny, ak sa na jej prípravu použijú priemyselne vyrábané koncentráty a mrazené krémy,
 - príprava a predaj na priamu konzumáciu nealkoholických a priemyselne vyrábaných mliečnych nápojov, koktailov, piva, vína a destilátov,
 - predaj cukrárenských výrobkov na priamu konzumáciu,
 - vedenie účtovníctva, 
 - činnosť podnikateľských, organizačných a ekonomických poradcov,
 - prieskum trhu a verejnej mienky,
 - donášková služba,
 - oprava odevov, textilu a bytového textilu, 
 - reklamné a marketingové služby,
 - textilná a odevná výroba, výroba kožených a kožušinových výrobkov 
 - čistiace a upratovacie služby.</t>
  </si>
  <si>
    <t>Hlavným cieľom RSP je dosahovanie merateľného pozitívneho sociálneho vplyvu poskytovaním spoločensky prospešnej služby v oblasti zamestnanosti znevýhodnených a zraniteľných osôb, aby zamestnanci získali predajné a obchodné zručnosti, zvládli komunikáciu a psychológiu predaja, telefonické zručnosti a internetový predaj. Integračný sociálny podnik bude vytvárať pracovné príležitosti pre znevýhodnené a zraniteľné osoby s cieľom dať im príležitosť na otvorenom trhu práce. Predmet činnosti, ktorým je predaj dámskej módy a zamestnávanie pracovníkov so zdravotným postihnutím (OZPS), prispieva k dosahovaniu pozitívneho sociálneho vplyvu.</t>
  </si>
  <si>
    <t>https://katalogsp.gov.sk/wp-content/uploads/2022/01/Sweetrevelation2.jpg</t>
  </si>
  <si>
    <t>https://katalogsp.gov.sk/sweet-revelation-s-r-o-r-s-p/</t>
  </si>
  <si>
    <t xml:space="preserve"> +421 905 624 571</t>
  </si>
  <si>
    <t>sweetrevelation@centrum.sk</t>
  </si>
  <si>
    <t>SWEETREVELATION r.s.p., s.r.o.</t>
  </si>
  <si>
    <t>Kúpa tovaru na účely jeho predaja konečnému spotrebiteľovi (maloobchod) alebo iným prevádzkovateľom živností (veľkoobchod).</t>
  </si>
  <si>
    <t>Dámske odevy</t>
  </si>
  <si>
    <t>Edenal, s. r. o.</t>
  </si>
  <si>
    <t>Čaka 398, 935 68 Čaka</t>
  </si>
  <si>
    <t>Poskytovanie služieb v poľnohospodárstve a záhradníctve, čistiace a upratovacie služby.</t>
  </si>
  <si>
    <t>Vytváraním pracovných miest pre znevýhodnené osoby i pre marginalizované skupiny v spoločnosti, ich pracovných návykov, čím umožňujeme ich zaradenie do spoločenského života na dedine. Budujeme eko farmu, chceme produkovať a verejnosti poskytovať kvalitné ovocné a zeleninové potraviny.  Rozvozom potravín a liekov chceme zvýšiť životný komfort predovšetkým imobilnej, prípadne odkázanej skupiny osôb, uľahčiť ťažký život na vidieku starším osobám, predovšetkým ženám nad 70 rokov s prácami v záhrade, vinohrade, či ovocnom sade, pripraviť palivové drevo od jeho napílenia, naštiepkovania až po uloženie. Realizujeme malé opravy na stavbách, drobné výkopové práce, čistenie odkvapov, opravu striech pri zatekaní, atď.</t>
  </si>
  <si>
    <t>https://katalogsp.gov.sk/edenal-s-r-o/</t>
  </si>
  <si>
    <t xml:space="preserve"> +421 903 249 994</t>
  </si>
  <si>
    <t>edenalsp@gmail.com</t>
  </si>
  <si>
    <t>Edenal, s.r.o.</t>
  </si>
  <si>
    <t>Upratovanie a čistiace práce.</t>
  </si>
  <si>
    <t>upratovanie, čistenie, kosenie, záhrada</t>
  </si>
  <si>
    <t>Regio plus s.r.o.</t>
  </si>
  <si>
    <t>Janice 18</t>
  </si>
  <si>
    <t xml:space="preserve"> 980 42 Janice</t>
  </si>
  <si>
    <t>Janice 18, 980 42 Janice</t>
  </si>
  <si>
    <t>Poskytovanie komplexných služieb v oblasti stavebníctva so zameraním na výstavbu zemných a vzdušných sietí v oblasti telekomunikácií, realizácia menších stavieb a udržiavacích prác pre lokálne samosprávy.</t>
  </si>
  <si>
    <t>Zamestnávanie sociálne znevýhodných skupín.</t>
  </si>
  <si>
    <t>https://katalogsp.gov.sk/regio-plus-s-r-o/</t>
  </si>
  <si>
    <t xml:space="preserve"> +421 907 867 211</t>
  </si>
  <si>
    <t>regioplussp@gmail.com</t>
  </si>
  <si>
    <t>Regio plus s.r.o</t>
  </si>
  <si>
    <t>Menšie stavebné práce, výstavba zemných a vzdušných telekomunikačných sietí,</t>
  </si>
  <si>
    <t>stavebné práce, výstavba zemných a vzdušných telekomunikačných sietí</t>
  </si>
  <si>
    <t>PAPUČA VK s. r. o.</t>
  </si>
  <si>
    <t>účtovníctvo a poradenstvo, potraviny a nápoje</t>
  </si>
  <si>
    <t>Slovenské Ďarmoty 141, 991 07 Slovenské Ďarmoty</t>
  </si>
  <si>
    <t>Služby pohostinstiev, administratívne služby a vedenie účtovníctva.</t>
  </si>
  <si>
    <t>Hlavnou činnosťou je poskytovanie služieb rýchleho občerstvenia, administratívne služby a vedenie účtovníctva. Zamestnávame znevýhodnené a/alebo zraniteľné osoby.</t>
  </si>
  <si>
    <t>https://katalogsp.gov.sk/papuca-vk-s-r-o/</t>
  </si>
  <si>
    <t xml:space="preserve"> +421 908 608 798</t>
  </si>
  <si>
    <t>ruzenka.simonova@gmail.com</t>
  </si>
  <si>
    <t>PAPUČA VK s.r.o.</t>
  </si>
  <si>
    <t>Služby pohostinstiev, administratívne služby, vedenie účtovníctva.</t>
  </si>
  <si>
    <t>služby pohostinstiev, administratívne služby, účtovníctvo, rýchle občerstvenie, bufet, krčma</t>
  </si>
  <si>
    <t>Solcom Media s. r. o.</t>
  </si>
  <si>
    <t>Rovniankova 12, 85102 Bratislava-Petržalka</t>
  </si>
  <si>
    <t>Výroba parfumových osviežovačov vzduchu do automobilov a iných priestorov.</t>
  </si>
  <si>
    <t>Vytvárame pracovné miesta pre zdravotne či inak znevýhodnených ľudí.</t>
  </si>
  <si>
    <t>https://katalogsp.gov.sk/solcom-media-s-r-o/</t>
  </si>
  <si>
    <t xml:space="preserve"> +421 948 615 630</t>
  </si>
  <si>
    <t>alexander@solcom.media</t>
  </si>
  <si>
    <t>Fresh and Funny</t>
  </si>
  <si>
    <t>Výroba parfumových osviežovačov.</t>
  </si>
  <si>
    <t>Parfumové osviežovače, voňačky,</t>
  </si>
  <si>
    <t>Dekora Group, s.r.o</t>
  </si>
  <si>
    <t>doprava, elektro, auto-moto, kovovýroba</t>
  </si>
  <si>
    <t>Piešťanská 31/A, 915 01 Nové Mesto nad Váhom</t>
  </si>
  <si>
    <t>Naša spoločnosť má v súčasnosti už dve prevádzky. V Novom Meste nad Váhom ponúkame služby subdodávateľom pre automobilový priemysel (montáž podskupín pozostávajúca z plastových a kovových výrobkov, kontrola a kalibrácia výrobkov, mechanické úpravy kovových a plastových výrobkov, ...), energetický priemysel (montáž hliníkových držiakov pre vysokonapäťové káble, ...) a ľahký priemysel (montáž podskupín pre bicykle, rôzne baliace a triediace činnosti) . Prevádzka v Púchove je momentálne zameraná na spoluprácu s firmou vyrábajúcou káblové zväzky. Naším dodávkovým vozidlom do 3,5 tony zabezpečujeme dovoz tovarov na prevádzky a odvoz hotových výrobkov zákazníkovi podľa jeho potrieb.</t>
  </si>
  <si>
    <t>Z 28 zamestnancov je 27 zdravotne znevýhodnených, jeden zamestnanec poskytuje asistenciu zdravotne znevýhodneným osobám.</t>
  </si>
  <si>
    <t>https://katalogsp.gov.sk/dekora-group-s-r-o/</t>
  </si>
  <si>
    <t xml:space="preserve"> +421 944 939 000</t>
  </si>
  <si>
    <t>konatel@dekoragroup.sk</t>
  </si>
  <si>
    <t>Dekora Group, Nové Mesto nad Váhom</t>
  </si>
  <si>
    <t>Montážne práce na kovových a plastových výrobkoch, baliace činnosti, kontrola a kalibrácia výrobkov.</t>
  </si>
  <si>
    <t>montážna dielňa, kalibrácia, balenie</t>
  </si>
  <si>
    <t>Dekora Group, Púchov</t>
  </si>
  <si>
    <t>Montážna dielňa.</t>
  </si>
  <si>
    <t>montáž káblových zväzkov a komponentov</t>
  </si>
  <si>
    <t>Obecné služby Dobrá Niva, s.r.o.</t>
  </si>
  <si>
    <t>poľnohospodárstvo a lesníctvo, dom a záhrada, stavebníctvo</t>
  </si>
  <si>
    <t>Námestie SNP 47/9, 962 61 Dobrá Niva</t>
  </si>
  <si>
    <t>V súčasnosti náš podnik Obecné služby Dobrá Niva s.r.o., r.s.p. pôsobí v nasledovných oblastiach: stavebné a búracie práce, rekonštrukcie obecného majetku, oprava chodníkov a ciest, pokládka zámkovej dlažby, údržba zelene a rôzne iné pomocné práce. Väčšinu prác vykonávame pre svojho zriaďovateľa - obec. Svoje služby však vieme poskytovať aj iným obciam a mestám, fyzickým i právnickým osobám.</t>
  </si>
  <si>
    <t>Percentom zamestnaných znevýhodnených osôb a/alebo zraniteľných osôb z celkového počtu zamestnancov spoločnosti v zmysle príslušných ustanovení zákona č. 112/2018 Z. z.</t>
  </si>
  <si>
    <t>https://katalogsp.gov.sk/wp-content/uploads/2022/01/OS-Dobra-Niva-2.jpg</t>
  </si>
  <si>
    <t>https://katalogsp.gov.sk/obecne-sluzby-dobra-niva-s-r-o/</t>
  </si>
  <si>
    <t xml:space="preserve"> +421 911 855 932</t>
  </si>
  <si>
    <t>japonicky@gmail.com</t>
  </si>
  <si>
    <t>Obecné služby Dobrá Niva s.r.o.</t>
  </si>
  <si>
    <t>Stavebné a búracie práce, rekonštrukcie obecného majetku, oprava chodníkov a ciest, pokládka zámkovej dlažby, údržba zelene a rôzne iné pomocné práce.</t>
  </si>
  <si>
    <t>stavebné práce, stavba, búracie práce, búranie, dlažba, zámková dlažba, obklady, rekonštrukcia, oprava chodníkov, kosenie, lesníctvo, lesné hospodárstvo, záhradné práce</t>
  </si>
  <si>
    <t>Obecný podnik obchodu a služieb Úľany nad Žitavou s. r. o.</t>
  </si>
  <si>
    <t>Hlavná 51, 941 03 Úľany nad Žitavou</t>
  </si>
  <si>
    <t>Podnik aktuálne ponúka svoje služby komunálneho charakteru obci Úľany nad Žitavou a jej občanom. Spravuje obecné budovy, cintorín, občanom poskytuje práce v záhrade, domácnosti, pilčícke práce.</t>
  </si>
  <si>
    <t>Aktuálne zamestnáva občanov obce Úľany nad Žitavou, ktorí sú zdravotne znevýhodnení alebo mali dlhodobejší problém s uplatnením sa na trhu práce.</t>
  </si>
  <si>
    <t>https://katalogsp.gov.sk/obecny-podnik-obchodu-a-sluzieb-ulany-nad-zitavou-s-r-o/</t>
  </si>
  <si>
    <t xml:space="preserve"> +421 903 380 126</t>
  </si>
  <si>
    <t>konatel@ulanynadzitavou.sk</t>
  </si>
  <si>
    <t>Obecný podnik obchodu a služieb Úľany nad Žitavou s.r.o.</t>
  </si>
  <si>
    <t>Komunálne služby v obci, správa obecných budov, cintorína, dočasného úložiska odpadov. Práce v záhrade, domácnosti, interiérové maliarske práce, pilčícke práce, drobné neodborné stavebné práce.</t>
  </si>
  <si>
    <t>kosenie, opilovanie, výkopové ručné práce, interiérové maliarske práce, záhradné práce</t>
  </si>
  <si>
    <t>Obecný podnik Sap, s. r. o.</t>
  </si>
  <si>
    <t>čistiace a upratovacie služby, poľnohospodárstvo a lesníctvo, dom a záhrada, stavebníctvo, kovovýroba</t>
  </si>
  <si>
    <t>Sap 48, 930 06 Sap</t>
  </si>
  <si>
    <t>Kosenie trávy pre domácnosť a záhradu, čistiace a upratovacie služby, poskytovanie služieb v poľnohospodárstve a záhradníctve, uskutočňovanie stavieb a ich zmien.</t>
  </si>
  <si>
    <t>Spoločnosť zamestnáva príslušné percento zraniteľných a/alebo znevýhodnených osôb v zmysle príslušných ustanovení zákona č. 112/2018 Z. z..</t>
  </si>
  <si>
    <t>https://katalogsp.gov.sk/wp-content/uploads/2022/01/OP-SAP-logo2.jpg</t>
  </si>
  <si>
    <t>https://katalogsp.gov.sk/obecny-podnik-sap-s-r-o/</t>
  </si>
  <si>
    <t xml:space="preserve"> +421 915 055 630</t>
  </si>
  <si>
    <t>obecsap@obecsap.eu</t>
  </si>
  <si>
    <t>Obecný podnik Sap, s.r.o.</t>
  </si>
  <si>
    <t>Kosenie, kovovýroba, čistenie, záhrada, zemné práce, stavebné práce</t>
  </si>
  <si>
    <t>Dojč - OPS, s.r.o.</t>
  </si>
  <si>
    <t>čistiace a upratovacie služby, dom a záhrada, doprava</t>
  </si>
  <si>
    <t>Dojč 125, 906 02 Dojč</t>
  </si>
  <si>
    <t>Náš sociálny podnik ponúka služby najmä obyvateľom obce Dojč vo forme kosenia a mulčovania, odvozu bioodpadu, štiepkovania konárov, čistenia verejných priestranstiev a potoka, realizuje zimnú údržbu miestnych komunikácií a chodníkov. Ponúkame aj upratovacie služby.</t>
  </si>
  <si>
    <t>Najmä starším občanom podáva podnik pomocnú ruku pri údržbe nehnuteľností a priľahlých pozemkov, zamestnáva sociálne znevýhodnených, ktorým umožňuje pracovať v medziach ich zdravotného znevýhodnenia.</t>
  </si>
  <si>
    <t>https://katalogsp.gov.sk/wp-content/uploads/2022/01/Dojc-OPS-logo.png</t>
  </si>
  <si>
    <t>https://katalogsp.gov.sk/dojc-ops-s-r-o/</t>
  </si>
  <si>
    <t xml:space="preserve"> +421 911 534 974</t>
  </si>
  <si>
    <t>starosta@dojc.sk</t>
  </si>
  <si>
    <t>Dojč-OPS, s.r.o., RSP</t>
  </si>
  <si>
    <t>Aktuálne ponúkame odvoz bioodpadu, orez konárov a ich štiepkovanie, zimnú údržbu chodníkov.</t>
  </si>
  <si>
    <t>bioodpad, kosenie, hrabanie, štiepkovanie, mulčovanie, zametanie, odhŕňanie, odvoz</t>
  </si>
  <si>
    <t>Palatinos, s.r.o.</t>
  </si>
  <si>
    <t>Pod hájom 1095/76, 018 41 Dubnica nad Váhom</t>
  </si>
  <si>
    <t>Poskytujeme služby v oblasti prípravy studenej a teplej kuchyne a upratovacie služby.</t>
  </si>
  <si>
    <t>Integrujeme sociálne a zdravotne znevýhodnených spoluobčanov na pracovný trh.</t>
  </si>
  <si>
    <t>https://katalogsp.gov.sk/palatinos-s-r-o/</t>
  </si>
  <si>
    <t xml:space="preserve"> +421 915 920 062</t>
  </si>
  <si>
    <t>palatinos.sro@gmail.com</t>
  </si>
  <si>
    <t>Palatinos</t>
  </si>
  <si>
    <t>Studená kuchyňa, teplá kuchyňa, upratovacie služby.</t>
  </si>
  <si>
    <t>kanapky, obložené chlebíčky, obložené misy</t>
  </si>
  <si>
    <t>Margaret s. r. o.</t>
  </si>
  <si>
    <t>odevy a obuv, nábytok a bytové doplnky, kultúra a šport</t>
  </si>
  <si>
    <t>Rovňany 18, 985 24 Rovňany</t>
  </si>
  <si>
    <t>Spoločnosť Margaret, s.r.o., sa zaoberá výrobou a predajom krojov a jednotlivých krojových súčastí podľa autentického prevedenia a spracovania, ďalej etno-módy, liturgie a liturgických textílií, bytového textilu a textilných doplnkov do domácnosti a vyššej spoločenskej módy, slow-fashion, ale i up-cyklovanou módou. Vo svojej predajni v Lučenci predávame okrem nami zhotovených odevných a textilných súčastí aj ľudovoumelecké predmety z rôznych materiálov, ktoré sú výrobkami prevažne lokálnych remeselníkov. Ide o výrobky z dreva, kože, drôtu, šúpolia, skla, keramiky, ...</t>
  </si>
  <si>
    <t>Spoločenský vplyv spočíva v zamestnaní a zamestnávaní osôb so ZŤP a osôb so zdravotným znevýhodnením, prípadne zamestnávaním ľudí, ktorí majú obmedzené možnosti a komplikácie uplatniť sa na trhu práce. V rámci nášho r.s.p. prinášame pozitívny sociálny vplyv tiež prostredníctvom tvorby, rozvoja, ochrany, obnovy a prezentácie duchovných a kultúrnych hodnôt: repasovanie starých pôvodných krojov, realizácia terénneho výskumu, spolupráca s múzeami a inými odbornými inštitúciami, výučba kurzov tradičných vyšívacích techník, prezentácie, semináre pre verejnosť.</t>
  </si>
  <si>
    <t>https://katalogsp.gov.sk/margaret-s-r-o/</t>
  </si>
  <si>
    <t xml:space="preserve"> +421 948 181 235</t>
  </si>
  <si>
    <t>info@margaret-design.sk</t>
  </si>
  <si>
    <t>Margaret s.r.o.</t>
  </si>
  <si>
    <t>Výroba krojov a ich jednotlivých odevných súčastí, etno-móda pre dospelých, ale i deti: vyšívané tričká, mikiny, blúzky, košele, zdobené a plisované sukne, opasky, motýliky, ... Z bytových doplnkov: ľanové utierky, obrusy, kuchynské zástery, kuchynské rukavice, vankúše, tašky.</t>
  </si>
  <si>
    <t>kroj, vyšívané tričko, vyšívaná mikina, košeľa, blúzka, sukňa, šaty, ľanová utierka, obrus, kuchynská zástera, kuchynská rukavica, vankúš, taška, motýlik, opasok, vyšívaný opasok, šitie, oprava krojov, vyšívanie ručné, vyšívanie strojové, remeselné výrobky, šúpolie, drevo, koža, keramika, sklo, ľudové remeslo, liturgické odevy</t>
  </si>
  <si>
    <t>Obecná prevadzkáreň, s.r.o. Jablonov r. s. p.</t>
  </si>
  <si>
    <t>čistiace a upratovacie služby, dom a záhrada, doprava, odpady a recyklácia</t>
  </si>
  <si>
    <t>Jablonov nad Turňou 244, 049 43 Jablonov nad Turňou</t>
  </si>
  <si>
    <t>naše služby realizujeme pre občanov, firmy, obce: kosenie, odvoz odpadu, výrub stromov, zemné práce.</t>
  </si>
  <si>
    <t>Zamestnávame pre znevýhodnené osoby.</t>
  </si>
  <si>
    <t>https://katalogsp.gov.sk/obecna-prevadzkaren-s-r-o-jablonov-r-s-p/</t>
  </si>
  <si>
    <t xml:space="preserve"> +421 911 974 641</t>
  </si>
  <si>
    <t>ocpjablonov@gmail.com</t>
  </si>
  <si>
    <t>Obecná prevádzkareň, s.r.o. Jablonov r.s.p.</t>
  </si>
  <si>
    <t>Zemné práce, kosenie , výrub, preprava.</t>
  </si>
  <si>
    <t>zemné práce, kosenie , výrub, preprava, zber odpadu</t>
  </si>
  <si>
    <t>Služby - Medzilaborce s. r. o.</t>
  </si>
  <si>
    <t>Mierová 329/10, 068 01 Medzilaborce</t>
  </si>
  <si>
    <t>Ponúkame hlavne stavebnú činnosť, našimi zákazníkmi sú tak súkromné osoby, ako aj firmy a verejný sektor, čiže mestá a obce.</t>
  </si>
  <si>
    <t>Do poskytovania služieb zapájame tak znevýhodnených zamestnancov, ako aj zamestnancov so zdravotným znevýhodnením. 100% svojho zisku vkladáme naspäť do rozvoja sociálneho podniku.</t>
  </si>
  <si>
    <t>https://katalogsp.gov.sk/wp-content/uploads/2022/01/Sluzby-Medzilaborce-banner1.jpg</t>
  </si>
  <si>
    <t>https://katalogsp.gov.sk/sluzby-medzilaborce-s-r-o/</t>
  </si>
  <si>
    <t xml:space="preserve"> +421 948 858 505</t>
  </si>
  <si>
    <t>sluzby.ml@gmail.com</t>
  </si>
  <si>
    <t>Služby - Medzilaborce s.r.o.</t>
  </si>
  <si>
    <t>Ponúkame služby prevažne v oblasti stavebníctva, ale tiež predaj plastových okien a príslušenstva k nim.</t>
  </si>
  <si>
    <t>Plastové okná, garážové brány, ploty, stavebná činnosť</t>
  </si>
  <si>
    <t>SIPSTAV s.r.o.</t>
  </si>
  <si>
    <t>dom a záhrada, stavebníctvo, doprava, vzdelávanie</t>
  </si>
  <si>
    <t>Jarková 21, 082 22 Šarišské Michaľany</t>
  </si>
  <si>
    <t>Sme spoločnosť zameraná hlavne na stavebnú činnosť - stavba a rekonštrukcie budov, domov, bytov, parkovísk, chodníkov, ciest a oplotení, demolačné, zemné a výkopové práce, autodoprava do 3,5 t. s podružnými činnosťami ako sú zámočnícke, drevárske a stolárske práce. Našimi zákazníkmi sú mestá a obce, bytové družstvá, firmy a súkromné osoby, o čom svedčia aj referencie nami úspešne zrealizovaných zákaziek.</t>
  </si>
  <si>
    <t>Dosahujeme pozitívne merateľný sociálny vplyv v oblasti zamestnania a vzdelávania, vytvárania nových pracovných miest v regióne s vysokou mierou nezamestnanosti najmä osôb z MRK, vzdelávame a rekvalifikujeme našich zamestnancov hlavne v technických zručnostiach, no okrem toho im pomáhame s vybavovaním úradných vecí ako sú exekúcie, žiadosti, sťažnosti a ostatné právne náležitosti, IT komunikácie, Sociálna, zdravotné a komerčné poisťovne, sporiteľne, banky atď. Celkovo sa snažíme viesť ich, vzdelávať a motivovať ako v oblasti finančnej gramotnosti, prevencie exekúcií, následnej chudoby, kriminality či rozpadu rodín, tak aj zodpovednosti a šetrnosti voči životnému prostrediu a okoliu.</t>
  </si>
  <si>
    <t>https://katalogsp.gov.sk/sipstav-s-r-o/</t>
  </si>
  <si>
    <t>+421 918 493 123, +421 905 488 485</t>
  </si>
  <si>
    <t>sipstav@gmail.com</t>
  </si>
  <si>
    <t>SIPSTAV s.r.o., r.s.p.</t>
  </si>
  <si>
    <t>Výstavba a rekonštrukcia budov, rodinných domov, bytov, parkovísk, chodníkov, ciest a oplotení, demolačné, zemné a výkopové, zámočnícke, drevárske a stolárske práce, autodoprava do 3,5 t.</t>
  </si>
  <si>
    <t>demolačné, zemné a výkopové práce, stavebná činnosť, zámočnícke, drevárske a stolárske práce</t>
  </si>
  <si>
    <t>VOX terra o.z.</t>
  </si>
  <si>
    <t>poľnohospodárstvo a lesníctvo, vzdelávanie, zvieratá, iné (tovary a služby)</t>
  </si>
  <si>
    <t>Ráztoka 124, 976 97 Ráztoka</t>
  </si>
  <si>
    <t>VOX terra, o.z. ako sociálny podnik sa venuje chovu múčnych červov (Tenebrio molitor), ich výskumu a spracovaniu na krmivo, respektíve na produkt, ktorý je možné využiť ako súčasť kŕmnych zmesí (mletá suchá zložka zo sušených červov). Okrem tejto hlavnej činnosti sa tiež venujeme produkcii elektronických dokumentov, audio a audio-vizuálnych materiálov s environmentálnou tematikou a tematikou ekologického chovu a stravovania sa.</t>
  </si>
  <si>
    <t>Nahradením iného živočíšneho proteínu v kŕmnych zmesiach sa niekoľkonásobne znižuje celková spotreba vody pri ich výrobe. V zimných mesiacoch pravidelne prikrmujeme vtáctvo vo vybraných lokalitách krmivom so zložkou múčnych červov.</t>
  </si>
  <si>
    <t>https://katalogsp.gov.sk/wp-content/uploads/2022/01/VOX-terra-logo2.png</t>
  </si>
  <si>
    <t>https://katalogsp.gov.sk/vox-terra-o-z/</t>
  </si>
  <si>
    <t xml:space="preserve"> +421 904 607 508</t>
  </si>
  <si>
    <t>info@voxterra.sk</t>
  </si>
  <si>
    <t>Hmyzia farma VOX terra</t>
  </si>
  <si>
    <t>Múčne červy, živé, sušené, mleté, krmivá z nich vyrábané, organické hnojivo z hmyzieho substrátu.</t>
  </si>
  <si>
    <t>hmyz, enebrio, molitor, frass, múčne červy, krmivo, kŕmna zmes</t>
  </si>
  <si>
    <t>LN Trade pod Sitnom, s. r. o.</t>
  </si>
  <si>
    <t>ubytovacie a stravovacie služby, pre deti, kultúra a šport, cestovný ruch</t>
  </si>
  <si>
    <t>Ul. A. Kmeťa 2, 969 01 Banská Štiavnica</t>
  </si>
  <si>
    <t>Poskytuje ubytovanie v krásnom prostredí Štiavnických vrchov pod majestátnym vrchom Sitno. Zabezpečujeme pobyty pre deti, mládež, dospelých aj seniorov zo všetkých regiónov Slovenska, organizujeme lyžiarske a plavecké výcviky, detské tábory, školy v prírode, rekreačné a rekondičné pobyty pre všetky vekové kategórie. Naším zámerom je vyhovieť požiadavkám všetkých klientov od tých najmenších až po tých najstarších, ponúkame bohatý program, z ktorého si vie vybrať aj ten najnáročnejší zákazník. Atmosféra čarovného horského prostredia pod mohutným Sitnom, v blízkosti starobylej a históriou opantanej Banskej Štiavnice, je toho zárukou. 
 Plne vybavená a zariadená horská chata Lodiar s kapacitou 110 osôb, s kompletne vybavenou kuchyňou, jedálňou, ubytovacími priestormi, spoločenskou miestnosťou, vonkajšími športoviskami ponúka vhodné podmienky na organizovanie pobytov pre všetky typy klientov. Tešíme sa na vašu návštevu.</t>
  </si>
  <si>
    <t>https://katalogsp.gov.sk/wp-content/uploads/2022/01/LN-Trade-pod-Sitnom-3.jpg</t>
  </si>
  <si>
    <t>https://katalogsp.gov.sk/ln-trade-pod-sitnom-s-r-o/</t>
  </si>
  <si>
    <t xml:space="preserve"> +421 911 772 771</t>
  </si>
  <si>
    <t>peter.ernek@gmail.com</t>
  </si>
  <si>
    <t>Chata Lodiar</t>
  </si>
  <si>
    <t>Plne vybavená a zariadená horská chata Lodiar s kapacitou 110 osôb, s kompletne vybavenou kuchyňou, jedálňou, ubytovacími priestormi, spoločenskou miestnosťou, vonkajšími športoviskami ponúka vhodné podmienky na organizovanie pobytov pre všetky typy klientov v krásnom prostredí Štiavnických vrchov. Zabezpečujeme pobyty pre deti, mládež, dospelých aj seniorov zo všetkých regiónov Slovenska, organizujeme lyžiarske a plavecké výcviky, detské tábory, školy v prírode, rekreačné a rekondičné pobyty pre všetky vekové kategórie. 
 Tešíme sa na vašu návštevu.</t>
  </si>
  <si>
    <t>ubytovanie, rekreačné a rekondičné pobyty, školy v prírode, organizácia osláv, svadieb, karov, detské tábory, horská chata, lyžiarska škola, plavecký výcvik, rekondičný pobyt</t>
  </si>
  <si>
    <t>VIRA print s. r. o. r. s. p.</t>
  </si>
  <si>
    <t>reklama, auto-moto,</t>
  </si>
  <si>
    <t>Polárna 1450/6, 040 12 Košice</t>
  </si>
  <si>
    <t>Reklamné štúdio, výroba veľkoplošnej reklamy, kalendáre, brožúry, polep automobilov.</t>
  </si>
  <si>
    <t>Zamestnávame zdravotne znevýhodneného zamestnanca.</t>
  </si>
  <si>
    <t>https://katalogsp.gov.sk/vira-print-s-r-o-r-s-p/</t>
  </si>
  <si>
    <t xml:space="preserve"> +421 918 021 005</t>
  </si>
  <si>
    <t>juhas.radoslav@atk.sk</t>
  </si>
  <si>
    <t>VIRA print s.r.o. r.s.p.</t>
  </si>
  <si>
    <t>Výroba reklamy.</t>
  </si>
  <si>
    <t>reklamná činnosť</t>
  </si>
  <si>
    <t>Štefan Zábojník</t>
  </si>
  <si>
    <t>dom a záhrada, stavebníctvo, doprava, iné (tovary a služby)</t>
  </si>
  <si>
    <t>Levočská 64, 053 01 Harichovce</t>
  </si>
  <si>
    <t>V našej ponuke je: - opracovanie a ošetrovanie kameňa,
 - výroba dlažobných kociek, náhrobných kameňov, úprava hrobových miest,
 - ukladanie zámkovej dlažby,
 - výroba dlažobných kociek a ich následné ukladanie - vytváranie rôznych zaujímavých vzorov na chodníkoch,
 - výstavba kamenných múrov (tzv. gabióny),
 - výkop hrobových miest, realizácia 1- aj 2-hrobov, urnových hrobov,
 - epitafné dosky, pamätné tabule,
 - rekonštrukcia a renovácia pomníkov,
 - realizácia návrhov atypických pomníkov,
 - výroba kuchynských a kúpeľňových dosiek z prírodného a umelého kameňa s výrezmi na mieru, vrátane technického zámeru a montáže,
 - interiérové a exteriérové obkladačské práce v rodinných domoch pre súkromné osoby aj podnikateľské firmy,
 - poskytovanie služieb v oblasti nákladnej dopravy napríklad prevoz materiálu fyzickým osobám, ale aj podnikateľským subjektom</t>
  </si>
  <si>
    <t>Zdravotne postihnutí ľudia vo všeobecnosti nemajú na Slovensku rovnaké možnosti uplatnenia sa na trhu práce ako zdraví občania a ich zdravotné postihnutie je pre nich vždy handicapom, preto vytvorenie sociálneho integračného podniku v oblasti tohto podnikania vnímame ako veľmi pozitívnu formu pomoci týmto ľuďom pri uplatnení sa na trhu práce. Takáto pomoc má nepopierateľne priamy dopad na fungovanie slovenskej ekonomiky a rozvoj malého a stredného podnikania, čím dáva priamu šancu vytvoriť pre znevýhodnených ľudí priaznivé podmienky a poskytnúť konkrétnu pomoc v pracovnej oblasti ich života. Náš sociálny integračný podnik budeme aj naďalej lokalizovať v súlade s miestom nášho podnikania, t. j. región Spišská Nová Ves.</t>
  </si>
  <si>
    <t>https://katalogsp.gov.sk/stefan-zabojnik/</t>
  </si>
  <si>
    <t xml:space="preserve"> +421 905 192 598</t>
  </si>
  <si>
    <t>kamenarstvo.zabojnik@gmail.com</t>
  </si>
  <si>
    <t>Kamenárstvo Štefan Zábojník</t>
  </si>
  <si>
    <t>Realizujeme: - dovoz kameňa vlastnou dopravou priamo z kameňolomu na ďalšie opracovanie a následné spracovanie do podoby kamenných kociek, 
 - dovoz náhrobných kameňov vlastnou dopravou, ich finálne úpravy - pieskovanie nápisov, doplnenie ozdôb,
 - rekonštrukcie starých pomníkov
 - rôzne atypické pomníky, 
 - výkop hrobov vlastnými strojmi (bager) a úprava hrobových miest, umiestnenie hrobových platní a konečná úprava terénu na cintoríne,
 - ukladanie dlažby do rôznych vzorov, úprava dvorov súkromným osobám, ale aj ulíc miest podľa dohody,
 - ukladanie dlažobných kociek, ktoré si sami vyrobíme z prírodného kameňa,
 - vytváranie kamenných oplotení, ktoré slúžia ako oporné múry a podobne,
 - výroba interiérových dosiek z prírodného a umelého kameňa s výrezmi na mieru, vrátane technického zámeru a montáže.</t>
  </si>
  <si>
    <t>kamenárske práce</t>
  </si>
  <si>
    <t>KÁMO PLUS s. r. o.</t>
  </si>
  <si>
    <t>ubytovacie a stravovacie služby, potraviny a nápoje, krása-zdravie-relax</t>
  </si>
  <si>
    <t>Mierové námestie 93/26, 019 01 Ilava</t>
  </si>
  <si>
    <t>Ponúkame pre konečných spotrebiteľov kváskové výrobky ako chlieb, pizza, langoše, šišky - chlieb a pečivo z vlasne zomletej múky z obilia KAMUT, JEDNOZRNKA, DVOJZRNKA , ŠPALDA a RAŽ. V ponuke máme aj rôzne druhy zdravých zeleninových a ovocných šalátov. 
 V kaviarni si môžete vychutnať pravú taliansku kávu a rôzne iné kávové špeciality z talianskeho mlieka.
 Ponúkame aj BEMEROTERAPIU a OXIGENOTERAPIU.</t>
  </si>
  <si>
    <t>Podpora zamestnanosti prostredníctvom zamestnávania znevýhodnených osôb alebo zraniteľných osôb.</t>
  </si>
  <si>
    <t>https://katalogsp.gov.sk/kamo-plus-s-r-o/</t>
  </si>
  <si>
    <t xml:space="preserve"> +421 948 010 300</t>
  </si>
  <si>
    <t>melis@kamo.sk</t>
  </si>
  <si>
    <t>BISTRO KÁMO - rýchle občerstvenie</t>
  </si>
  <si>
    <t>Toto rýchle občerstvenie sa zaoberá výrobou a predajom zdravej stravy ako sú rôzne druhy šalátov s falafelom a humusom a pod. Robíme tiež kváskovú pizzu celú a aj kúsky do ruky. Ponúkame aj rôzne smoothy nápoje a čerstvé ovocné a zeleninové šťavy.</t>
  </si>
  <si>
    <t>Zdravé rýchle občerstvenie.</t>
  </si>
  <si>
    <t>DIDA CAFFE</t>
  </si>
  <si>
    <t>Kaviareň so širokou ponukou zákuskov, smoothy nápojov, čerstvých ovocných a zeleninových štiav.</t>
  </si>
  <si>
    <t>Kaviareň.</t>
  </si>
  <si>
    <t>KVÁSKOVÁ PEKÁREŇ KÁMO.</t>
  </si>
  <si>
    <t>Kvásková pekáreň a jej výrobky z čerstvo zomletej múky z obilia KAMUT, JEDNOZRNKA, DVOJZRNKA, RAŽ a ŠPALDA. Ponúkame aj tieto čerstvo zomleté múky.</t>
  </si>
  <si>
    <t>Kvásková pekáreň ponúkame chlieb kamutový, jednozrnkový dvojzrnkový špaldový, ražný a semolínový. A taktiež pečivo z týchto múk.</t>
  </si>
  <si>
    <t>Bemeroterapia a oxigenpterapia</t>
  </si>
  <si>
    <t>Bemeroterapia a oxigenpterapia zaoberá sa čistením najtenších kapilárnych ciev.</t>
  </si>
  <si>
    <t>Sociálny podnik mesta Senica, s. r. o.</t>
  </si>
  <si>
    <t>čistiace a upratovacie služby, poľnohospodárstvo a lesníctvo, dom a záhrada</t>
  </si>
  <si>
    <t>Štefánikova 1318/69A, 905 01 Senica</t>
  </si>
  <si>
    <t>Údržba a starostlivosť o zeleň (kosenie, čistenie komunikácií, hrabanie lístia, výsadba kvetín a drevín, starostlivosť o záhony, orezávanie drevín), maľovanie bytových a nebytových priestorov, upratovacie služby.</t>
  </si>
  <si>
    <t>Zamestnávame 80% znevýhodnených osôb.</t>
  </si>
  <si>
    <t>https://katalogsp.gov.sk/socialny-podnik-mesta-senica-s-r-o/</t>
  </si>
  <si>
    <t xml:space="preserve"> +421 948 059 718</t>
  </si>
  <si>
    <t>nora.cernackova@spms.sk</t>
  </si>
  <si>
    <t>PARK CAFFÉ</t>
  </si>
  <si>
    <t>Ponuka nealkoholických a alkoholických nápojov, zákusky, teplých a studených nápojov</t>
  </si>
  <si>
    <t>ANO</t>
  </si>
  <si>
    <t>Správa cintorína</t>
  </si>
  <si>
    <t>správa cintorínov mesta Senica</t>
  </si>
  <si>
    <t>MILAJA-MEAT r.s.p., s. r. o.</t>
  </si>
  <si>
    <t>potraviny a nápoje, ubytovacie a stravovacie služby,</t>
  </si>
  <si>
    <t>Škultétyho 1985/8, 979 01 Rimavská Sobota</t>
  </si>
  <si>
    <t>Prevádzkujeme jednu reštauráciu a dve maloobchodné predajne zamerané najmä na mäso a mäsové výrobky.</t>
  </si>
  <si>
    <t>Zamestnávame občanov zo skupiny zraniteľných a znevýhodnených osôb.</t>
  </si>
  <si>
    <t>https://katalogsp.gov.sk/milaja-meat-r-s-p-s-r-o/</t>
  </si>
  <si>
    <t xml:space="preserve"> +421 915 898 557</t>
  </si>
  <si>
    <t>gyorgy@papca.sk</t>
  </si>
  <si>
    <t>Reštaurácia EURÓPA</t>
  </si>
  <si>
    <t>V našej reštaurácii ponúkame denné menu aj jedlá na objednávku. V našich priestoroch Vám radi zorganizujeme Vaše rodinné akcie ako promócie, svadby, smútočné posedenia (kary), firemné akcie, životné jubileá, ...</t>
  </si>
  <si>
    <t>MILAJA-MEAT r.s.p., s.r.o.</t>
  </si>
  <si>
    <t>Predajňa mäsa a mäsových výrobkov a trvanlivých potravín.</t>
  </si>
  <si>
    <t>predajňa mäsa</t>
  </si>
  <si>
    <t>Paterson Group s.r.o. R.S.P.</t>
  </si>
  <si>
    <t>čistiace a upratovacie služby, kultúra a šport, potraviny a nápoje, reklama, stavebníctvo,</t>
  </si>
  <si>
    <t>Bidovce 149 , 044 45 Bidovce</t>
  </si>
  <si>
    <t>Čistiaci a upratovaci servis, stavebné práce, gastronomické služby, reklamné a marketingové služby.</t>
  </si>
  <si>
    <t>Zamestnávame 100% znevýhodnené osoby.</t>
  </si>
  <si>
    <t>https://katalogsp.gov.sk/wp-content/uploads/2022/01/Paterson-logo2.jpg</t>
  </si>
  <si>
    <t>https://katalogsp.gov.sk/paterson-group-s-r-o-r-s-p/</t>
  </si>
  <si>
    <t xml:space="preserve"> +421 911 836 362</t>
  </si>
  <si>
    <t>viktor.valik@paterson.sk</t>
  </si>
  <si>
    <t>Výroba a distribúcia potravín formou donáškovej služby, stavebná činnosť, čistiaci a upratovací servis.</t>
  </si>
  <si>
    <t>kaviareň, cukráreň, upratovanie, reštaurácia, komediálny klub, stavby,</t>
  </si>
  <si>
    <t>Comedy club</t>
  </si>
  <si>
    <t>Zábavná a kultúrna činnosť.</t>
  </si>
  <si>
    <t>komediálny klub, reštaurácia, cukráreň, kaviareň</t>
  </si>
  <si>
    <t>Mr. Koláčik cukráreň</t>
  </si>
  <si>
    <t>Cukráreň</t>
  </si>
  <si>
    <t>cukrovinky, kaviareň, koláč,</t>
  </si>
  <si>
    <t>Jedlomat.sk</t>
  </si>
  <si>
    <t>Cukráreň a kaviareň, pizzeria, hamburger, kuracie špeciality.</t>
  </si>
  <si>
    <t>cukrovinky, kaviareň</t>
  </si>
  <si>
    <t>Losstav, s. r. o.</t>
  </si>
  <si>
    <t>stavebníctvo, dom a záhrada, kovovýroba,</t>
  </si>
  <si>
    <t>Púchovská 19/18, 020 01 Streženice</t>
  </si>
  <si>
    <t>Priamy predaj – maloobchod: strešné krytiny, odkvapové systémy a rôzne strešné doplnky. Ponúkame klampiarske a pokrývačské služby.</t>
  </si>
  <si>
    <t>Zachovaním a udržaním už vytvorených pracovných miest pre zamestnancov so zdravotným postihnutím, prípadne i vytvorenie nových pracovných miest s rôznymi formami znevýhodnenia, čím sledujeme hlavný cieľ – služby na podporu regionálneho rozvoja a zamestnanosti, kde kľúčovými zainteresovanými osobami sú v prvom rade zamestnanci spoločnosti.</t>
  </si>
  <si>
    <t>https://katalogsp.gov.sk/losstav-s-r-o/</t>
  </si>
  <si>
    <t xml:space="preserve"> +421 911 546 932</t>
  </si>
  <si>
    <t>losstav@losstav.sk</t>
  </si>
  <si>
    <t>Losstav, s.r.o.</t>
  </si>
  <si>
    <t>Priamy predaj – maloobchod – strešné krytiny, odkvapové systémy a rôzne strešné doplnky; služby – klampiarske a pokrývačské.</t>
  </si>
  <si>
    <t>strešná krytina, odkvapový systém, strešné doplnky, klampiarske práce, pokrývačské práce</t>
  </si>
  <si>
    <t>ASSR, s.r.o., r.s.p.</t>
  </si>
  <si>
    <t>ochrana a bezpečnosť, iné (tovary a služby)</t>
  </si>
  <si>
    <t>Lipová alej 1, 065 44 Plaveč</t>
  </si>
  <si>
    <t>ASSR je poskytovateľom služby SOS gombík, ktorá slúži na monitorovanie a signalizáciu potreby pomoci. Služba SOS gombík má pôsobnosť na celom území Slovenska. 
 Veľkým prínosom tejto služby je jednoduché ovládanie, výhodné najmä v prípadoch obmedzenej pohyblivosti. Služba SOS gombík pomáha zdravotne postihnutým osobám a seniorom vo vysokom veku prežiť svoj život dôstojne, podľa svojich prianí a v prirodzenom prostredí. Neoceniteľnou devízou je pocit spokojnosti a bezpečia, pretože klient sa v prípade potreby vždy dovolá pomoci. Monitoring a signalizáciu potreby pomoci zabezpečuje dispečing ASSR, ktorý spĺňa najnáročnejšie kritériá pre prijímanie tiesňových hovorov. Dispečing ASSR pracuje v režime nepretržitej prevádzky - 24/7.</t>
  </si>
  <si>
    <t>ASSR, s.r.o., r.s.p. na svojom dispečingu, ktorý tvorí najdôležitejšiu súčasť služby, zamestnáva výlučne osoby s ťažkým zdravotným postihnutím. ASSR s.r.o., r.s.p. sa svojou činnosťou podieľa aj na prevencii a ochrane zdravia svojich klientov, keďže v rámci služby SOS gombík poskytujeme možnosť konzultácií s lekárom "Lekár na telefóne".</t>
  </si>
  <si>
    <t>https://katalogsp.gov.sk/assr-s-r-o-r-s-p/</t>
  </si>
  <si>
    <t xml:space="preserve"> +421 905 523 836</t>
  </si>
  <si>
    <t>info@as-sr.sk</t>
  </si>
  <si>
    <t>Dopravná zdravotná služba; Kúpa tovaru na účely jeho predaja konečnému spotrebiteľovi (maloobchod) alebo iným prevádzkovateľom živnosti (veľkoobchod).</t>
  </si>
  <si>
    <t>monitorovanie a signalizácia pomoci, poradenstvo v oblasti zdravotníctva</t>
  </si>
  <si>
    <t>PVC obaly s. r. o.</t>
  </si>
  <si>
    <t>Ligetská 1193/4, 972 51 Handlová</t>
  </si>
  <si>
    <t>Výroba plastových obalov, puzdier z pvc fólie, samolepiace obaly a puzdrá.</t>
  </si>
  <si>
    <t>https://katalogsp.gov.sk/pvc-obaly-s-r-o/</t>
  </si>
  <si>
    <t xml:space="preserve"> +421 905 350 104</t>
  </si>
  <si>
    <t>pvcobaly@gmail.com</t>
  </si>
  <si>
    <t>PVC obaly s.r.o.</t>
  </si>
  <si>
    <t>Výroba výrobkov z pvc fólie - obaly, puzdrá, aj samolepiace, zakladače, poradače.</t>
  </si>
  <si>
    <t>obal, pvc plast, fólia, zakladač, puzdro</t>
  </si>
  <si>
    <t>JASPIRE s.r.o.</t>
  </si>
  <si>
    <t>krása-zdravie-relax, bižutéria a darčekové predmety, vzdelávanie, reklama, vzdelávanie, potraviny a nápoje, iné (tovary a služby),</t>
  </si>
  <si>
    <t>Radničné námestie 1, 902 01 Pezinok</t>
  </si>
  <si>
    <t>Naša spoločnosť je zameraná na výrobu prírodnej kozmetiky, mydiel, polodrahokamových náramkov a doplnkové výrobky v súvislosti s kameňmi. Sme výrobcovia sviečok z rôznych druhov voskov so zameraním na energetické, ezoterické, dekoračné, vonné a reklamné podľa požiadaviek našich klientov. Predmetom podnikania spoločnosti je aj maloobchod, veľkoobchod, poradenská a vzdelávacia činnosť. Pomáhame zákazníkom pri individuálnom výbere produktov, učíme prevencii v oblasti zdravia prostredníctvom aromaterapie, fytoterapie, petroterapie. Poskytujeme vzdelávanie pre Akadémiu 3. veku v Pezinku. Našimi klientami či zákazníkmi sú predajne s darčekovým sortimentom, predajne so zdravou výživou a zariadenia zaoberajúce sa starostlivosťou o človeka.</t>
  </si>
  <si>
    <t>Zamestnávame znevýhodnené osoby a zamestnancov ZŤP.</t>
  </si>
  <si>
    <t>https://katalogsp.gov.sk/wp-content/uploads/2022/06/Jaspire_link-v-AwT.jpg</t>
  </si>
  <si>
    <t>https://katalogsp.gov.sk/jaspire-s-r-o/</t>
  </si>
  <si>
    <t xml:space="preserve"> +421 903 739 888</t>
  </si>
  <si>
    <t>jaspire.office@gmail.com</t>
  </si>
  <si>
    <t>Výroba prírodnej kozmetiky, mydiel, sviečok, výrobkov z minerálov, polodrahokamov. Distribúcia esenciálnych olejov, sušeného ovocia, orieškov, vykurovadiel. Maloobchod, predaj čajov, fytoterapie, sušeného ovocia, orieškov, kamene, náramky, sviečky a poradenstvo v oblasti prevencie zdravia.</t>
  </si>
  <si>
    <t>čaje, kamene, sviečky, fytoterapia, náramky, aromaterapia, vzdelávanie</t>
  </si>
  <si>
    <t>ANNEX Martin, s.r.o.</t>
  </si>
  <si>
    <t>auto-moto, kovovýroba, iné (tovary a služby)</t>
  </si>
  <si>
    <t>Námestie protifašistických bojovníkov 1706, 036 01 Martin</t>
  </si>
  <si>
    <t>Malo+veľkopredaj ložísk, hadíc, filtrov gumových tesniacich prvkov, náhradných dielov pre osobné vozidlá, obrábacie stroje, traktory, motory; ponúkame sortiment pre dielne ako náradie, pomôcky i celkovú údržbu prevádzok. Zákazníci sú z radov poľnohospodárskych družstiev. okolitých výrobných závodov, drobní sukromní podnikatelia a občania.</t>
  </si>
  <si>
    <t>Prospešnosť nášho podniku je najmä v rýchlej pomoci pri obstaraní predmetných dielov, v poradenstve a v krátkom dodacom termíne.</t>
  </si>
  <si>
    <t>https://katalogsp.gov.sk/wp-content/uploads/2022/01/ANNEX-Martin-naradie.jpg</t>
  </si>
  <si>
    <t>https://katalogsp.gov.sk/annex-martin-s-r-o/</t>
  </si>
  <si>
    <t xml:space="preserve"> +421 428 89 14, +421 908 152 692, +421 918 478 444</t>
  </si>
  <si>
    <t>info@annex.sk,</t>
  </si>
  <si>
    <t>ANNEX Martin s.r.o.</t>
  </si>
  <si>
    <t>Malopredaj a veľkopredaj náhradných dielov.</t>
  </si>
  <si>
    <t>náhradné diely pre automobily a priemysel, ložiská, hadice, súčiastky, dielňa, údržba, motory, traktory, obrábacie stroje</t>
  </si>
  <si>
    <t>FINXZA, s. r. o.</t>
  </si>
  <si>
    <t>Odtrnovie 697, 013 22 Rosina</t>
  </si>
  <si>
    <t>Poskytujeme komplexné upratovacie a čistiace práce pre domácnosti a firmy v rámci Slovenska. Na základe individuálnych požiadaviek zabezpečíme pravidelné upratovanie, generálne alebo špeciálne technologické upratovanie, čistenie stavebných konštrukcií a výrobných technológií.
 Postaráme sa o čistenie kobercov, ošetrenie podlahových plôch s aplikáciou voskov. Špecializujeme sa na priemyselné čistenie podláh, výrobných strojov, liniek a celých prevádzok. Samozrejmosťou je umývanie okien, žalúzií, presklených plôch, fasád, robíme aj výškové práce a čistenie.</t>
  </si>
  <si>
    <t>Spoločenský dopad spočíva v ochrane životného prostredia a zdravia obyvateľstva. Poskytujeme služby na podporu regionálneho rozvoja a zamestnanosti. Cieľom je budovať uvedomelú a spravodlivú spoločnosť.</t>
  </si>
  <si>
    <t>https://katalogsp.gov.sk/wp-content/uploads/2022/01/FINXZA-2.jpg</t>
  </si>
  <si>
    <t>https://katalogsp.gov.sk/finxza-s-r-o/</t>
  </si>
  <si>
    <t xml:space="preserve"> +421 911 144 522</t>
  </si>
  <si>
    <t>finx@finx.sk</t>
  </si>
  <si>
    <t>Profesionálne upratovacie služby s individuálnym prístupom.</t>
  </si>
  <si>
    <t>upratovanie, upratovacie služby, čistenie, upratovací servis, profesionálne upratovanie, umývanie okien, voskovanie podlahy, čistenie strojov, liniek, umývanie fasád, výškové práce, čistenie kobercov, tepovanie, dezinfekcia, čistenie ozónom, hygienický servis</t>
  </si>
  <si>
    <t>T-Tatra s. r. o.</t>
  </si>
  <si>
    <t>reklama, obaly, nábytok a bytové doplnky, pre deti, bižutéria a darčekové predmety, iné (tovary a služby)</t>
  </si>
  <si>
    <t>Kúpeľná 35, 053 04 Spišské Podhradie</t>
  </si>
  <si>
    <t>Drevovýroba, veľkoformátové rezanie laserom, výroba reklamných a darčekových predmetov z dreva, výroba slnečných okuliarov, drevených okuliarových rámov, vianočných ozdôb, krytov na telefón, drevených zubných kefiek...</t>
  </si>
  <si>
    <t>https://katalogsp.gov.sk/t-tatra-s-r-o/</t>
  </si>
  <si>
    <t>+421 902 896 755</t>
  </si>
  <si>
    <t>shop@t-tatra.com</t>
  </si>
  <si>
    <t>T-Tatra</t>
  </si>
  <si>
    <t>Drevovýroba, reklama, darčeky, online predaj</t>
  </si>
  <si>
    <t>Drevovýroba, reklama, darčeky, online predaj, veľkoformátové rezanie laserom, reklamné predmety z dreva, slnečné okuliare, drevené okuliarové rámy, vianočné ozdoby, kryty na telefón, drevené zubné kefky, kefka, 
doplnky, drevené omaľovánky</t>
  </si>
  <si>
    <t>skula s. r. o.</t>
  </si>
  <si>
    <t>čistiace a upratovacie služby, dom a záhrada, účtovníctvo a poradenstvo, iné (tovary a služby)</t>
  </si>
  <si>
    <t>Sasinkova 5028/52, 921 01 Piešťany</t>
  </si>
  <si>
    <t>Ako spoločnosť skula s. r. o. sa primárne zameriavame na poskytovanie čistiacich a upratovacích služieb iným podnikateľským subjektom. Realizujeme bežné a nadštandardné čistenie kancelárskych priestorov, priemyselných budov a výrobných hál. Iní naši zamestnanci sa špecializujú na poskytovanie administratívno - účtovných služieb, riešenie účtovnej, personálnej a mzdovej agendy.</t>
  </si>
  <si>
    <t>V našom podniku dávame priestor znevýhodneným a bežným zamestnancom realizovať ich pracovné ale vlastne aj životné ciele spoločne, pričom toto spojenie sa nám ukázalo ako veľmi prospešné pre obe skupiny zamestnancov. Spokojní a motivovaní zamestnanci u nás tvoria spokojného klienta.</t>
  </si>
  <si>
    <t>https://katalogsp.gov.sk/skula-s-r-o/</t>
  </si>
  <si>
    <t>+421 914 276 093</t>
  </si>
  <si>
    <t>skulasro@gmail.com</t>
  </si>
  <si>
    <t>Čistiace a upratovacie služby / účtovníctvo a poradenstvo</t>
  </si>
  <si>
    <t>čistiace a upratovacie služby, účtovníctvo a poradenstvo, iné (tovary a služby)</t>
  </si>
  <si>
    <t>ISP security s.r.o.</t>
  </si>
  <si>
    <t>M. Pišúta 979/4, 031 01 Liptovský Mikuláš</t>
  </si>
  <si>
    <t>Firma poskytuje monitorovacie služby v oblasti súkromnej bezpečnosti prostredníctvom videopultu centrálnej ochrany. Medzi našich zákazníkov patria samosprávy, obce a mestá, komerčné objekty, podniky a výrobné areály, pre ktoré zabezpečujeme kamerové systémy. Poskytujeme technické prostriedky (kamery, alarmy, videokomunikátor, automatizáciu otvárania brán ..), ktoré pripojíme na náš pult. Zákazník má k dispozícii servis, prístup k archívu a obrazu kamier. Úspora nákladov je až do 70% oproti bežnému fyzickému stráženiu objektu.</t>
  </si>
  <si>
    <t>Naša spoločnosť zamestnáva znevýhodnené a zraniteľné osoby a poskytujeme služby v oblasti ochrany zdravia a bezpečnosti občanov.</t>
  </si>
  <si>
    <t>https://katalogsp.gov.sk/isp-security-s-r-o/</t>
  </si>
  <si>
    <t>+421 917 257 908</t>
  </si>
  <si>
    <t>ispsecurity@ispsecurity.sk</t>
  </si>
  <si>
    <t>Poskytovanie monitorovacích služieb v oblasti súkromnej bezpečnosti, videopult centrálnej ochrany</t>
  </si>
  <si>
    <t>súkromná bezpečnostná služba, sbs, bezpečnosť, security, monitoring, kamera,</t>
  </si>
  <si>
    <t>FM - Trans SK, s.r.o.</t>
  </si>
  <si>
    <t>stavebníctvo, doprava, odpady a recyklácia, obaly</t>
  </si>
  <si>
    <t xml:space="preserve">Kľačno 25, 972 15 Kľačno </t>
  </si>
  <si>
    <t>Naše služby sú určené pre fyzické osoby, právnické osoby ale aj verejných obstarávateľov - verejné správy či samosprávy. 
Zabezpečujeme služby v oblastiach:
- odpadové hospodárstvo - odber a odvoz komunálnych, priemyselných, stavebných a nebezpečných odpadov, triedenie - recyklácia/zhodnocovanie odpadov, odstraňovanie a likvidácia azbestu,
- stavebníctvo - zemné a výkopové práce, búracie práce, dokončovacie stavebné práce, dovoz a odvoz stavebných materiálov.</t>
  </si>
  <si>
    <t xml:space="preserve">Výnimočnosť našich služieb spočíva v komplexnosti ich zabezpečenia.  Zároveň sa vytváraním dlhodobo stabilných pracovných miest pre znevýhodnené a zraniteľné osoby  snažíme prispieť ich sociálnemu rozvoju, rozvoju finančnej gramotnosti a osvojeniu si pracovných návykov. </t>
  </si>
  <si>
    <t>https://katalogsp.gov.sk/wp-content/uploads/2022/06/FM-TRANS-SK-banner3-KatalogSP.jpg</t>
  </si>
  <si>
    <t>https://katalogsp.gov.sk/fm-trans-sk-s-r-o/</t>
  </si>
  <si>
    <t>+421 908 523 154</t>
  </si>
  <si>
    <t>info@fmtrans.sk</t>
  </si>
  <si>
    <t>Skladovanie a triedenie odpadov</t>
  </si>
  <si>
    <t xml:space="preserve">odpad, recyklácia, zhodnocovanie odpadov, azbest, cestná nákladná doprava, stavebníctvo, zemné práce, výkopové práce, stavebný materiál, búracie práce, likvidácia, dovoz, </t>
  </si>
  <si>
    <t>KreaTivO, s.r.o.</t>
  </si>
  <si>
    <t>vzdelávanie, kultúra a šport, pre deti</t>
  </si>
  <si>
    <t xml:space="preserve">Gen. M.R.Štefánika 372/9, 911 01 Trenčín </t>
  </si>
  <si>
    <t>Naším hlavným programom sú služby pre deti, organizujeme a zabezpečujeme rôzne súkromné a firemné akcie. Školám a rodičom ponúkame vzdelávacie LEGO® kurzy, programy pre školské výlety,  mimoškolskú činnosť, narodeninové oslavy, počas školských prázdnin denné tábory. Pre firmy ponúkame netradičné programy pri firemných akciách a teambuildingoch, programy pre deti zamestnancov.</t>
  </si>
  <si>
    <t>Tvorba spoločenského prospechu v oblasti rozvoja a vzdelávania detí a mládeže, ako aj zamestnávania osôb zo znevýhodnených skupín.</t>
  </si>
  <si>
    <t>https://katalogsp.gov.sk/wp-content/uploads/2022/06/kreativo-banner-KatalogSP-2.jpg</t>
  </si>
  <si>
    <t>https://katalogsp.gov.sk/kreativo-s-r-o/</t>
  </si>
  <si>
    <t>+421 915 863 688</t>
  </si>
  <si>
    <t>kreativotrencin@gmail.com</t>
  </si>
  <si>
    <t>Mimoškolská činnosť, vzdelávacie LEGO® kurzy, narodeninové oslavy, programy pre školy, školské kluby a škôlky, programy pre firmy - firemné akcie, teambuildingy</t>
  </si>
  <si>
    <t>Lego, kurzy, vzdelávanie, deti, tábory, výlety, hra, zábava, teambuilding, oslava, škola, firemná akcia, aktivity, program, tréning, rozvoj, lektor, metodika, narodeniny, mimoškolská činnosť</t>
  </si>
  <si>
    <t>KomPaS, s.r.o.</t>
  </si>
  <si>
    <t>poľnohospodárstvo a lesníctvo, dom a záhrada, stavebníctvo, doprava</t>
  </si>
  <si>
    <t>Sobotská 10/1, 980 02 Jesenské</t>
  </si>
  <si>
    <t>Naša firma ponúka služby v oblasti domácnosti: starostlivosť o dvor a záhradu (kosenie, rotavátorovanie, oranie), drobné stavebné práce, výruby stromov, prepravu materiálov menších rozmerov. Pre obce ponúkame služby ako opravy a udržiavanie verejného osvetlenia, výkopové práce, natieranie a maľovanie a iné rôzne práce podľa potreby.</t>
  </si>
  <si>
    <t xml:space="preserve">Vykonávame služby, ktoré by pre iné podniky neboli ekonomicky výnosné, ale pre obyvateľstvo sú potrebné. Pokrývame viac druhov služieb v jednom podniku. Snažíme sa zamestnávať osoby, ktoré potrebujú adaptáciu do miestneho pracovného prostredia.  </t>
  </si>
  <si>
    <t>https://katalogsp.gov.sk/wp-content/uploads/2022/06/KomPaS-banner-KatalogSP-3.jpg</t>
  </si>
  <si>
    <t>https://katalogsp.gov.sk/kompas-s-r-o-r-s-p/</t>
  </si>
  <si>
    <t>+421 911 202 113</t>
  </si>
  <si>
    <t>kompasjesenske@azet.sk</t>
  </si>
  <si>
    <t>KomPaS, s.r.o., r.s.p.</t>
  </si>
  <si>
    <t>Naša firma ponúka služby v oblasti domácnosti - starostlivosť o dvor a záhradu (kosenie, rotavátorovanie, oranie), drobné stavebné práce, výruby stromov, prepravu materiálov menších rozmerov. Pre obce ponúkame služby ako opravy a udržiavanie verejného osvetlenia, výkopové práce, natieranie a maľovanie a iné rôzne práce podľa potreby.</t>
  </si>
  <si>
    <t xml:space="preserve">oranie, zemné práce, kosenie, rotavátorovanie, opravy, maľovanie, drobné stavebné práce, výkopové práce, výruby stromov, preprava materiálov menších rozmerov, doprava, </t>
  </si>
  <si>
    <t>DUO WORK, s.r.o.</t>
  </si>
  <si>
    <t>Tamaškovičova 2742/17, 917 01 Trnava</t>
  </si>
  <si>
    <t>Sme záhradnícka spoločnosť, ktorá sa zaoberá realizáciou verejnej a súkromnej zelene. Riešime drobné záhradné práce ako strihanie a orezávanie stromov a kríkov v záhradách, výsadba, drvenie, čistiace a upratovacie práce v exteriéroch, nosenie ťažších bremien na dvoroch, v interiéri a drobné stavebné práce ako osádzanie lavičiek, fontán, oplotenia, altánky, pergoly, obrubníky, chodníky, závlahy, rekonštrukcia čerpacej techniky, čerpadlá.
Prioritne reagujeme na potreby klientov predovšetkým v obciach, a to konkrétne občanov ZŤP, seniorov, osamelých rodičov s malými deťmi či občanov, ktorí nemajú potrebné vybavenie a skúsenosti s údržbou záhrad či už sezónne alebo počas celého roka. Nakoľko každá služba a každý klient je iný, prispôsobujeme svoj prístup individuálnym požiadavkám klientov s ohľadom na typ služby.</t>
  </si>
  <si>
    <t>Naším cieľom je vytváranie a udržanie pracovných pozícií pre znevýhodnené a zraniteľné osoby a ich integrácia do pracovného procesu v oblasti pôsobenia spoločnosti.
Zamestnávame zdravotne znevýhodnené osoby.</t>
  </si>
  <si>
    <t>https://katalogsp.gov.sk/wp-content/uploads/2022/06/DUO-WORK-zahradnictvo-KatalogSP.jpg</t>
  </si>
  <si>
    <t>https://katalogsp.gov.sk/duo-work-s-r-o/</t>
  </si>
  <si>
    <t>+421 902 787 375</t>
  </si>
  <si>
    <t>duowork@duowork.sk</t>
  </si>
  <si>
    <t>Sme záhradnícka spoločnosť, ktorá sa zaoberá realizáciou verejnej a súkromnej zelene.</t>
  </si>
  <si>
    <t>záhradné služby, kosenie, výsadba, pílenie, závlaha, strihanie kríkov, orezávanie stromov, nosenie ťažších bremien, drobné stavebné práce, závlahy, čerpadlá</t>
  </si>
  <si>
    <t>DP-ZvarMont s.r.o.</t>
  </si>
  <si>
    <t>Ružová 576/33, 065 44 Plaveč</t>
  </si>
  <si>
    <t>Ponúkame pieskovanie, zváranie, výrobu železa, konštrukcií a montáž. Sme schopní pripraviť, zostaviť a spojiť širokú škálu kovov i kovových zliatin s využitím rôznych zváracích procesov. Vieme použiť to najvhodnejšie vybavenie, postup aj metodiku v závislosti od materiálu, ktorý je spájaný.</t>
  </si>
  <si>
    <t>Prispievame k dosahovaniu pozitívneho sociálneho vplyvu poskytovaním spoločensky prospešnej služby v oblasti zamestnanosti, a to zamestnávaním
znevýhodnených a/alebo zraniteľných osôb. Tieto si osvoja pracovné návyky a získajú nové zručnosti pre výkon povolania, čo zvýši šance na ich opätovné spoločenské začlenenie berúc do úvahy ich novonadobudnutú mieru finančnej autonómie a samostatnosti, sebadôvery či schopnosti fungovať v prostredí pracovného kolektívu. Uvedené bude mať na tieto osoby pozitívny sociálny vplyv, dôjde k ich začleneniu z okraja spoločnosti do reálneho života.</t>
  </si>
  <si>
    <t>https://katalogsp.gov.sk/wp-content/uploads/2022/06/DP-ZvarMont-foto2-KatalogSP.jpg</t>
  </si>
  <si>
    <t>https://katalogsp.gov.sk/dp-zvarmont-s-r-o-r-s-p/</t>
  </si>
  <si>
    <t>+421 903 480 668</t>
  </si>
  <si>
    <t>duchpavol@dp-zvarmont.sk</t>
  </si>
  <si>
    <t>DP-ZvarMont s.r.o., r.s.p.</t>
  </si>
  <si>
    <t xml:space="preserve">Zaoberáme sa strojárskou výrobou, kovovýrobou, zámočníckymi a zváračskými prácami, montážnymi a lakovníckymi prácami. </t>
  </si>
  <si>
    <t>kovovýroba, zváranie, výroba železa, výroba konštrukcií, montáž, konštrukcie, pieskovanie, povrchová úprava, železo</t>
  </si>
  <si>
    <t>CIBEKA s.r.o., r.s.p.</t>
  </si>
  <si>
    <t>čistiace a upratovacie služby, dom a záhrada, stavebníctvo,</t>
  </si>
  <si>
    <t xml:space="preserve">Hlavná 1721/157, 056 01 Gelnica 
</t>
  </si>
  <si>
    <t xml:space="preserve">Našim kľúčovým predmetom podnikania je poskytovanie komplexnej služby prania a žehlenia hlavne pre oblasť:  hotelierstva a gastronómie, zdravotníctva priemyslu a zdravotníctva.
Realizujeme stavebnú činnosť a maľovanie interiérov a exteriérov. Poskytujeme komplexné upratovacie služby pre firmy a domácnosti.
</t>
  </si>
  <si>
    <t xml:space="preserve">Snažíme sa o dosahovanie prosociálnych cieľov snášho podnikania, o napĺňanie pozitívneho sociálneho vplyvu, najmä stimuláciou a aktívnou pomocou ľuďom, ktorí to majú v živote ťažšie. Podporujeme zamestnanosť/zamestnateľnosť osôb z okruhu vhodných recipientov – znevýhodnených a zraniteľných osôb, žijúcich v spádovej oblasti mikroregiónu Gelnice, a to s optimalizáciou využitia nástrojov tzv. aktívnych opatrení na trhu práce. 
</t>
  </si>
  <si>
    <t>https://katalogsp.gov.sk/cibeka-s-r-o/</t>
  </si>
  <si>
    <t>+421 948 421 960, +421 911 298 432</t>
  </si>
  <si>
    <t>info@cibeka.sk</t>
  </si>
  <si>
    <t>CIBEKA s.r.o.</t>
  </si>
  <si>
    <t xml:space="preserve">PRÁČOVŇA
Našim kľúčovým predmetom podnikania je poskytovanie komplexnej služby prania a žehlenia hlavne pre oblasť:  hotelierstva a gastronómie, zdravotníctva priemyslu a zdravotníctva.
STAVEBNÉ  A  MALIARSKE PRÁCE
Realizujeme stavebnú činnosť a maľovanie interiérov a exteriérov.
UPRATOVACIE  SLUŽBY
Poskytujeme komplexné upratovacie služby pre firmy a domácnosti.
</t>
  </si>
  <si>
    <t>stavebné práce, kosenie, práčovňa, žehlenie, drobné stavby, rekonštrukcie, modernizácie interiérov, opravy a údržba interiérov a exteriérov, starostlivosť o domácnosť</t>
  </si>
  <si>
    <t>OCTAN plus s.r.o.</t>
  </si>
  <si>
    <t>ochrana a bezpečnosť, odevy a obuv</t>
  </si>
  <si>
    <t>Hlavná 249, 925 03 Horné Saliby</t>
  </si>
  <si>
    <t xml:space="preserve">Na základe dlhoročných skúseností a odborných znalostí sme schopní našim zákazníkom poskytnúť komplexné riešenie v oblasti OOPP, čo zahŕňa aj šitie pracovných odevov na mieru - rôzne strihové a farebné riešenia, označenie firemným logom; ponúkame odevné doplnky a ostatné OOPP + reklamné predmety. Používame rôzne strihy a veľa druhov materiálu.  V oblasti ochrany pri práci pôsobíme už od roku 1992. Používaním kvalitných materiálov, pohodlných strihov a kvalitných doplnkov uspokojujeme požiadavky odberateľov. Používame rôzne strihy a veľa druhov materiálu.  </t>
  </si>
  <si>
    <t xml:space="preserve">Spoločnosti Octan plus s.r.o. bol v júni 2021 priznaný štatút registrovaného sociálneho podniku.
Znamená to, že v Octane podporujeme zamestnanosť zdravotne znevýhodnených a zraniteľných osôb. </t>
  </si>
  <si>
    <t>https://katalogsp.gov.sk/octan-plus-s-r-o/</t>
  </si>
  <si>
    <t>+421 915 976 533</t>
  </si>
  <si>
    <t>obchod@octan.sk</t>
  </si>
  <si>
    <t>Výroba pracovných odevov a doplnkov na mieru.</t>
  </si>
  <si>
    <t>pracovné odevy, špeciálne odevy, potlač, výšivka, OOPP, šitie,</t>
  </si>
  <si>
    <t>Centrála s. r. o.</t>
  </si>
  <si>
    <t>ubytovacie a stravovacie služby, účtovníctvo a poradenstvo</t>
  </si>
  <si>
    <t>Narcisová 410/5/A, 040 11 Košice</t>
  </si>
  <si>
    <t>Ponúkame účtovné a administratívne služby, spracovanie a vedenie projektov, konzultačnú činnosť, prenájom apartmánového ubytovania, náhradné plnenie.</t>
  </si>
  <si>
    <t>Pozitívny sociálny vplyv dosahujeme percentom zamestnávania znevýhodnených a zraniteľných zamestnancov.</t>
  </si>
  <si>
    <t>https://katalogsp.gov.sk/centrala-s-r-o/</t>
  </si>
  <si>
    <t>+421 911 749 291</t>
  </si>
  <si>
    <t>centrala.rsp.ip@gmail.com</t>
  </si>
  <si>
    <t>Centrála s.r.o.</t>
  </si>
  <si>
    <t>Spracovanie účtovníctva, miezd, daní, dph, spracovanie a vedenie projektov, konzultačná činnosť, ubytovacie služby.</t>
  </si>
  <si>
    <t xml:space="preserve">účtovníctvo, dane, projekty, ubytovanie, administratívne služby, náhradné plnenie, </t>
  </si>
  <si>
    <t>Autodiely OMEGA, s.r.o.</t>
  </si>
  <si>
    <t>Morovnianska cesta 1723/2, 972 51 Handlová</t>
  </si>
  <si>
    <t>Maloobchod a veľkoobchod s náhradnými dielmi a doplnkovým tovarom na motorové vozidlá pre firmy a koncových zákazníkov.</t>
  </si>
  <si>
    <t>Ako pozitívny spoločenský dopad vnímame možnosť dať prácu zdravotne znevýhodneným zamestnancom. V prípade dosahovania zisku tento chceme v plnej miere využiť na zlepšenie pracovného prostredia, na regeneráciu pracovnej sily, na nákup nových technických zariadení, ktoré uľahčia zamestnancom prácu a zvýšia jej produktivitu.</t>
  </si>
  <si>
    <t>https://katalogsp.gov.sk/autodiely-omega-s-r-o/</t>
  </si>
  <si>
    <t>+421 908 757 737</t>
  </si>
  <si>
    <t>info@autodielyomega.sk</t>
  </si>
  <si>
    <t>Náhradné diely a doplnkový tovar na motorové vozidlá.</t>
  </si>
  <si>
    <t>náhradné diely, doplnkový tovar na motorové vozidlá, auto-moto</t>
  </si>
  <si>
    <t>Projman s.r.o.</t>
  </si>
  <si>
    <t>Trnavská 1355/7, 010 08 Žilina</t>
  </si>
  <si>
    <t xml:space="preserve">Sme spoločnosť, ktorá poskytuje služby v oblasti získavania grantov a dotácií, prípravy a riadenia projektov, poskytovania administratívnych služieb a tvorby strategických dokumentov. Našimi zákazníkmi sú spoločnosti, ktoré chcú získať grant, potrebujú pomôcť s realizáciou projektu alebo nemajú dostatočné administratívne kapacity. </t>
  </si>
  <si>
    <t>Cieľom nášho podnikania nie je maximalizácia zisku, ktorý sa rozdeľuje medzi individuálnych vlastníkov, ale poskytovanie spoločensky prospešných služieb.
Znevýhodneným zamestnancom dávame možnosť na sebarealizáciu. Vďaka tomu sa popri zamestnaní zapájajú do bežného života.</t>
  </si>
  <si>
    <t>https://katalogsp.gov.sk/projman-s-r-o/</t>
  </si>
  <si>
    <t>+421 903 709 825</t>
  </si>
  <si>
    <t>projman@projman.sk</t>
  </si>
  <si>
    <t>Poskytujeme poradenské a administratívne služby</t>
  </si>
  <si>
    <t>dotácie, granty, administratívne služby, poradenstvo,</t>
  </si>
  <si>
    <t>TSM Dubnica nad Váhom, s.r.o.</t>
  </si>
  <si>
    <t>odpady a recyklácia, dom a záhrada, doprava, iné (tovary a služby)</t>
  </si>
  <si>
    <t>Nádražná 4007, 018 41 Dubnica nad Váhom</t>
  </si>
  <si>
    <t>Hlavnými činnosťami spoločnosti sú zimná a letná údržba vozoviek, komunikácií, údržba zelene, vnútroštátna cestná nákladná doprava, triedenie a zber komunálneho a separovaného odpadu.</t>
  </si>
  <si>
    <t>https://katalogsp.gov.sk/wp-content/uploads/2022/08/TSM-1-RSP-KatalogSP.jpg</t>
  </si>
  <si>
    <t>https://katalogsp.gov.sk/tsm-dubnica-nad-vahom-s-r-o/</t>
  </si>
  <si>
    <t>+421 915 888 110</t>
  </si>
  <si>
    <t>michaela.gasparova@tsmdubnica.sk</t>
  </si>
  <si>
    <t>TSM Dubnica nad Váhom, s.r.o., r.s.p.</t>
  </si>
  <si>
    <t>Údržba verejnej zelene, odpadové hospodárstvo</t>
  </si>
  <si>
    <t>odpady, zeleň, kosenie, doprava</t>
  </si>
  <si>
    <t>KM Equipment s.r.o. r.s.p.</t>
  </si>
  <si>
    <t>elektro, iné (tovary a služby)</t>
  </si>
  <si>
    <t>Hradná 577/35, 946 51 Nesvady</t>
  </si>
  <si>
    <t xml:space="preserve">Sme výrobno obchodná spoločnosť zameraná na vývoj a výrobu dielenských indukčných ohrevov. </t>
  </si>
  <si>
    <t>Zamestnávame znevýhodnené osoby a etablujeme ich do pracovného procesu.</t>
  </si>
  <si>
    <t>https://katalogsp.gov.sk/wp-content/uploads/2022/08/KM-Equipment_kmi-heater.jpg</t>
  </si>
  <si>
    <t>https://katalogsp.gov.sk/km-equipment-s-r-o-r-s-p/</t>
  </si>
  <si>
    <t>+421 918 188 128</t>
  </si>
  <si>
    <t>obchod@kmshop.sk</t>
  </si>
  <si>
    <t>KM Equipment</t>
  </si>
  <si>
    <t>Výroba indukčných ohrevov. Sklad a maloobchodná predajňa zváracej techniky a špeciálneho vybavenia pre zváračov</t>
  </si>
  <si>
    <t>indukčný ohrev, cievky, zváracia technika, elektródy, zváracie drôty, maloobchod, výroba, zahraničný obchod</t>
  </si>
  <si>
    <t>SILVANIA s.r.o, R.S.P</t>
  </si>
  <si>
    <t>stavebníctvo, nábytok a bytové doplnky, iné (tovary a služby)</t>
  </si>
  <si>
    <t>M. R. Štefánika 14, 990 01 Veľký Krtíš</t>
  </si>
  <si>
    <t>Výroba a predaj bezpečnostných dverí, predaj interiérových dverí, podláh rôzneho druhu a plastových okien. Realizujeme tiež montáž dverí, okien a podláh. Maloobchod a veľkoobchod.</t>
  </si>
  <si>
    <t>Zamestnávame zdravotne znevýhodnených ľudí a tým pozitívne vplývame na zamestnanosť v okrese.</t>
  </si>
  <si>
    <t>https://katalogsp.gov.sk/wp-content/uploads/2022/08/Silvania-foto1-KatalopSP.jpg</t>
  </si>
  <si>
    <t>https://katalogsp.gov.sk/silvania-s-r-o-r-s-p/</t>
  </si>
  <si>
    <t>+421 902 890 471</t>
  </si>
  <si>
    <t>itmdvere@gmail.com</t>
  </si>
  <si>
    <t>Na našej prevádzke ponúkame široký sortiment dverí, okien a podláh. Realizujeme tiež všetky služby s tým spojené.</t>
  </si>
  <si>
    <t>Dvere, okná, podlahy, montáž</t>
  </si>
  <si>
    <t>x pain clinic relax s.r.o.</t>
  </si>
  <si>
    <t>J. Siváka 145/1, 971 01 Prievidza</t>
  </si>
  <si>
    <t>Ponúkame masážne a relaxačné služby. Venujeme sa starostlivosti o telo.</t>
  </si>
  <si>
    <t>https://katalogsp.gov.sk/x-pain-clinic-relax-s-r-o/</t>
  </si>
  <si>
    <t>+421 908 620 508</t>
  </si>
  <si>
    <t>xpainclinic@xpainclinic.sk</t>
  </si>
  <si>
    <t>Relax, masáž, starostlivosť o telo</t>
  </si>
  <si>
    <t>masáž, starostlivosť o telo, zdravie</t>
  </si>
  <si>
    <t>PROTEKTA, s.r.o. r.s.p.</t>
  </si>
  <si>
    <t>Domašská 670/4, 093 02 Vranov nad Topľou</t>
  </si>
  <si>
    <t xml:space="preserve">Ponúkame služby upratovania domácností, firiem, kancelárií, multifunkčných budov a iných priestorov. Vykonávame jednorazové alebo pravidelné upratovanie. 
Každý priestor je špecifický a potreby našich zákazníkov sú rôzne, preto pi poskytovaní upratovacích služieb pristupujeme ku každému klientovi individuálne. 
Našou snahou je, aby ste boli spokojnými zákazníkmi a vážime si Vašu podporu.
</t>
  </si>
  <si>
    <t xml:space="preserve">Na základe záujmu o rozvoj regiónu vznikla myšlienka založiť sociálny podnik, ktorý bude zamestnávať zamestnancov s rôznymi druhmi znevýhodnenia a tak prispievať k znižovaniu nezamestnanosti v regióne.
Pomáhame integrácii znevýhodnených skupín zamestnancov na trh práce, tak aby svoje nadobudnuté skúsenosti z praxe mohli využiť v ďalšom zamestnaní. Ponúkame aj možnosť mladým ľuďom zamestnať sa, aby z regiónu neodchádzali a zostali tu pracovať a žiť.
Poskytujeme prácu znevýhodneným osobám a ľudom so zdravotným postihnutím preto, že aj napriek svojim “obmedzeniam” či nedostatočným pracovným skúsenostiam sú plnohodnotnými a rovnocennými občanmi. 
V ich živote zohráva veľmi dôležitú úlohu práca, keďže práve vďaka nej získavajú praktické skúsenosti, pocit sebarealizácie a užitočnosti pre spoločnosť.
</t>
  </si>
  <si>
    <t>https://katalogsp.gov.sk/protekta-s-r-o-r-s-p/</t>
  </si>
  <si>
    <t>+421 908 513 074</t>
  </si>
  <si>
    <t>info@protekta.sk</t>
  </si>
  <si>
    <t>Poskytujeme jednorazové alebo pravidelné upratovanie rôznych priestorov a lokalít: - domácností a nebytových priestorov - bytov a domov - predajní a firemných priestorov - komplexné umývanie okien a výkladov - kosenie trávnatých porastov - údržba chodníkov v zimných mesiacoch.</t>
  </si>
  <si>
    <t>upratovanie bytových priestorov a medziposchodí,  upratovanie bytov a domov,  upratovanie predajní a firemných priestorov, umývanie okien a výkladov,  kosenie trávnatých porasto,v  údržba chodníkov ,</t>
  </si>
  <si>
    <t xml:space="preserve">Kvalitné služby s.r.o. </t>
  </si>
  <si>
    <t>čistiace a upratovacie služby, dom a záhrada, cestovný ruch, odpady a recyklácia</t>
  </si>
  <si>
    <t>SNP 711/23, 990 01 Veľký Krtíš</t>
  </si>
  <si>
    <t xml:space="preserve">Poskytujeme upratovacie služby a dávame šancu zdravotne znevýhodneným na lepší život. Upratujeme: byty, domy, kancelárie, ateliéry, atď. Umyjeme všetko, od okien, cez tepovanie, až po podlahy. 
</t>
  </si>
  <si>
    <t xml:space="preserve">Sme firma, ktorá zamestnáva zdravotne znevýhodnených ľudí (napr. slabo počujúcich). Naši pracovníci sú dôkladne vyberaní, zaškolení a pri práci používajú profesionálnu techniku.
Vznikli sme preto, aby sme týmto ľuďom dali šancu na normálny život a cez kvalitne odvedenú prácu búrali predsudky voči nim. 
</t>
  </si>
  <si>
    <t>https://katalogsp.gov.sk/kvalitne-sluzby-s-r-o/</t>
  </si>
  <si>
    <t>+421 944 404 647</t>
  </si>
  <si>
    <t>info@deeply.sk</t>
  </si>
  <si>
    <t>Kvalitné služby s.r.o. - r.s.p.</t>
  </si>
  <si>
    <t>Poskytujeme upratovacie služby a dávame šancu zdravotne znevýhodneným na lepší život.</t>
  </si>
  <si>
    <t>upratovanie, upratovanie kancelárií, upratovacie služby, žehlenie, čistenie, čistiace práce, tepovanie, umývanie, umytie, upratovanie ambulancií, upratovacia firma, upratovanie cena, upratovanie firiem Bratislava, upratovanie Veľký krtíš</t>
  </si>
  <si>
    <t>Rádio Bojnice s.r.o.</t>
  </si>
  <si>
    <t>kultúra a šport, reklama</t>
  </si>
  <si>
    <t>Okrajová 964/12, 972 01 Bojnice</t>
  </si>
  <si>
    <t>Rozhlasové vysielanie, výroba a vysielanie reklamy</t>
  </si>
  <si>
    <t>https://katalogsp.gov.sk/radio-bojnice-s-r-o</t>
  </si>
  <si>
    <t>+421 903 503 032</t>
  </si>
  <si>
    <t>sef@beta.sk</t>
  </si>
  <si>
    <t>Rozhlasové vysielanie, tvorba reklamy</t>
  </si>
  <si>
    <t>reklama, rozhlas, vysielanie</t>
  </si>
  <si>
    <t>KVK Design s.r.o.</t>
  </si>
  <si>
    <t>kovovýroba, nábytok a bytové doplnky</t>
  </si>
  <si>
    <t>Jilemnického 321, 981 01 Hnúšťa</t>
  </si>
  <si>
    <t xml:space="preserve">Spoločnosť KVK Design s.r.o. sa zaoberá výrobou exteriérových a interiérových výrobkov z kovu. Ponúkame výrobu brán, plotov, prístreškov, schodísk, zábradlí, ale aj dizajnového kovového nábytku či iných drobných výrobkov z kovu. Všetky produkty vyrábame podľa požiadaviek klienta na mieru. </t>
  </si>
  <si>
    <t xml:space="preserve">Podnik zamestnáva znevýhodnené osoby. </t>
  </si>
  <si>
    <t>https://katalogsp.gov.sk/kvk-design-s-r-o</t>
  </si>
  <si>
    <t>+421 910 972 613</t>
  </si>
  <si>
    <t>info@kvkdesign.sk</t>
  </si>
  <si>
    <t xml:space="preserve">Ponúkame výrobu brán, plotov, prístreškov, schodísk, zábradlí, ale aj dizajnového kovového nábytku či iných drobných výrobkov z kovu. Všetky produkty vyrábame podľa požiadaviek klienta na mieru. </t>
  </si>
  <si>
    <t>kovovýroba, nábytok a bytové doplnkyBrány, ploty, prístrešky, schody, zábradlia, dizajnový kovový nábytok, iné výrobky z kovu</t>
  </si>
  <si>
    <t>Viana Art o.z.</t>
  </si>
  <si>
    <t>Červená 470/1, 010 03 Žilina</t>
  </si>
  <si>
    <t>Ponúkame služby pre domácnosť, starostlivosť o záhradu, kosenie, strihanie stromov a kríkov, a iné záhradné práce. Naši zamestnanci majú zdravotný alebo iný sociálny postih, čím ich začleňujeme do spoločenského života.</t>
  </si>
  <si>
    <t>Naším hlavným cieľom je pozitívny sociálny vplyv - zamestnávame sociálne slabších, zraniteľných a znevýhodnených občanov, čím prispievame k znižovaniu nezamestnanosti.</t>
  </si>
  <si>
    <t>https://katalogsp.gov.sk/wp-content/uploads/2022/10/Viana-Art.jpg</t>
  </si>
  <si>
    <t>https://katalogsp.gov.sk/viana-art-o-z/</t>
  </si>
  <si>
    <t>+421 911 548 598</t>
  </si>
  <si>
    <t>socialnesk@gmail.com</t>
  </si>
  <si>
    <t>Viana Art</t>
  </si>
  <si>
    <t>Vykonávame čistiace a upratovacie služby.</t>
  </si>
  <si>
    <t>upratovanie, žehlenie, čistenie, kosenie, okno, umývanie,</t>
  </si>
  <si>
    <t>Localhand, s.r.o.</t>
  </si>
  <si>
    <t>Železničiarska 111/16, 924 01 Galanta</t>
  </si>
  <si>
    <t>V našej malej krajčírskej dielni sa venujeme výrobe dizajnového bytového ako aj gastro či hotelového textilu na mieru. Vyrábame z tkaním, ktoré majú európsky pôvod. Našimi zákazníkmi sú gastro prevádzky, hotely, firmy, ale aj súkromné osoby.
Obrusy, behúne, závesy, prikrývky, deky, zástery, utierky, obliečky na vankúše, vrecká, batohy či tašky, to všetko šijeme ako v štandardných veľkostiach, tak aj podľa požiadavky zákazníka. Naše portfólio ponúka širokú a pestrú škálu ako prírodných, tak aj čalúnnických materiálov.</t>
  </si>
  <si>
    <t>Priniesli sme na trh dizajnové materiály, ktoré chýbali v hoteloch, gastro prevádzkach, ale aj v domácnostiach. Rozžiarili a obnovili sme nejeden priestor.</t>
  </si>
  <si>
    <t>https://katalogsp.gov.sk/wp-content/uploads/2022/10/localhand1.png</t>
  </si>
  <si>
    <t>https://katalogsp.gov.sk/localhand-s-r-o/</t>
  </si>
  <si>
    <t>+421 908 462 331</t>
  </si>
  <si>
    <t>info@localhand.eu</t>
  </si>
  <si>
    <t>Localhand, s.r.o. r.s.p.</t>
  </si>
  <si>
    <t>Krajčírska dielňa, ktorá zhotovuje bytový, hotelový a gastro textil na mieru.</t>
  </si>
  <si>
    <t>bytový textil, na mieru, gastro textil, hotelový textil, krajčírska výroba, obrusy, závesy, prikrývky, zástery, kuchyňa, obývačka, detská izba, čalunícke látky, čalunenie.</t>
  </si>
  <si>
    <t>P&amp;M CONSTRUCTA, s. r. o.</t>
  </si>
  <si>
    <t>čistiace a upratovacie služby, dom a záhrada, stavebníctvo, ubytovacie a stravovacie služby, iné (tovary a služby)</t>
  </si>
  <si>
    <t>Záborského 10/3, 036 01 Martin</t>
  </si>
  <si>
    <t>Predávame kovové a betónové ploty, pergoly, prístrešky, zámkovú dlažbu a tieniacu techniku. Realizujeme stavebné úpravy a montáže všetkých ponúkaných prvkov.</t>
  </si>
  <si>
    <t>Zamestnávanie dlhodobo nezamestnaných a zdravotne znevýhodnených osôb.</t>
  </si>
  <si>
    <t>https://katalogsp.gov.sk/wp-content/uploads/2022/10/PM-CONSTRUCTA_2.jpg</t>
  </si>
  <si>
    <t>https://katalogsp.gov.sk/pm-constructa-s-r-o/</t>
  </si>
  <si>
    <t>+421 915 049 972</t>
  </si>
  <si>
    <t>obchod@pmconstructa.sk</t>
  </si>
  <si>
    <t>Predaj a realizácia betónových a kovových plotov, zámkovej dlažby, prístreškov, pergol, markíz, žalúzií, roliet a sieťok na okná.</t>
  </si>
  <si>
    <t>zemné práce, ploty, pergoly, prístrešky, rolety, žalúzie, stavebné práce, udržiavacie práce, záhrada, fast food, zámková dlažba</t>
  </si>
  <si>
    <t>EL CHAPO</t>
  </si>
  <si>
    <t>Predaj mexických street food jedál</t>
  </si>
  <si>
    <t>TZV s. r. o.</t>
  </si>
  <si>
    <t>odevy a obuv, iné (tovary a služby)</t>
  </si>
  <si>
    <t>Dlhá 1103/61, 010 09  Žilina</t>
  </si>
  <si>
    <t xml:space="preserve">Ponúkame kvalitné športové oblečenie, športovú a turistickú obuv, zimné a letné športové potreby, ako aj športové príslušenstvo prostredníctvom e-shopu www.topski.sk. Ak preferujete osobné nakupovanie, radi vás privítame v kamennej predajni na ulici Dlhá 1103/61 v Žiline. U nás si vyberie každý. </t>
  </si>
  <si>
    <t xml:space="preserve">K dosahovaniu pozitívneho sociálneho vplyvu prispievame vytváraním nových pracovných miest aj pre znevýhodnené a/alebo zraniteľné osoby, čo im umožní uplatniť sa na trhu práce, získať pracovné zručnosti a  prax, vďaka čomu sa v budúcnosti začlenia do pracovného kolektívu.  </t>
  </si>
  <si>
    <t>https://katalogsp.gov.sk/wp-content/uploads/2022/10/02_TZV-s.r.o.r.s.p.-Maria-Macugova.jpg</t>
  </si>
  <si>
    <t>https://katalogsp.gov.sk/tzv-s-r-o/</t>
  </si>
  <si>
    <t>+421 948 203 300</t>
  </si>
  <si>
    <t>tzv.sro@gmail.com</t>
  </si>
  <si>
    <t xml:space="preserve">TZV s. r. o., r. s. p. </t>
  </si>
  <si>
    <t xml:space="preserve">Zameriavame sa na predaj športovej výbavy ako sú lyže, lyžiarky, bežky, snowboardy, prilby, lyžiarske okuliare a lyžiarske rukavice. Okrem výbavy na zimné športy nájdete v našej ponuke aj športovú obuv, bicykle, kolobežky, kolieskové korčule, lopty, batohy a mnohé ďalšie športové doplnky. Pri nákupe môžete využiť bazárový predaj a istotne vás potešia aj pravidelné výpredaje. </t>
  </si>
  <si>
    <t>športové oblečenie, športová obuv, zimné športy, bežkovanie, skialpinizmus, zjazdové lyže, snowboardy, splitboarding,  letné športy, elektrobicykle, bicykle, kolobežky, futbal, skateboardy, kolieskové korčule, fitness, vodné športy, lopty, športové doplnky</t>
  </si>
  <si>
    <t>La casa, s. r. o.</t>
  </si>
  <si>
    <t>Červenej armády 1029/12, 038 53 Turany</t>
  </si>
  <si>
    <t xml:space="preserve">Naša  firma je na trhu od roku 2007 a venuje sa výlučne upratovacím prácam. Poskytujeme svoje služby širokej verejnosti, firmám, organizáciám. Naše produkty sú šité na mieru každému zákazníkovi. </t>
  </si>
  <si>
    <t>V spoločnosti pracujú všetci tempom, ktoré im vyhovuje, ale s chuťou a úsmevom. Zamestnávame tých, ktorí radi upratujú a možno sa nemôžu zamestnať kvôli svojej jedinečnosti inde. Rozdávame dobrú náladu a zanechávame sa za sebou čisto a poriadok.</t>
  </si>
  <si>
    <t>https://katalogsp.gov.sk/la-casa-s-r-o/</t>
  </si>
  <si>
    <t>+421 903 813 815</t>
  </si>
  <si>
    <t>office@lacasasro.sk</t>
  </si>
  <si>
    <t>La casa s.r.o.</t>
  </si>
  <si>
    <t>Upratovanie bytov, domov, firemných priestorov, spoločných priestorov.</t>
  </si>
  <si>
    <t>upratovanie, okna,</t>
  </si>
  <si>
    <t>AreKont, s. r. o.</t>
  </si>
  <si>
    <t>Gen. M.R.Štefánika 372/9, 911 01 Trenčín</t>
  </si>
  <si>
    <t>Firma ponúka komplexné účtovné služby (spracovanie účtovníctva, daní, miezd a personalistiky), zastupovanie na úradoch a ekonomické poradenstvo pre fyzické i právnické osoby v rámci celého Slovenska.</t>
  </si>
  <si>
    <t xml:space="preserve">Súhrn našich podnikateľských aktivít je prospešný pre spoločnosť  v širokom pôsobisku, kde v spolupráci so znevýhodnenými a zraniteľnými osobami realizujeme poskytovanie služieb v ekonomickej oblasti. Merateľný pozitívny sociálny vplyv plníme percentom zamestnaných znevýhodnených a zraniteľných osôb.
</t>
  </si>
  <si>
    <t>https://katalogsp.gov.sk/wp-content/uploads/2022/11/AreKont_Logo.png</t>
  </si>
  <si>
    <t>https://katalogsp.gov.sk/arekont-s-r-o/</t>
  </si>
  <si>
    <t>arekont@arekont.sk</t>
  </si>
  <si>
    <t>Ponúkame spracovanie jednoduchého a podvojného účtovníctva, daní, personalistiky a miezd, administratívne služby, ekonomické poradenstvo, zastupovanie na úradoch, administratívne služby.</t>
  </si>
  <si>
    <t>účtovníctvo, mzdy, personalistika, poradenstvo, ekonomika, daňové priznanie, dane</t>
  </si>
  <si>
    <t>go-ok, o.z.</t>
  </si>
  <si>
    <t>vzdelávanie, nábytok a bytové doplnky, galantéria, pre deti, bižutéria a darčekové predmety, iné (tovary a služby)</t>
  </si>
  <si>
    <t>Pečnianska 1211/11, 851 01 Bratislava</t>
  </si>
  <si>
    <t xml:space="preserve">Vytvárame unikátny online priestor pre umelcov a výrobcov so zdravotným znevýhodnením v projekte HendiKup. 
Prečo by sme ste mali nakupovať cez HendiKup?
Pretože je to správne. Pretože úcta by nemala byť len k hodnote (výrobku), ale aj k človeku – k tvorcovi, umelcovi, ktorý ho vyrobil, k jeho námahe, energii a času, ktorý nad svojím dielom strávil. Obzvlášť, ak vynaložil viac úsilia napriek svojmu zdravotnému znevýhodneniu. Nepredávame veci, ale význam. </t>
  </si>
  <si>
    <t>HendiKup je internetová platforma, eshop, komunita, filozofia – ktorej cieľom je vytvárať synergiu spoločenskej osvety, terapie prácou, mikropodnikania a empowerementu, scitlivovať spoločnosť a búrať mýty. Výrobcom pomáhame s profesionálnou prezentáciou ich tvorby a jej predaj na e-shope.</t>
  </si>
  <si>
    <t>https://katalogsp.gov.sk/wp-content/uploads/2022/11/onas5-1200x1000-HendiKup-e1667923009766.jpg</t>
  </si>
  <si>
    <t>https://katalogsp.gov.sk/go-ok-o-z-hendikup/</t>
  </si>
  <si>
    <t>+421 949 577 777</t>
  </si>
  <si>
    <t>ahoj@hendikup.sk</t>
  </si>
  <si>
    <t>HendiKup.sk</t>
  </si>
  <si>
    <t xml:space="preserve">Prevádzkujeme eshop podporujúci komunitu šikovných umelcov a výrobcov rôznych výrobkov so zdravotným znevýhodnením. 
Nepredávame veci, ale význam. </t>
  </si>
  <si>
    <t>handmade, ručná práca, textil, sklo, keramika, fotografia, obraz, umenie, sviečky, dekorácia, papier, prútie, knihy, spisovateľ, dizajn, drevo, drevorezba, rúška, platenie, háčkovanie, štrikovanie, patchwork, drôt, paracord, náramok, levandula, recyklácia, grafika, logo, ozdoby, vianoce, veľká noc, čiapky, šiltovky, klobúky, CD, hudba, spev, pohľadnice, tričká, mydlá, mydielka, náušnice, bižutéria</t>
  </si>
  <si>
    <t>millhill s.r.o.</t>
  </si>
  <si>
    <t>vzdelávanie,  reklama, obaly, nábytok a bytové doplnky, elektro, bižutéria a darčekové predmety, iné (tovary a služby), kovovýroba</t>
  </si>
  <si>
    <t>Na Zigmund šachtu 1655/23, 969 01 Banská Štiavnica</t>
  </si>
  <si>
    <t>Sme dizajnérske štúdio s výrobou, poskytujeme široké spektrum služieb – navrhovanie, 3D modelovanie a vizualizácia produktov, prototypovanie a výroba nových produktov, ako aj výroba z existujúcich podkladov. Vyvíjame nielen nové dizajny, ale špecializujeme sa aj na produktový redizajn. Vytvárame rôznorodé interiérové doplnky, audio produkty, špeciálne pomôcky, komponenty a darčekové predmety. Naším zákazníkom je človek, ktorý potrebuje vyvinúť produkt na mieru a vie oceniť kvalitu, estetiku a funkčnosť. Vyrábame aj darčekové predmety (manžety na mieru, drobné drevené výrobky, hračky) a predmety dennej potreby (peňaženka, miska na ovocie, nástenné hodiny...), ktoré si vie zakúpiť ktokoľvek.</t>
  </si>
  <si>
    <t>Snažíme sa dosahovať pozitívny sociálny vplyv tým, že zamestnávame sociálne slabšie, zraniteľné a znevýhodnené osoby, čím napomáhame k ekonomickému rastu spoločnosti a znižovaniu nezamestnanosti. 
Ako sociálny podnik tiež poskytujeme školenia pre študentov a iné znevýhodnené osoby prostredníctvom duálneho vzdelávania (prepojenie vzdelávania a praktických zručností), nakoľko väčšina študentov, absolventov škôl, ale aj nezamestnaní a zraniteľní, nemajú možnosť získať praktické zručnosti v tejto oblasti, čím majú sťažený prístup na pracovný trh.</t>
  </si>
  <si>
    <t>https://katalogsp.gov.sk/wp-content/uploads/2022/12/RSP_4-millhill-s.r.o.-scaled.jpg</t>
  </si>
  <si>
    <t>https://katalogsp.gov.sk/millhill-s-r-o/</t>
  </si>
  <si>
    <t xml:space="preserve">+421 949 353 200    </t>
  </si>
  <si>
    <t>info@millhill.sk</t>
  </si>
  <si>
    <t>millhill s.r.o., r.s.p.</t>
  </si>
  <si>
    <t>Navrhujeme a produkujeme jedinečné výrobky z dreva, umelého kameňa, plastových komponentov atď., máme aj stálu ponuku rôznych predmetov (gramofóny a reproduktory, svietidlá, lavice, predelové steny a iné). Naše štúdio sídli na Zigmund šachte 23 v Banskej Štiavnici. Tu sa nachádzajú aj naše výrobné priestory, kde na výrobu prototypov a výrobkov používame rôzne stroje a zariadenia (CNC fréza, CO2 laser, 3D tlačiareň, vákuová komora...).</t>
  </si>
  <si>
    <t>dizajn, redizajn, návrh, produkt, prototyp, 3D modelovanie, výroba, CNC fréza, laser, gravírovanie, 3D tlačiareň, školenie, darček, darčekové predmety, audio, svietidlá, nábytok, vákuové liatie, formy, polyméry, drevovýroba, vizualizácia, skice</t>
  </si>
  <si>
    <t>EVENIT, s.r.o.</t>
  </si>
  <si>
    <t>dom a záhrada, nábytok a bytové doplnky, bižutéria a darčekové predmety</t>
  </si>
  <si>
    <t>Obchodná 784/8, 900 26 Slovenský Grob</t>
  </si>
  <si>
    <t xml:space="preserve">Náš sortiment tvorí bytový textil a doplnky, ktorých jedinečný vzhľad vynikajúco dotvára každý interiér.         
V súčasnosti ponúkame našim klientom bohatú škálu textilu, ktorú tvoria deky, posteľné obliečky, prehozy, prestieradlá, návliečky, paplóny, vankúše a matrace. Tento sortiment dopĺňajú rovnako kvalitné bytové doplnky, napríklad dekoračné vankúše, obrusy, bytové vône, kozmetické a ošetrovacie prípravky. Na základe požiadaviek našich partnerov sme do ponuky pridali kvalitné lokálne potravinárske výrobky, ako medy, medoviny, čaje, čokolády, mandle, hrozienka a iné drobné pochutiny.
V časti "Kúpeľňa" nájdete kvalitné a značkové uteráky, osušky, župany, z ktorých si môžete vybrať tie, ktoré presne zodpovedajú Vašim predstavám. Spolu hravo vyčarujú z Vášho domova miesto jedinečne vystihujúce Váš štýl a osobnosť.
Radosť však môžete spraviť nielen sebe, ale aj svojim blízkym, či rodinným priateľom. Určite sa potešia, ak ich prekvapíte originálnym darčekom v podobe rozličných doplnkov alebo vychytávok určených pre celú domácnosť.
Vďaka dynamickej, úzkej a intenzívnej práci našich aj externých spolupracovníkov prešla naša rodinná firma rozsiahlym vývojom.
Registrované sociálne podniky sú v rámci sociálneho aspektu favorizované a je možné nám zadať zákazku jednoduchšie (vyhradené zákazky, výnimky z postupov verejného obstarávania), čím verejný obstarávateľ môže napĺňať kvóty pre povinné sociálne hľadisko vo vyhlásených verejných obstarávaniach. </t>
  </si>
  <si>
    <t>Sociálny podnik Evenit už niekoľko rokov zamestnáva výlučne ZŤP občanov, vzdeláva a zabezpečuje im primeranú prácu vzhľadom na zdravotné postihnutie.</t>
  </si>
  <si>
    <t>https://katalogsp.gov.sk/evenit-s-r-o/</t>
  </si>
  <si>
    <t>+421 915 443 055</t>
  </si>
  <si>
    <t>evenit@evenit.sk</t>
  </si>
  <si>
    <t>Evenit, s.r.o.</t>
  </si>
  <si>
    <t xml:space="preserve">Predajňa zameraná na predaj kvalitného bytového textilu a doplnkov do domácnosti ako zdravé fľaše, termosky, termonádoby, dekoračné doplnky. Zároveň pripravujeme na mieru darčekové balenia (med, medovina, mandle, čaje, čokolády, hrozienka, oriešky, čokolády, pralinky). V našej predajni nájdete aj najznámejšie značky na trhu ako Matejovský, ScanQuilt, Praktik, Greno, Eurofirany, Materasso, Issimo, Texicop, Stexo...
Vzhľadom k množstvu našich spokojných zákazníkov je aj naďalej naším cieľom, aby sme náš sortiment neustále dopĺňali o novinky, ktoré sú praktické a využiteľné v každodennom živote. Budeme radi, ak navštívite našu stránku a veríme, že Vás naša široká ponuka zaujme. Budeme nesmierne radi, ak sa pridáte k našim ďalším zákazníkom. </t>
  </si>
  <si>
    <t>bytový textil, uterkáky, deky, posteľné obliečky, plachty, paplóny, vankúše, darčekové predmety, darčekové balenia, med, mandle, medovina, čokoláda, vianočné dekorácie, ozdoby, župany, pyžamá, nočné košele, nepremokavé plachty, matracové chrániče, kuchynské utierky, zdravé fľaše, termosky, termofľaše, bambusové uteráky, podsedáky, obliečky, návleky na topánky, prehozy, bytové vône</t>
  </si>
  <si>
    <t>Baby plávanie, s. r. o.</t>
  </si>
  <si>
    <t>kultúra a šport, pre deti</t>
  </si>
  <si>
    <t>A. Žarnova 820/16 , 971 01 Prievidza</t>
  </si>
  <si>
    <t xml:space="preserve">Ponúkame služby v oblasti plávania, konktrétne prevádzkujeme kurzy plávania pre deti od 4 mesiacov do 5 rokov.  Cieľová skupina zákazníkov sú rodičia s deťmi. </t>
  </si>
  <si>
    <t>Náš podnik sa odlišuje od ostatných tým, že je aj zdraviu prospešný pre detičky, ktoré sú predčasne narodené alebo sú pohybovo zaostalejšie. Prostredníctvom kurzov plávania dokážu tieto zdravotné problémy odstránit.</t>
  </si>
  <si>
    <t>https://katalogsp.gov.sk/baby-plavanie-s-r-o-2/</t>
  </si>
  <si>
    <t>+421 917 504 218</t>
  </si>
  <si>
    <t>ziatkova.nikola@gmail.com</t>
  </si>
  <si>
    <t>Baby plávanie, s.r.o.</t>
  </si>
  <si>
    <t>Ponúkame kurzy plávania pre deti vo veku od 4 mesiacov do 5 rokov.</t>
  </si>
  <si>
    <t>kurz plávania, baby plávanie, plávanie pre deti</t>
  </si>
  <si>
    <t>Hydro Real Group s.r.o.</t>
  </si>
  <si>
    <t>Kajal 186, 925 92 Kajal</t>
  </si>
  <si>
    <t>Základnou prioritou našej spoločnosti už od roku 2010 je vŕtanie studní. Roky skúseností a množstvo spokojných zákazníkov sú našou najlepšou vizitkou.
Poskytujeme kompletný servis od bezplatnej obhliadky a nezáväznej ponuky, až po vypracovanie celej dokumentácie pre stavebný úrad, samotné vyvŕtanie studne a zapojenie Vášho nového zdroja vody. Zameriavame sa na lokality Juhozápadného Slovenska, Podunajskej nížiny a okolia Bratislavy. V oblasti vŕtania studní poskytujeme širokú ponuku služieb, priamo či nepriamo súvisiacich s vrtnými prácami a príslušenstvom.</t>
  </si>
  <si>
    <t xml:space="preserve">Primárnym cieľom našej spoločnosti ako sociálneho podniku je poskytovanie pracovných príležitostí a vzdelávanie najmä pre osoby, ktoré sú sociálne vylúčené, ktorým vytvárame stimulujúce a podporujúce prostredie.  
Transformáciou spoločnosti na sociálny podnik integračného charakteru sa naša spoločnosť sústredí na zamestnávanie ľudí, ktorí majú  sťažené uplatnenie na trhu práce buď zo zdravotného znevýhodnenia alebo iných ako zdravotných dôvodov. 
Spoločenský dopad aktivít našej spoločnosti je  najmä v zamestnaní  znevýhodnených a zraniteľných  osôb. 
</t>
  </si>
  <si>
    <t>https://katalogsp.gov.sk/hydro-real-group-s-r-o/</t>
  </si>
  <si>
    <t>+421 903 551 680</t>
  </si>
  <si>
    <t>info@vrtystudne.sk</t>
  </si>
  <si>
    <t>vŕtanie studní, čistenie studní, dodávka a montáž studničných šácht a čerpacej techniky, studničné šachty</t>
  </si>
  <si>
    <t xml:space="preserve">vŕtanie studní, studničné šachty, čerpacia technika, zemné a výkopové práce </t>
  </si>
  <si>
    <t>COBAK, s.r.o.</t>
  </si>
  <si>
    <t>Gottwaldova 49, 991 06 Želovce</t>
  </si>
  <si>
    <t>Cukráreň, výroba a predaj cukrárenských výrobkov - čerstvé a balené zákusky, torty na rôzne príležitosti.</t>
  </si>
  <si>
    <t>Vyše polovicu našich zamestnancov tvoria znevýhodnení zamestnanci.</t>
  </si>
  <si>
    <t>https://katalogsp.gov.sk/wp-content/uploads/2023/03/COBAK_jahoda_coko.jpg</t>
  </si>
  <si>
    <t>https://katalogsp.gov.sk/cobak-s-r-o/</t>
  </si>
  <si>
    <t>+421 903 690 886</t>
  </si>
  <si>
    <t>gomory@cobak.sk</t>
  </si>
  <si>
    <t>Výroba a predaj cukrárskych výrobkov</t>
  </si>
  <si>
    <t>cukráreň, makrónky, koláče, torty</t>
  </si>
  <si>
    <t>Služby obce Ďurčiná s.r.o.</t>
  </si>
  <si>
    <t>dom a záhrada, stavebníctvo, iné (tovary a služby)</t>
  </si>
  <si>
    <t>Ďurčiná 370, 015 01  Ďurčiná</t>
  </si>
  <si>
    <t>Ponúkame občanom pomocné práce v záhradách, kosenie, orez a výrez krovín a stromov, štiepanie dreva.</t>
  </si>
  <si>
    <t>Pozitívny sociálny vplyv podniku je naplnený najmä poskytovaním služieb občanom, ktorí si svojpomocne nevedia zabezpečiť pomocné práce v záhradách.</t>
  </si>
  <si>
    <t>https://katalogsp.gov.sk/sluzby-obce-durcina-s-r-o/</t>
  </si>
  <si>
    <t>+421 914 158 815</t>
  </si>
  <si>
    <t>obecdurcina@obecdurcina.sk</t>
  </si>
  <si>
    <t>Služby obce Ďurčiná s.r.o. RSP</t>
  </si>
  <si>
    <t>Poskytovanie pomocných služieb v záhradách a na verejných priestranstvách.</t>
  </si>
  <si>
    <t>kosenie, orez drevín, záhradné práce, štiepanie dreva</t>
  </si>
  <si>
    <t>Haspo-tex, s.r.o., r.s.p.</t>
  </si>
  <si>
    <t>ochrana a bezpečnosť, vzdelávanie, iné (tovary a služby)</t>
  </si>
  <si>
    <t>Ďumbierska 9, 040 01 Košice</t>
  </si>
  <si>
    <t>Naša spoločnosť poskytuje služby v oblasti bezpečnosti a ochrany zdravia pri práci, civilnej ochrany a požiarnej ochrany.</t>
  </si>
  <si>
    <t>Naším cieľom je podpora zamestnanosti zraniteľných a znevýhodnených osôb, vďaka čomu sa aktívne zapájajú do bežného života.</t>
  </si>
  <si>
    <t>https://katalogsp.gov.sk/haspo-tex-s-r-o-r-s-p/</t>
  </si>
  <si>
    <t>+421 905 488 162</t>
  </si>
  <si>
    <t>haspo-tex@outlook.com</t>
  </si>
  <si>
    <t>Dodávateľským spôsobom zabezpečujeme komplexné služby v oblasti bezpečnosti a ochrany zdravia pri práci, civilnej ochrany a požiarnej ochrany.</t>
  </si>
  <si>
    <t>bezpečnosť a ochrana zdravia pri práci, protipožiarna ochrana, civilná ochrana, kontrola požiarnych zariadení</t>
  </si>
  <si>
    <t>Festíkovo DL, s.r.o.</t>
  </si>
  <si>
    <t>vzdelávanie, pre deti,</t>
  </si>
  <si>
    <t>Mandľová 1937/32, 900 42 Dunajská Lužná</t>
  </si>
  <si>
    <t>Venujeme sa dennej starostlivosti o deti - malá škôlka v krásnom prostredí rodinného domu v Dunajskej Lužnej, zameraná na individuálny prístup.</t>
  </si>
  <si>
    <t>Ponúkame pracovné príležitosti aj pre znevýhodnené a zraniteľné osoby.</t>
  </si>
  <si>
    <t>https://katalogsp.gov.sk/festikovo-dl-s-r-o/</t>
  </si>
  <si>
    <t>+421 905 788 053</t>
  </si>
  <si>
    <t>festikovo@gmail.com</t>
  </si>
  <si>
    <t>DC Festíkovo</t>
  </si>
  <si>
    <t>Poskytujeme dennú starostlivosť o deti - naše detské centrum poskytuje dlhodobú, krátkodobú a flexibilnú starostlivosť o deti už od 18 mesiacov, integrujeme tiež deti so špeciálnymi výchovno-vzdelávacími potrebami.</t>
  </si>
  <si>
    <t>škôlka, materská škola, Dunajská Lužná, deti, starostlivosť o deti, vzdelávanie, výchova, alternatívne metódy, individuálny pristup k deťom, inklúzia</t>
  </si>
  <si>
    <t>Peron Slovakia, s.r.o.</t>
  </si>
  <si>
    <t>čistiace a upratovacie služby, ochrana a bezpečnosť, odevy a obuv</t>
  </si>
  <si>
    <t>ČSA 79/79, 962 23 Očová</t>
  </si>
  <si>
    <t>Ponúkame komplexné služby čistiarne a práčovne, a to najmä v oblasti starostlivosti o ochranné pracovné odevy pre priemyselné podniky. Tu však naše služby nekončia. Vieme sa postarať aj o reprezentatívny a čistý vzhľad pre zamestnancov hotelov, penziónov či reštaurácií a tiež o čistotu a hygienu textilu, ktorý používajú. Súčasťou služieb, ktoré ponúkame, je aj servisný prenájom pracovného oblečenia. Práve táto služba je flexibilným, moderným a inteligentným riešením pre všetky spoločnosti, ktoré sa starajú o bezpečnosť a zdravie svojich zamestnancov. Pomáha im šetriť čas, skladové priestory a financie.</t>
  </si>
  <si>
    <t>https://katalogsp.gov.sk/peron-slovakia-s-r-o/</t>
  </si>
  <si>
    <t>+421 918 589 592</t>
  </si>
  <si>
    <t>peron@peronslovakia.sk</t>
  </si>
  <si>
    <t>Peron Slovakia, s.r.o. - RSP</t>
  </si>
  <si>
    <t>Práčovňa a čistiareň odevov, oprava a predaj osobných ochranných pracovných prostriedkov a pomôcok, predaj obuvi.</t>
  </si>
  <si>
    <t>Práčovňa a čistiareň, obchod s osobnými ochrannými odevami a obuvou (OOPP), internetový obchod</t>
  </si>
  <si>
    <t>Mestský podnik Spišská Stará Ves, s.r.o.</t>
  </si>
  <si>
    <t>čistiace a upratovacie služby, dom a záhrada, stavebníctvo, doprava, ubytovacie a stravovacie služby, kultúra a šport, potraviny a nápoje, odpady a recyklácia, pre deti, iné (tovary a služby)</t>
  </si>
  <si>
    <t>Štúrova 228/109, 061 01 Spišská Stará Ves</t>
  </si>
  <si>
    <t>Mestský podnik Spišská Stará Ves, s.r.o. vznikol v roku 2021 ako príspevková organizácia mesta Spišská Stará Ves so štatútom právnická osoba s právnou subjektivitou. Medzi hlavné činnosti organizácie patria: upratovacie služby, drobné stavebné a zemné práce, maliarske práce, kosenie trávnatých plôch a doprava.</t>
  </si>
  <si>
    <t>Hlavným cieľom sociálneho podniku je podpora zamestnanosti znevýhodnených osôb, integrácia ľudí s fyzickým znevýhodnením. Prispievame k rozvoju služieb v obci a regióne.</t>
  </si>
  <si>
    <t>https://katalogsp.gov.sk/mestsky-podnik-spisska-stara-ves-s-r-o/</t>
  </si>
  <si>
    <t>+421 940 993 064</t>
  </si>
  <si>
    <t>jozef.grainda@spisskastaraves.sk</t>
  </si>
  <si>
    <t>Mestský podnik Spišská Stará Ves s.r.o.</t>
  </si>
  <si>
    <t>Medzi hlavné činnosti organizácie patria: upratovacie služby, drobné stavebné a zemné práce, maliarske práce a doprava.</t>
  </si>
  <si>
    <t>Upratovacie služby, drobné stavebné a zemné práce, maliarske práce, kosenie trávnatých plôch, doprava</t>
  </si>
  <si>
    <t>Slovenský integračný podnik, o. z.</t>
  </si>
  <si>
    <t>Martinčekova 781/16, 821 09 Bratislava</t>
  </si>
  <si>
    <t>Ponúkame masérske služby.</t>
  </si>
  <si>
    <t>Umožňujeme zaradenie zdravotne znevýhodnených ľudí do spoločnosti.</t>
  </si>
  <si>
    <t>https://katalogsp.gov.sk/slovensky-integracny-podnik-o-z/</t>
  </si>
  <si>
    <t>+421 947 933 100</t>
  </si>
  <si>
    <t>slovenskyintegracnypodnik@gmail.com</t>
  </si>
  <si>
    <t>Ponúkame masáže rôzneho typu (klasická, športová, reflexná, lávové kamene, bankovanie, manuálna lymfodrenáž).</t>
  </si>
  <si>
    <t>masáže</t>
  </si>
  <si>
    <t>Medovníkový domček s.r.o., registrovaný sociálny podnik</t>
  </si>
  <si>
    <t>potraviny a nápoje, iné (tovary a služby), vzdelávanie</t>
  </si>
  <si>
    <t>Karola Šišku 40, 903 01 Senec</t>
  </si>
  <si>
    <t>Výroba a predaj medovníkov</t>
  </si>
  <si>
    <t>Náš integračný sociálny podnik v prvom rade zamestnáva osoby znevýhodnené a zraniteľné osoby. Zároveň je našou snahou šíriť krásne medovnikárske remeslo aj pomocou kurzov na zdobenie medovníkov.</t>
  </si>
  <si>
    <t>https://katalogsp.gov.sk/wp-content/uploads/2023/05/drevene-logo-Medovnikovy-domcek.jpg</t>
  </si>
  <si>
    <t>https://katalogsp.gov.sk/medovnikovy-domcek-s-r-o-registrovany-socialny-podnik/</t>
  </si>
  <si>
    <t>+421 903 629 908</t>
  </si>
  <si>
    <t>medovnikovydomcek.sk@gmail.com</t>
  </si>
  <si>
    <t>Medovníkový domček s.r.o.</t>
  </si>
  <si>
    <t>Pečieme a predávame medovníky.
Medovnikárske remeslo sa snažíme šíriť aj  pomocou kurzov na ich zdobenie.</t>
  </si>
  <si>
    <t>výroba, predajňa, kaviareň, medovník, kurzy, zdobenie</t>
  </si>
  <si>
    <t>ekoposs+ s.r.o.</t>
  </si>
  <si>
    <t>Sadová 3/A, 905 01 Senica</t>
  </si>
  <si>
    <t>Účtovnícke a audítorské činnosti, vedenie účtovných kníh; daňové poradenstvo.</t>
  </si>
  <si>
    <t>Zamestnávanie zdravotne znevýhodnených osôb.</t>
  </si>
  <si>
    <t>https://katalogsp.gov.sk/ekoposs-s-r-o/</t>
  </si>
  <si>
    <t>+421 905 901 757</t>
  </si>
  <si>
    <t>lucia@ekopossplus.sk</t>
  </si>
  <si>
    <t>Účtovnícke a audítorské činnosti, vedenie účtovných kníh a daňové poradenstvo</t>
  </si>
  <si>
    <t>účtovníctvo, poradenstvo</t>
  </si>
  <si>
    <t>Fair Facility SK s.r.o.</t>
  </si>
  <si>
    <t>čistiace a upratovacie služby, ochrana a bezpečnosť, ubytovacie a stravovacie služby</t>
  </si>
  <si>
    <t>T.G. Masaryka 6, 960 01 Zvolen</t>
  </si>
  <si>
    <t>Bezpečnostné služby, čistiace a upratovacie služby, správa nehnuteľností spojená s poskytovaním ubytovacích služieb.</t>
  </si>
  <si>
    <t>Pomáhame znevýhodneným ľuďom uplatniť sa na trhu práce, začleňujeme ich do kolektívu a pracovného procesu. Vedieme ľudí k sociálno-pracovným návykom.</t>
  </si>
  <si>
    <t>https://katalogsp.gov.sk/wp-content/uploads/2023/06/Fair-facility.png</t>
  </si>
  <si>
    <t>https://katalogsp.gov.sk/fair-facility-sk-s-r-o/</t>
  </si>
  <si>
    <t>+421 905 303 053</t>
  </si>
  <si>
    <t>sekretariat@fairfacility.sk</t>
  </si>
  <si>
    <t>Zameriavame sa predovšetkým na strážne služby, upratovacie a čistiace služby. Našim cieľom je vytváranie spoločensko-prospešnej služby a to najmä podporou regionálneho rozvoja a nezamestnanosti. Pôsobíme na celom území Slovenskej republiky.</t>
  </si>
  <si>
    <t>bezpečnosť, upratovanie</t>
  </si>
  <si>
    <t>CIVA s. r. o.</t>
  </si>
  <si>
    <t>bižutéria a darčekové predmety, nábytok a bytové doplnky, ochrana a bezpečnosť, iné (tovary a služby)</t>
  </si>
  <si>
    <t>Ratkovo 36, 038 54 Krpeľany</t>
  </si>
  <si>
    <t>Kreatívna dielňa realizuje ručnú tvorbu umeleckých diel, doplnkov, vyrába reklamné a darčekové predmety. Ručnú tvorbu predstavuje zdobenie vianočných predmetov podkladovým farbením, tvorba vzorovaného povrchu, výroba brošní, výroba mašlí, ručne odlievané vzory a ich prilepenie, lepenie ďalších doplnkov a dekorácií, farbenie, tieňovanie a finalizácia diela. 
Spoločnosť zabezpečuje aj vysoko špecializované služby projektového manažmentu, prípravu projektov EŠIF a široké spektrum služieb v oblasti informačnej a kybernetickej bezpečnosti.</t>
  </si>
  <si>
    <t xml:space="preserve">Registrovaný sociálny podnik CIVA s. r. o. je novým podnikom a pozitívny sociálny vplyv  dosahuje vytvorením a udržaním pracovných miest pre osoby s ťažkým zdravotným postihnutím, zdravotne znevýhodneným a zraniteľným osobám. Podnik zapája zamestnancov do procesu tvorby originálnych diel vo vznikajúcej kreatívnej dielni, kde podporuje zručnosti a tvorivosť. 
Podnik sa venuje aj vysoko špecializovanej intelektuálnej činnosti riadenia projektov EŠIF a informačnej a kybernetickej bezpečnosti. S ohľadom na zdravotný a osobný stav zamestnancov vytvára podnik individuálne podmienky na prácu z domu, čím zapája do pracovného pomeru znevýhodnené osoby. </t>
  </si>
  <si>
    <t>https://katalogsp.gov.sk/wp-content/uploads/2023/08/Civa_vianocne-dekoracie1.jpg</t>
  </si>
  <si>
    <t>https://katalogsp.gov.sk/civa-s-r-o/</t>
  </si>
  <si>
    <t>+421 948 492 949</t>
  </si>
  <si>
    <t>info@civa.sk</t>
  </si>
  <si>
    <t>CIVA</t>
  </si>
  <si>
    <t>Kreatívna dielňa - ručná tvorba umeleckých diel, doplnkov, reklamných a darčekových predmetov. Zdobíme vianočné predmety podkladovým farbením, vzorovaním povrchu, v našej ponuke je výroba brošní, výroba mašlí, ručne odlievané vzory a ich prilepenie, lepenie ďalších doplnkov a dekorácií, farbenie, tieňovanie a finalizácia diela.  
Ponúkame dekoračné predmety s témou Vianoc i Veľkej noci.
Zabezpečujeme aj vysoko špecializované služby projektového manažmentu, prípravu projektov EŠIF a široké spektrum služieb v oblasti informačnej a kybernetickej bezpečnosti.</t>
  </si>
  <si>
    <t>informačná a kybernetická bezpečnosť, riadenie projektov EŠIF, výkon manažéra kybernetickej bezpečnosti, reklamné a darčekové predmety, vianočné darčekové predmety, personalizované darčekové firemné predmety, vianočné dekorácie , veľkonočné dekorácie, darčeky</t>
  </si>
  <si>
    <t>VIERA - NIKA s.r.o.</t>
  </si>
  <si>
    <t>Kováčova 608/13, 935 26 Starý Tekov</t>
  </si>
  <si>
    <t>V našej cukrárenskej výrobni pečieme tradičné výrobky ako ťahané štrúdle, pagáče, bryndzové a nivové pečivo, praclíky s Tekovským údeným syrom, sladké pečivo (vianočné pečivo, medovníčky, linecké, snehové a pod.) a taktiež zákusky a torty. Momentálne sú veľmi populárne domáce "polotovary", napríklad korpusy na torty, laskonky, vyrezávané medové čísla na torty alebo domáce linecké a medové cesto. 
Okrem toho prevádzkujeme obchod a eshop s rôznymi potrebami na pečenie aj varenie.</t>
  </si>
  <si>
    <t>Hlavným cieľom podniku je vytvorenie nových pracovných miest z radov (zdravotne) znevýhodnených občanov, ich uplatnenie sa na trhu práce a následne aj vytvorenie pocitu, že sú potrební a spoločnosť im dáva šancu na plnohodnotný život. 
Podnik tak prispieva k dosahovaniu pozitívneho sociálneho vplyvu poskytovaním spoločensky prospešnej služby v oblasti zamestnanosti, a to zamestnávaním znevýhodnených osôb alebo zraniteľných osôb. Tieto si osvoja pracovné návyky a získajú nové zručnosti pre výkon povolania, čo zvýši šance na ich opätovné spoločenské začlenenie berúc do úvahy ich novonadobudnutú mieru finančnej autonómie a samostatnosti, sebadôvery či schopnosti fungovať v prostredí pracovného kolektívu.</t>
  </si>
  <si>
    <t>https://katalogsp.gov.sk/wp-content/uploads/2023/08/3.-Tahane-strudle-Viera-Holakova-rotated.jpg</t>
  </si>
  <si>
    <t>https://katalogsp.gov.sk/viera-nika-s-r-o/</t>
  </si>
  <si>
    <t>+421 915 978 050</t>
  </si>
  <si>
    <t>vieranika1@gmail.com</t>
  </si>
  <si>
    <t>Cukrárenská výrobňa Vierkine maškrty</t>
  </si>
  <si>
    <t>Výroba cukrárskych produktov - zákuskov, koláčov, toriet, ťahaných štrúdlí, pagáčov, slaného a sladkého pečiva, domácich polotovarov a výrobkov bez lepku, laktózy a iných alergénov. 
Okrem toho ponúkame obložené misy a chlebíčky na rôzne oslavy a akcie. 
Pre firmy ponúkame aj možnosť tlače loga na medovníky a pečivo a rôzne výrobky podľa želania.</t>
  </si>
  <si>
    <t>zákusky, torty, cukrárenské výrobky, ťahané štrúdle, pagáče, slané pečivo, sladké pečivo, vianočné pečivo, medovníky, medovníčky, výrobky s logom firmy, obložené misy, chlebíčky, suroviny na pečenie, jedlé obrázky, jedlé figúrky, obaly, bezlepkové výrobky, bezlaktózové výrobky</t>
  </si>
  <si>
    <t>Obchodík u Vierky - predajňa a eshop cukrárskych a kuchárskych potrieb</t>
  </si>
  <si>
    <t>Obchodík u Vierky je zameraný na ponuku rôznych surovín a potrieb pre cukrárov (kvalitné suroviny na pečenie, tlač jedlých obrázkov, jedlé aj nejedlé figúrky a dekorácie, formy, rôzne kuchynské pomôcky, obaly, zmrzlinové kornútky, tartaletky a iné).</t>
  </si>
  <si>
    <t>Obecné služby Budmerice s. r. o.</t>
  </si>
  <si>
    <t>čistiace a upratovacie služby, stavebníctvo, odpady a recyklácia</t>
  </si>
  <si>
    <t>Budmerice 525, 900 86 Budmerice</t>
  </si>
  <si>
    <t>Ponúkame prevažne stavebnú činnosť a údržbárske práce. V rámci podnikateľskej činnosti chceme ponúkať služby občanom obce: úprava zelene na pozemkoch, drobné stavebné práce, kanalizačné prípojky, pokládky zámkovej dlažby, výkopy, odvoz stavebnej sute a pod.</t>
  </si>
  <si>
    <t>Zamestnávame znevýhodnených  občanov obce Budmerice.</t>
  </si>
  <si>
    <t>https://katalogsp.gov.sk/wp-content/uploads/2023/09/LOGO-OS-Budmerice.jpg</t>
  </si>
  <si>
    <t>https://katalogsp.gov.sk/obecne-sluzby-budmerice-s-r-o/</t>
  </si>
  <si>
    <t>+421 917 281 431</t>
  </si>
  <si>
    <t>osbudmerice@gmail.com</t>
  </si>
  <si>
    <t>Obecné služby Budmerice</t>
  </si>
  <si>
    <t>Stavebná a údržbárska činnosť pre obec a ďalšie služby občanom obce: úprava zelene na pozemkoch, drobné stavebné práce, kanalizačné prípojky, pokládky zámkovej dlažby, výkopy, odvoz stavebnej sute a pod.</t>
  </si>
  <si>
    <t>Stavebná činnosť, upratovanie, údržbárske práce, úprava zelene, pokládka zámkovej dlažby, výkopové práce, odvoz stavebnej sute</t>
  </si>
  <si>
    <t>AIMI,s.r.o., r.s.p.</t>
  </si>
  <si>
    <t>Hybešova 51, 831 06 Bratislava</t>
  </si>
  <si>
    <t>Rehabilitačné centrum AIMI ponúka širokú ponuku masáží rehabilitačných i relaxačných, fyzioterapiu, infrasaunu, oxygenoterapiu.</t>
  </si>
  <si>
    <t>AIMI s.r.o. napĺňa podmienku dosahovania pozitívneho sociálneho vplyvu v spoločnosti tým, že zamestnáva občanov so zdravotným znevýhodnením a poskytuje im príležitosť pracovať a zlepšovať svoje zručnosti a schopnosti.</t>
  </si>
  <si>
    <t>https://katalogsp.gov.sk/wp-content/uploads/2023/09/IMG-20230917-WA0014-KUBALA-MIchal.jpg</t>
  </si>
  <si>
    <t>https://katalogsp.gov.sk/aimis-r-o-r-s-p/</t>
  </si>
  <si>
    <t>+421 948 822 499</t>
  </si>
  <si>
    <t>aimi@aimi.sk</t>
  </si>
  <si>
    <t>Rehabilitačné centrum AIMI, s.r.o.</t>
  </si>
  <si>
    <t>Ponúkame širokú ponuku masáží rehabilitačných i relaxačných, fyzioterapiu, infrasaunu, oxygenoterapiu.</t>
  </si>
  <si>
    <t>klasická masáž, bazálna stimulácia, reflexná masáž chodidiel, manuálna lymfodrenáž, masáž kokosovým olejom, rašelinové zábaly, masáž lávovými kameňmi, francúzska žilová masáž, orientálna olejová masáž chodidiel, prístrojová lymfodrenáž, post-covidová rehabilitácia</t>
  </si>
  <si>
    <t>CESTA Rožňava n.o., registrovaný sociálny podnik</t>
  </si>
  <si>
    <t>Kósu-Schoppera 141/22, 048 01 Rožňava</t>
  </si>
  <si>
    <t>Naš sociálny podnik poskytuje služby v lesníctve, poľnohospodárstve a záhradníctve, činnosti súvisiace s čistením a údržbou zariadení a krajinnou úpravou. Zamestnanci chodia kosiť aj do záhrad k rodinným domom v meste a okolitých obciach.</t>
  </si>
  <si>
    <t>Hlavným cieľom podniku je vytvoriť pracovné príležitosti  na zamestnanie dlhodobo nezamestnaných, osôb so zdravotným znevýhodnením. Naše služby majú komunitný charakter s pozitívnym dopadom na elimináciu predsudkov voči MRK.</t>
  </si>
  <si>
    <t>https://katalogsp.gov.sk/wp-content/uploads/2023/11/cesta-Roznava_logo.jpg</t>
  </si>
  <si>
    <t>https://katalogsp.gov.sk/cesta-roznava-n-o-registrovany-socialny-podnik/</t>
  </si>
  <si>
    <t>+421 917 943 781</t>
  </si>
  <si>
    <t>edita.ibosova@caritas.sk</t>
  </si>
  <si>
    <t>poskytuje služby v lesníctve, poľnohospodárstve a záhradníctve, činnosti súvisiace s čistením a údržbou zariadení a krajinnou úpravou. Zamestnanci chodia kosiť aj do záhrad k rodinným domom v meste a okolitých obciach.</t>
  </si>
  <si>
    <t>kosenie, čistenie pozemkov, palivové drevo, odpratávanie snehu</t>
  </si>
  <si>
    <t>Bol raz jeden človek</t>
  </si>
  <si>
    <t>reklama, bižutéria a darčekové predmety, potraviny a nápoje, odevy a obuv, pre deti,</t>
  </si>
  <si>
    <t>Grösslingová 2466/47, 811 09 Bratislava</t>
  </si>
  <si>
    <t>Našim produktom je kresba s nenapodobniteľným rukopisom kresličov s mentálnym postihnutím a jej aplikácia na rôzne produkty je v zásade bez hraníc. Ponúkame svoju vlastnú tvorbu pod značkou Hento Toto v podobe brošní, odznakov, tričiek, ponožiek, tašiek, pohľadníc, čokolád, tetovačiek, nálepiek atď. Viac na www.hentototo.sk . Ale radi tvoríme aj jedinečné produkty na zákazku podľa preferencií a potrieb zákazníka.</t>
  </si>
  <si>
    <t>Sme kreatívne grafické štúdio,založené pre kolegov s mentálnym postihnutím, vychádzajúc z ich potrieb a záujmov. Tie sme spoločne rozvíjali viac ako 10 rokov v rámci pracovno-terapeutických aktivít a výsledkom tejto práce je, že zo záľuby v umeleckých aktivitách sa stalo platené zamestnanie a z kamarátov naši kolegovia-kresliči. Prácu našich kresličov dopĺňajú profesionáli z rôznych oblastí a preto sú výstupy z tvorby originálne a kvalitné. Snažíme sa rúcať stereotypné predstavy a predsudky verejnosti o ľuďoch s mentálnym postihnutím, ktorí boli a sú najťažšie zamestnateľnou skupinou na trhu práce . Špecifikom nášho sociálneho podniku je tiež skutočnosť, že dávame priestor na profesionálne uplatnenie aj ľuďom s iným druhom znevýhodnení. Snažíme sa objaviť a podporiť v každom to najlepšie.</t>
  </si>
  <si>
    <t>https://katalogsp.gov.sk/wp-content/uploads/2023/11/Bol-raz-jeden-clovek-1-logo.jpg</t>
  </si>
  <si>
    <t>https://katalogsp.gov.sk/bol-raz-jeden-clovek/</t>
  </si>
  <si>
    <t>+421 908 733 267</t>
  </si>
  <si>
    <t>ahoj@hentototo.sk</t>
  </si>
  <si>
    <t>www.hentototo.sk</t>
  </si>
  <si>
    <t>Našim produktom je kresba s nenapodobniteľným rukopisom kresličov s mentálnym postihnutím a jej aplikácia je v zásade bez hraníc. Ponúkame svoju vlastnú tvorbu pod značkou Hento Toto v podobe brošní, odznakov, tričiek, ponožiek, tašiek, pohľadníc, čokolád, tetovačiek, nálepiek atď. Viac na www.hentototo.sk . Ale radi tvoríme aj jedinečné produkty na zákazku podľa preferencií a potrieb zákazníka.</t>
  </si>
  <si>
    <t>Vlastné produkty – kovové brošne na pin, odznaky (buttons), pohľadnice, tričká, ponožky, tašky, tetovačky, nálepky, pexeso, omaľovánky, čokolády, cukríky, hrnčeky, kalendár atď. Personalizované produkty na zákazku – ilustrácia, grafické spracovanie námetu podľa zadania zákazníka a aplikácia na rôzne darčekové predmety - od personalizovaných baliacich obalov, cez ktorýkoľvek z výrobkov ktorý ponúkame, až po výtvarné realizácie nápadov zákazníka.</t>
  </si>
  <si>
    <t xml:space="preserve">MGBIZ, s.r.o. </t>
  </si>
  <si>
    <t>Puškinova 1423/12, 052 01 Spišská Nová Ves</t>
  </si>
  <si>
    <t>Gurmánske špeciality najmä zo Slovenska a z Európskej únie - darčeky a debničky plné delikates. 
 Prinášame na slovenský trh špeciality, ktoré sme sami ochutnali a za ktorými si stojíme. Dbáme na kvalitu, ale aj na životné prostredie, takže okrem delikates u nás nájdete aj výrobky, vďaka ktorým nebudete vytvárať ďalší odpad napr. v podobe PET fliaš.</t>
  </si>
  <si>
    <t>Zamestnávame znevýhodnené osoby a redukciou tvorby odpadu sa snažíme prispieť k ochrane životného prostredia.</t>
  </si>
  <si>
    <t>https://katalogsp.gov.sk/wp-content/uploads/2023/11/mgbiz_-Som-gurman.jpg</t>
  </si>
  <si>
    <t>https://katalogsp.gov.sk/mgbiz-s-r-o/</t>
  </si>
  <si>
    <t>+421 903 033 471</t>
  </si>
  <si>
    <t>somgurman@somgurman.sk</t>
  </si>
  <si>
    <t>Som gurmán</t>
  </si>
  <si>
    <t>Predaj delikates, vína, alkoholu, remeselného piva a nealko vína.</t>
  </si>
  <si>
    <t>delikatesy, gurmánske darčeky, víno, pivo, talianske špeciality, syry, prosciutto, cestoviny, čaj, káva, džemy, mixit, víno hruška, pesto, olivový olej, fľaše na vodu, termosky, ginger shot, brandy, rum, gin, nealko víno, nealko alkohol</t>
  </si>
  <si>
    <t>Servis JK s.r.o.</t>
  </si>
  <si>
    <t>Tajovského 22, 97401 Banská Bystrica</t>
  </si>
  <si>
    <t>Ponúkame ubytovanie v penzióne Alcorso</t>
  </si>
  <si>
    <t>Sme integračný sociálny podnik</t>
  </si>
  <si>
    <t>https://katalogsp.gov.sk/servis-jk-s-r-o/</t>
  </si>
  <si>
    <t>+421 483811189</t>
  </si>
  <si>
    <t>info@alcorso.sk</t>
  </si>
  <si>
    <t>Penzion Alcorso</t>
  </si>
  <si>
    <t>ubytovanie v penzióne Alcorso</t>
  </si>
  <si>
    <t>Obecné služby Boldog, s.r.o.</t>
  </si>
  <si>
    <t>čistiace a upratovacie služby, poľnohospodárstvo a lesníctvo, dom a záhrada, stavebníctvo, doprava, kultúra a šport, odpady a recyklácia, iné (tovary a služby)</t>
  </si>
  <si>
    <t>Boldog 89, 925 26 Boldog</t>
  </si>
  <si>
    <t>Náš podnik ponúka širší záber služieb. Od čistiacich a upratovacích prác, úpravu a údržbu záhrad, orez stromov, spracovanie drevného odpadu, služby v oblasti dobravy a prepravy osôb, a do budúcna plánujeme rozšíriť aktivity aj na pestovateľskú činnosť a výrobu štiepky/peliet. Našimi zákazníkmi sú najmä obyvatelia obce Boldog a jej okolia (mesto Senec, obec Reca), fyzické i právnické osoby a tiež obec Boldog. Ponúkame profesionálny a citlivý prístup. Pri práci používame profesionálne náradie a pomôcky, ktorých rozsah neustále rozširujeme.</t>
  </si>
  <si>
    <t>Väčšinu našich zamestnancov tvoria osoby zo znevýhodnenej a zraniteľnej skupiny obyvateľstva. Zároveň svojou činnosťou prispievajú k zlepšeniu spoločenského postavenia týchto osôb vo všeobecnosti a odbúraniu mýtov o "neschopnosti" ľudí so znevýhodnením, zapojiť sa do spoločenského a pracovného života. Zároveň svojou činnosťou napomáhajú zlepšovať životné podmienky obyvateľov obce a rozsah poskytovaných služieb.</t>
  </si>
  <si>
    <t>https://katalogsp.gov.sk/obecne-sluzby-boldog-s-r-o</t>
  </si>
  <si>
    <t>+421911350552</t>
  </si>
  <si>
    <t>podnik@boldog.sk</t>
  </si>
  <si>
    <t>Obecné služby Boldog</t>
  </si>
  <si>
    <t>Náš RSP sa zaoberá upratovacími a čistiacimi službami, tepovaním, údržbou záhrad a verejných priestranstiev, kosením, orezávaním stromov, spracovaním drevného odpadu, drobnými stavebnými prácami, dopravnými a prepravnými službami</t>
  </si>
  <si>
    <t>čistiace a upratovacie služby, poľnohospodárstvo a lesníctvo, dom a záhrada, stavebníctvo, doprava, odpady a recyklácia</t>
  </si>
  <si>
    <t>BELSPOL SP, s.r.o.</t>
  </si>
  <si>
    <t>Hronská 1037/27, 962 31 Sliač</t>
  </si>
  <si>
    <t>Zásobovanie ovocím a zeleninou gastro prevádzky. Čistenie, spracovanie, balenie ovocia zeleniny a zemiakov podľa potrieb zákazníka.</t>
  </si>
  <si>
    <t>https://katalogsp.gov.sk/belspol-sp-s-r-o/</t>
  </si>
  <si>
    <t>+421 907 696 666</t>
  </si>
  <si>
    <t>sp@belspol.sk</t>
  </si>
  <si>
    <t>Sklad BELSPOL</t>
  </si>
  <si>
    <t>Sklad ovocia a zeleniny, výroba, čistenie balenie ovocia a zeleniny</t>
  </si>
  <si>
    <t>Ovocie, zelenina, zemiaky.</t>
  </si>
  <si>
    <t xml:space="preserve">neurogym s. r. o., registrovaný sociálny podnik </t>
  </si>
  <si>
    <t>Fraňa Kráľa 11, Brezno 97701</t>
  </si>
  <si>
    <t>neurorehabilitácia, regeneračné a rekondičné cvičenie</t>
  </si>
  <si>
    <t>Pomáhame ľuďom po úraze miechy, s neurologickým ochorením alebo deťom s DMO zlepšiť ich zdravotný stav a vrátiť sa späť do života.</t>
  </si>
  <si>
    <t>https://katalogsp.gov.sk/neurogym-s-r-o-registrovany-socialny-podnik/</t>
  </si>
  <si>
    <t>+421918980710</t>
  </si>
  <si>
    <t>info@neurogym.sk</t>
  </si>
  <si>
    <t>NEUROGYM</t>
  </si>
  <si>
    <t>Neurorehabilitácia inak. Unikátna forma rehabilitácie formou individuálneho, aktívneho cvičenia.</t>
  </si>
  <si>
    <t>neurorehabilitácia, fyzioterapia, regenerácia, rehabilitaćia</t>
  </si>
  <si>
    <t>Sociálny podnik mesta Svidník, s. r. o.</t>
  </si>
  <si>
    <t>čistiace a upratovacie služby, poľnohospodárstvo a lesníctvo, dom a záhrada, stavebníctvo, doprava, kultúra a šport, odpady a recyklácia, reklama</t>
  </si>
  <si>
    <t>Stropkovská 717/82, 089 01 Svidník</t>
  </si>
  <si>
    <t>Sociálny podnik mesta Svidník bol založený v apríli 2021 v súčasnosti  zamestnáva 21 ľudí. Kolektív Sociálneho podniku má za sebou veľké množstvo úspešne zrealizovaných projektov v meste Svidník a blízkom okolí. Venujeme sa hlavne oblasti stavebníctva, taktiež vykonávame ďalšie činnosti ktoré sú čistiace a upratovacie služby, záhradníctvo, poľnohospodárstvo a lesníctvo, sťahovacie služby, skladové, pomocné a prepravné služby v doprave, reklamné, marketingové, fotografické a informačné služby, prieskum trhu a verejnej mienky, prevádzkovanie kultúrnych, spoločenských, zábavných, údržba.</t>
  </si>
  <si>
    <t>Podpora regionálneho rozvoja a zamestnanosti, sociálna pomoc, kultúra, vzdelávanie</t>
  </si>
  <si>
    <t>https://katalogsp.gov.sk/socialny-podnik-mesta-svidnik-s-r-o/</t>
  </si>
  <si>
    <t>+421918912168</t>
  </si>
  <si>
    <t>ripperstefan@gmail.com</t>
  </si>
  <si>
    <t>Stavebníctvo, dom a záhrada, čistiace služby.</t>
  </si>
  <si>
    <t>Stavebníctvo, zemné práce, búranie, kosenie, upratovacie služby.</t>
  </si>
  <si>
    <t>Obecný podnik Melčice-Lieskové s.r.o.</t>
  </si>
  <si>
    <t>čistiace a upratovacie služby, dom a záhrada, stavebníctvo, doprava</t>
  </si>
  <si>
    <t>Melčice-Lieskové 119, 913 05 Melčice</t>
  </si>
  <si>
    <t>Naša firma realizuje stavebné práce - rekonštrukčné práce, terénne úpravy, výkopové ručné práce, zasypanie výkopu ručne, betonárske práce, služby prepravy materiálu a služby starostlivosť o domácnosť a záhradu.</t>
  </si>
  <si>
    <t>Ponúkame služby na podporu regionálneho rozvoja a zamestnanosti.</t>
  </si>
  <si>
    <t>https://katalogsp.gov.sk/obecny-podnik-melcice-lieskove-s-r-o/</t>
  </si>
  <si>
    <t>0903789127</t>
  </si>
  <si>
    <t>sluzby@melcice-lieskove.sk</t>
  </si>
  <si>
    <t>Obecný podnik Melčice -Lieskové s.r.o.</t>
  </si>
  <si>
    <t>Naša firma sa realizuje stavebné práce - rekonštrukčné práce, terénne úpravy, výkopové ručné práce, zasypanie výkopu ručne, betonárske práce, služby prepravy materiálu a služby starostlivosť o domácnosť a záhradu.</t>
  </si>
  <si>
    <t>Stavebníctvo, preprava.</t>
  </si>
  <si>
    <t>Pani Sova s.r.o.</t>
  </si>
  <si>
    <t>Rudnianska Lehota 306, 97226 Rudnianska Lehota</t>
  </si>
  <si>
    <t>Dynamicky sa rozvíjajúca spoločnosť, ktorá sa špecializuje na poskytovanie komplexných služieb v oblasti účtovníctva, upratovania a údržby. Naším cieľom je poskytovať kvalitné a spoľahlivé služby, ktoré uspokoja potreby našich zákazníkov a prispejú k ich úspechu a pohodliu.</t>
  </si>
  <si>
    <t>Náš podnik, Pani Sova, s.r.o., sa snaží byť spoločensky prospešný vo viacerých aspektoch, čím prispieva k zlepšeniu kvality života v našej komunite a k ochrane životného prostredia. Tu sú hlavné oblasti, v ktorých náš podnik prináša spoločenský prospech: Zamestnanosť a pracovná integrácia, Ekologická zodpovednosť, Podpora komunity</t>
  </si>
  <si>
    <t>https://katalogsp.gov.sk/pani-sova-s-r-o/</t>
  </si>
  <si>
    <t>+421915771179</t>
  </si>
  <si>
    <t>ucto.pani.sova@gmail.com</t>
  </si>
  <si>
    <t>Naša prevádzkareň sa špecializuje na poskytovanie komplexných účtovných služieb a odborných školení.</t>
  </si>
  <si>
    <t>Účtovné služby, Mzdy a personalistika, Dezinfekcia priestorov, Ekologické čistenie, Údržba budov, Opravárske služby</t>
  </si>
  <si>
    <t xml:space="preserve">Naša prevádzkareň sa špecializuje na poskytovanie upratovacích služieb a údržby okolia pre seniorov a dôchodcov. </t>
  </si>
  <si>
    <t>DREVENICA, s.r.o.</t>
  </si>
  <si>
    <t>Gaštanova 167/1, Beladice 951 75</t>
  </si>
  <si>
    <t>komunálne, technické a upratovacie služby</t>
  </si>
  <si>
    <t>Odlišuje sa predovšetkým v zamestnávaní znevýhodnených a zraniteľných ľudí</t>
  </si>
  <si>
    <t>https://katalogsp.gov.sk/wp-content/uploads/2025/07/Logo-Drevenica-Socialne-veci-OBEC-BELADICE-1.jpeg</t>
  </si>
  <si>
    <t>https://katalogsp.gov.sk/drevenica-s-r-o/</t>
  </si>
  <si>
    <t>+421905514083</t>
  </si>
  <si>
    <t>socialneveci.beladice@gmail.com</t>
  </si>
  <si>
    <t>Zaoberáme sa technickými, komunálnymi a upratovacími službami</t>
  </si>
  <si>
    <t xml:space="preserve">kosenie, upratovanie, čistenie, stavebné práce </t>
  </si>
  <si>
    <t xml:space="preserve">Libela s.r.o. </t>
  </si>
  <si>
    <t>stavebníctvo, vzdelávanie, účtovníctvo a poradenstvo, reklama, iné (tovary a služby), kovovýroba</t>
  </si>
  <si>
    <t xml:space="preserve">Andreja Kmeťa 12, 969 01  Banská Štiavnica </t>
  </si>
  <si>
    <t xml:space="preserve">Predmetom našej činnosti je architektúra, projekcia a dizajn najmä v oblasti pamiatkových objektov a atypických realizácií, ako aj komplexná obnova pamiatok. Svoju činnosť sme rozšírili aj o manuálne činnosti, ako je spracovanie drevnej hmoty a stolárstvo, stavebné práce na pamiatkových objektoch, projekčnú činnosť, drobné murárske, omietkarské a maliarske práce. Naše služby sú určené nielen pre orgány štátnej správy a samosprávy, ale aj pre ich občanov a podnikateľské subjekty. </t>
  </si>
  <si>
    <t xml:space="preserve">Zamestnávame osoby so zdravotným znevýhodnením, ktorými sú sluchovo postihnuté osoby a osoby s iným telesným postihnutím.  Dávame tak možnosť uplatniť sa skupinám znevýhodnených obyvateľov na trhu práce, najmä v regióne Banskobystrického kraja. </t>
  </si>
  <si>
    <t>https://katalogsp.gov.sk/wp-content/uploads/2025/07/Libela-5-Magdalena-Lukacova-Libela-s.r.o.jpg</t>
  </si>
  <si>
    <t>https://katalogsp.gov.sk/libela-s-r-o/</t>
  </si>
  <si>
    <t>+421907344743</t>
  </si>
  <si>
    <t>rsp@libela.sk</t>
  </si>
  <si>
    <t>Libela s.r.o.</t>
  </si>
  <si>
    <t xml:space="preserve">Architektúra, projekcia, dizajn, obnova pamiatok, reštaurovanie, stavebníctvo, stolárstvo, murárstvo, kamenárstvo, tesárstvo, maliarstvo, stavebný dozor, stavbyvedúci, vyučovanie, vzdelanie, umenie, sprostredkovanie. </t>
  </si>
  <si>
    <t xml:space="preserve">Architektúra, projekcia, dizajn, obnova pamiatok, reštaurovanie, stavebníctvo, stolárstvo, murárstvo, kamenárstvo, tesárstvo, maliarstvo, stavebný dozor, stavbyvedúci, vyučovanie, vzdelanie, umenie, poradenstvo, sprostredkovanie. </t>
  </si>
  <si>
    <t>Milena Krištofová registrovaný sociálny podnik</t>
  </si>
  <si>
    <t>29.augusta 2033/104, 038 52 Sučany</t>
  </si>
  <si>
    <t>- reštaurácia, catering, denné menu, ubytovanie, krstiny, sväté prijímanie, birmovka, konfirmácia, svadby, plesy, smútočné posedenie, firemné večierky, závodné stravovanie</t>
  </si>
  <si>
    <t>- zamestnávame sociálne znevýhodnených a zraniteľných, pomáhame dôchodcom príspevkami na stravu,</t>
  </si>
  <si>
    <t>https://katalogsp.gov.sk/wp-content/uploads/2025/07/budova-fotka-vonka-Milena-Kristofova.jpg</t>
  </si>
  <si>
    <t>https://katalogsp.gov.sk/milena-kristofova-socialny-podnik/</t>
  </si>
  <si>
    <t>+421908942331, +421918032345</t>
  </si>
  <si>
    <t>espritsucany@gmail.com</t>
  </si>
  <si>
    <t>Penzión Esprit</t>
  </si>
  <si>
    <t>- reštaurácia, ubytovanie</t>
  </si>
  <si>
    <t>reštaurácia, ubytovanie, penzión</t>
  </si>
  <si>
    <t>GrowGroup, s. r. o.</t>
  </si>
  <si>
    <t>čistiace a upratovacie služby, dom a záhrada, stavebníctvo, doprava, auto-moto, elektro, iné (tovary a služby), kovovýroba</t>
  </si>
  <si>
    <t>Okoličná na Ostrove 441, 946 13 Okoličná na Ostrove</t>
  </si>
  <si>
    <t>Sociálny podnik GrowGroup je členom medzinárodnej skupiny SITUS Group. Prioritne sa zameriava na automobilový priemysle, sme však flexibilný a vieme poskytovať služby a výrobu podľa požiadaviek zákazníkov. Portfólio našich služieb je široké, stačí si len vybrať, osloviť nás a na spolupráci sa radi dohodneme.  Okrem vlastnej výroby vo vlastných  priestoroch , ponúkame aj spoluprácu i interne  u Vás na základe kooperačného objednania.</t>
  </si>
  <si>
    <t xml:space="preserve">Hlavným cieľom nášho  sociálneho podniku je dosahovanie merateľného pozitívneho sociálneho vplyvu. Cieľom sociálneho podnikania v našej spoločnosti  je to, aby znevýhodnené alebo zraniteľné osoby mali príležitosť zamestnať sa, získali pracovné návyky a rozvíjali svoje osobnostné predpoklady.  V zmysle poskytovania spoločensky prospešnej služby podpory zamestnanosti spoločnosť zamestnáva  zraniteľné a znevýhodnené osoby. Spoločnosť  má  i svoje  školiace a tréningové centrum, v ktorom znevýhodnené a zraniteľné osoby získavajú a osvojujú  si pracovné zručnosti, prekonávajú jazykové bariéry, začleňujú  sa do pracovného kolektívu, pripravujú  sa na vstup, či na návrat na otvorený trh práce. Zamestnanci  si  osvojujú  pracovné návyky a získavajú nové zručnosti pre výkon povolania, čo zvyšuje  šance na ich opätovné začlenenie  do pracovného kolektívu. </t>
  </si>
  <si>
    <t>https://katalogsp.gov.sk/growgroup-s-r-o/</t>
  </si>
  <si>
    <t>+421903181265</t>
  </si>
  <si>
    <t>growgroup.cr@gmail.com</t>
  </si>
  <si>
    <t>GrowGroup, s.r.o.</t>
  </si>
  <si>
    <t>automobilový priemysel, nabíjacie systémy pre elektromobily, služby pre dom a záhradu, kovovýroba, stavebníctvo, doprava, baliace práce, skladanie, výroba, služby</t>
  </si>
  <si>
    <t>EPIC FARM s.r.o.</t>
  </si>
  <si>
    <t>Bratislavská 4, 949 01 Nitra</t>
  </si>
  <si>
    <t>Snažíme sa vdýchnuť zašlú slávu skleníkom v Nitre, ktoré pomaly obnovujeme a začíname pestovať. Ponúkame lokálne a ekologicky vypestované: zelenian a ovocie, cibuľoviny, trvalky, stromy a mnoho ďalšieho.</t>
  </si>
  <si>
    <t>Chceme priviesť k životu schátrali areál bývaleho ZELOKVETU v Nitre, kde by sme chceli vybudovať komunitné pestovanie, kde by sa celé generácie stretávali a šírili svoje poznatky.</t>
  </si>
  <si>
    <t>https://katalogsp.gov.sk/epic-farm-s-r-o-r-s-p/</t>
  </si>
  <si>
    <t>0901911875</t>
  </si>
  <si>
    <t>uctovnicka@epicflowers.sk</t>
  </si>
  <si>
    <t>Kvety, kytice, dekorácie, ovocie, zelenina,...</t>
  </si>
  <si>
    <t>OBECNÁ PREVÁDZKA LYSÁ, s.r.o.</t>
  </si>
  <si>
    <t>doprava, účtovníctvo a poradenstvo, potraviny a nápoje, iné (tovary a služby)</t>
  </si>
  <si>
    <t>Lysá pod Makytou 1, 020 54 Lysá pod Makytou</t>
  </si>
  <si>
    <t>Spoločnosť bola založená v roku 2008 obcou Lysá pod Makytou ako 100% vlastníkom.Hlavnou podnikateľskou činnosťou je výroba čerstvých pekárenských výrobkov, výroba liehu v liehovarníckom závode na pestovateľské pálenie ovocia a údržba zelene a verejného priestranstva..</t>
  </si>
  <si>
    <t>Spoločnosť je verjno prospešný podnik, ktorého hlavným cieľom je dosahovanie merateľného pozitívneho sociálneho vplyvuposkytovaním spoločensky prospešnej služby, a to v oblasti služby na podporu regionálneho rozvoja zamestnanosti.</t>
  </si>
  <si>
    <t>https://katalogsp.gov.sk/wp-content/uploads/2025/07/Pekaren-Lysa-logo-na-FA-farba-Pekaren-Lysa.jpg</t>
  </si>
  <si>
    <t>https://katalogsp.gov.sk/obecna-prevadzka-lysa-s-r-o/</t>
  </si>
  <si>
    <t>+421903512434</t>
  </si>
  <si>
    <t>pekaren@lysapodmakytou.sk</t>
  </si>
  <si>
    <t>Pekáreň</t>
  </si>
  <si>
    <t>Výroba a predaj čerstvého chleba a pečiva a koláčov</t>
  </si>
  <si>
    <t>Chlieb, pečivo, koláče, potraviny, destilácia ovocného kvasu, doprava, vývoz septiku, mulčovanie, oranie, kosenie, práce s vysokozdvižnou plošinou, administratíva, upratovanie, doprava do 3,5t</t>
  </si>
  <si>
    <t>Pestovateľská pálenica</t>
  </si>
  <si>
    <t>Výroba ovocného destilátu</t>
  </si>
  <si>
    <t>Údržba zelene a doprava</t>
  </si>
  <si>
    <t>ponúkame práce s vysokozdvižnou plošinou, dopravu do 3,5t, vývoz žumpy a odpadových vôd, mulčovanie, kosenie, práce s kultivátorom</t>
  </si>
  <si>
    <t>poľnohospodárstvo a lesníctvo, doprava</t>
  </si>
  <si>
    <t>D.Z. Work s.r.o.,</t>
  </si>
  <si>
    <t>čistiace a upratovacie služby, ubytovacie a stravovacie služby, cestovný ruch</t>
  </si>
  <si>
    <t>Habura 270, 067 52 Habura</t>
  </si>
  <si>
    <t>Poskytujeme ubytovacie služby v penzióne Apartmány Habura, prenájom spoločenskej haly Solivar (na rôzne kultúrne a spoločenské akcie, ako sú svadby, teambuildingy ...), údržba obce, čistiace a upratovacie služby.</t>
  </si>
  <si>
    <t>Zamestnávame zdravotne znevýhodnené a zraniteľné osoby. 100% zo svojho zisku používame na dosahovanie hlavného pozitívneho sociálneho cieľa spoločnosti.</t>
  </si>
  <si>
    <t>https://katalogsp.gov.sk/wp-content/uploads/2025/07/Penzion-Apartmany-Habura-Darina-Zavacka.jpg</t>
  </si>
  <si>
    <t>https://katalogsp.gov.sk/d-z-work-s-r-o/</t>
  </si>
  <si>
    <t xml:space="preserve">+421 905 860 655, +421 908 257 433
</t>
  </si>
  <si>
    <t>dzworksro@gmail.com</t>
  </si>
  <si>
    <t>D.Z. Work s.r.o., r.s.p.</t>
  </si>
  <si>
    <t>Ubytovacie služby bez poskytovania pohostinných činností, prenájom spoločenskej haly Solivar, čistiace a upratovacie služby</t>
  </si>
  <si>
    <t>ubytovanie, penzión, cestovný ruch, upratovanie</t>
  </si>
  <si>
    <t>WAYANA s. r. o.</t>
  </si>
  <si>
    <t>krása-zdravie-relax, bižutéria a darčekové predmety</t>
  </si>
  <si>
    <t>Šarišská ulica 94/34, 094 34 Bystré</t>
  </si>
  <si>
    <t xml:space="preserve">WAYANA HOME je slovenská značka zameraná na ručnú výrobu sviečok, difúzerov a kvetinových aranžmánov. Naše produkty vznikajú s dôrazom na dizajn, prírodu a emóciu. Sme sociálny podnik, ktorý dáva príležitosť znevýhodneným ľuďom, čím prepájame estetiku s ľudskosťou a skutočnou hodnotou. Všetko vyrábame lokálne na východnom Slovensku s ohľadom na životné prostredie a remeselnú kvalitu. Venujeme sa zákazkovej výrobe, darčekovým balíčkom pre firmy a personalizovaným projektom pre firmy, inštitúcie a konečných spotrebiteľov. </t>
  </si>
  <si>
    <t>V našej spoločnosti vytvárame pracovné príležitosti pre znevýhodnených ľudí, podporujeme miestnu ekonomiku a pri výrobe produktov používame ekologické materiály a obaly, čím minimalizujeme dopad na životné prostredie.</t>
  </si>
  <si>
    <t>https://katalogsp.gov.sk/wp-content/uploads/2025/07/Photoroom_20250201_140924-Antonia-Sarisska.jpeg</t>
  </si>
  <si>
    <t>https://katalogsp.gov.sk/wayana-s-r-o/</t>
  </si>
  <si>
    <t>+421911377540</t>
  </si>
  <si>
    <t>info@wayanahome.sk</t>
  </si>
  <si>
    <t>V našej prevádzke ručne vyrábame a zároveň aj predávame produkty.</t>
  </si>
  <si>
    <t>Sviečky, difúzery, darčeky, personalizované darčeky, firemné darčeky</t>
  </si>
  <si>
    <t>Stolárstvo Václav s.r.o</t>
  </si>
  <si>
    <t>Hniezdne 298, 065 01 Hviezdne</t>
  </si>
  <si>
    <t xml:space="preserve">Zákazková výroba nábytku v interiéri </t>
  </si>
  <si>
    <t xml:space="preserve">Zamestnanie znevýhodnených osôb </t>
  </si>
  <si>
    <t>https://katalogsp.gov.sk/stolarstvo-vaclav-s-r-o/</t>
  </si>
  <si>
    <t>+421948510348</t>
  </si>
  <si>
    <t>vyrostekv@gmail.com</t>
  </si>
  <si>
    <t>Stolárstvo Václav r.s.o r.s.p</t>
  </si>
  <si>
    <t xml:space="preserve">Zákazková výroba nábytku v interiéroch na mieru </t>
  </si>
  <si>
    <t xml:space="preserve">Stolárstvo výroba nábytku </t>
  </si>
  <si>
    <t>Naša Bublinka, s.r.o.</t>
  </si>
  <si>
    <t>Sucháčovská 2198/4, 038 61 Vrútky</t>
  </si>
  <si>
    <t>Naša Bublinka je kamenný a online obchod pre deti a ich rodičov, ktorí hľadajú kvalitné, funkčné a zároveň udržateľné produkty. V našej predajni v Martine nájdete oblečenie, obuv, ekologické hračky a doplnky pre deti od narodenia až do 10 rokov. Zameriavame sa na výber tovaru, ktorý je nielen krásny, ale aj zodpovedne vyrobený – s dôrazom na kvalitu, ekologickú hodnotu a etickú výrobu. Našu ponuku pravidelne obmieňame podľa sezóny a potrieb malých zákazníkov. Okrem predajne prevádzkujeme aj eshop, vďaka ktorému si naše produkty môžete objednať pohodlne z domova. Sme miestom, kde sa spája štýl, praktickosť a zodpovednosť – pre deti, ktoré si zaslúžia to najlepšie.</t>
  </si>
  <si>
    <t>Zamestnávame osoby so zdravotným znevýhodnením</t>
  </si>
  <si>
    <t>https://katalogsp.gov.sk/wp-content/uploads/2025/08/1-RSP-LOGO-Levcikova-Lucia.png</t>
  </si>
  <si>
    <t>https://katalogsp.gov.sk/nasa-bublinka-s-r-o/</t>
  </si>
  <si>
    <t>+421 904 868 754</t>
  </si>
  <si>
    <t>info@nasabublinka.sk</t>
  </si>
  <si>
    <t>Naša Bublinka je kamenný a online obchod pre deti a ich rodičov, ktorí hľadajú kvalitné, funkčné a zároveň udržateľné produkty. V našej predajni v centre Martina nájdete oblečenie, obuv, hračky a doplnky pre deti od narodenia až do 10 rokov.
Zameriavame sa na výber tovaru, ktorý je nielen krásny, ale aj zodpovedne vyrobený – s dôrazom na kvalitu, ekologickú hodnotu a etickú výrobu. Našu ponuku pravidelne obmieňame podľa sezóny a potrieb malých zákazníkov.
Okrem predajne prevádzkujeme aj eshop, vďaka ktorému si naše produkty môžete objednať pohodlne z domova.
Sme miestom, kde sa spája štýl, praktickosť a zodpovednosť – pre deti, ktoré si zaslúžia to najlepšie.</t>
  </si>
  <si>
    <t>Naša Bublinka, detský obchod, detský concept store, kvalitné detské oblečenie, detské hračky, ekologické hračky, fair-trade produkty pre deti, udržateľné detské produkty, oblečenie do dažďa pre deti, detské gumáky, topánky na prvé kroky, zimné termo čižmy pre deti, slovenské detské značky, ⁠škandinávske detské značky, drevené hračky pre deti, ⁠edukatívne hračky, kreatívne hračky, ⁠⁠bytové doplnky pre deti, ⁠funkčné detské oblečenie, detské sandále, slovenské detské oblečenie, detské doplnky, detská móda, detské oblečenie online, kvalitné detské hračky, detská obuv, detské capačky, ⁠detské topánočky, slnečné okuliare,plavky pre deti, obuv, barefoot topánky, anatomické topánky, papuče pre deti</t>
  </si>
  <si>
    <t>STAVGOR s.r.o.</t>
  </si>
  <si>
    <t xml:space="preserve">Bystrická 477, 966 81 Žarnovica </t>
  </si>
  <si>
    <t xml:space="preserve">Naša spoločnosť STAVGOR s.r.o. sa venuje stavebnej činnosti. Realizujeme všetky stavebné a búracie práce, rekonštrukcie budov, bytov a domov, zemné a výkopové práce, maliarske práce, zateplovanie, rekonštrukcie plochých striech, vodoinštalačné, kúrenárske a elektrikárske práce, montáž sádrokartónov, obklady dlažby. </t>
  </si>
  <si>
    <t>Zamestnávame znevýhodnené a zraniteľné osoby</t>
  </si>
  <si>
    <t>https://katalogsp.gov.sk/wp-content/uploads/2025/08/8899300200266773717-1-_-Jozef-Goral.jpg</t>
  </si>
  <si>
    <t>https://katalogsp.gov.sk/stavgor-s-r-o/</t>
  </si>
  <si>
    <t xml:space="preserve">+421 911 991 660 </t>
  </si>
  <si>
    <t>info@stavgor.sk</t>
  </si>
  <si>
    <t xml:space="preserve">STAVGOR s.r.o. </t>
  </si>
  <si>
    <t xml:space="preserve">Stavebná činnosť </t>
  </si>
  <si>
    <t xml:space="preserve">stavebné práce </t>
  </si>
  <si>
    <t>Správa mestského majetku Galanta s.r.o.</t>
  </si>
  <si>
    <t>čistiace a upratovacie služby, dom a záhrada, stavebníctvo, elektro, iné (tovary a služby)</t>
  </si>
  <si>
    <t>Mierové námestie 940/1, 924 18 Galanta</t>
  </si>
  <si>
    <t>Naša spoločnosť sa špecializuje na komplexnú správu a údržbu majetku mesta Galanta. Poskytujeme široké spektrum služieb, ktoré zabezpečujú jeho funkčnosť, estetiku a dlhodobú udržateľnosť. Naši zákazníci sú mestské inštitúcie, obyvatelia a organizácie, ktoré potrebujú profesionálnu starostlivosť o svoje objekty a verejné priestranstvá. Medzi naše hlavné činnosti patria: - Elektrikárske, vodárenské, maliarske a upratovacie služby, ktoré zabezpečujú komfort a bezpečnosť v budovách. - Správa a údržba bytového a nebytového fondu, čím podporujeme kvalitné bývanie a prevádzku mestských priestorov. - Starostlivosť o verejné priestranstvá, vrátane parkov, športovísk, detských ihrísk, cintorínov a všetkých mestských budov. - Dokončovacie stavebné práce pri realizácii exteriérov a interiérov, ktoré zlepšujú celkový vzhľad a funkčnosť objektov. Naším cieľom je poskytovať spoľahlivé a kvalitné služby, ktoré prispievajú k pohodlnému a esteticky príjemnému prostrediu v meste Galanta.</t>
  </si>
  <si>
    <t>Náš sociálny podnik zohráva významnú úlohu v oblasti sociálnej ekonomiky, pričom jeho hlavnou prioritou je dosahovanie pozitívneho spoločenského dopadu. Naša činnosť sa od bežného podnikania odlišuje najmä tým, že kladieme dôraz na zamestnávanie znevýhodnených a zraniteľných obyvateľov, čím im poskytujeme príležitosť na pracovnú integráciu a osobný rozvoj. Podnik funguje na princípoch spoločných hodnôt, pričom aktívne podporujeme jednotlivcov v objavovaní a rozvíjaní ich plného potenciálu. Našou snahou je vytvárať inkluzívne pracovné prostredie, ktoré umožňuje každému zamestnancovi zapojiť sa do aktivít podporujúcich rast podniku a zároveň prispieva k rozvoju mesta Galanta. Konkrétnymi a merateľnými výsledkami našej práce zlepšujeme kvalitu života v komunite a prispievame k sociálnej súdržnosti. Vďaka našej práci dokážeme nielen efektívne spravovať a udržiavať majetok mesta, ale aj vytvárať podmienky na sociálnu integráciu a posilňovanie inkluzívnej kultúry v spoločnosti.</t>
  </si>
  <si>
    <t>https://katalogsp.gov.sk/sprava-mestskeho-majetku-galanta/</t>
  </si>
  <si>
    <t>+421911916966</t>
  </si>
  <si>
    <t>martin.luptak@smmg.sk</t>
  </si>
  <si>
    <t>elektrikárske, vodárenské, maliarske a upratovacie služby  správa a údržba bytového a nebytového fondu  starostlivosť o parky, športoviská, detské ihriská, cintoríny, všetky mestské budovy  dokončovacie stavebné práce pri realizácii exteriérov a interiérov</t>
  </si>
  <si>
    <t xml:space="preserve">Obecný podnik Liptovský Ondrej s.r.o. </t>
  </si>
  <si>
    <t xml:space="preserve">Liptovský Ondrej 247, 032 04 Liptovský Ondrej </t>
  </si>
  <si>
    <t>služby v oblasti obecných služieb</t>
  </si>
  <si>
    <t>Zamestnáva zdravotne postihnutých občanov</t>
  </si>
  <si>
    <t>https://katalogsp.gov.sk/obecny-podnik-liptovsky-ondrej-s-r-o/</t>
  </si>
  <si>
    <t>+421918948714</t>
  </si>
  <si>
    <t>obec@liptovskyondrej.sk</t>
  </si>
  <si>
    <t>Obecný podnik Liptovský Ondrej</t>
  </si>
  <si>
    <t>kosenie a stavebníctvo</t>
  </si>
  <si>
    <t>kosenie</t>
  </si>
  <si>
    <t>ABTEX s.r.o.</t>
  </si>
  <si>
    <t>Jenisejská 10, 040 12 Košice</t>
  </si>
  <si>
    <t>Pre našich klientov, ktorými sú najmä zdravotnícke zariadenia (nemocnice, ambulancie, polikliniky, lekárne, domovy sociálnych služieb), jednotliví zdravotnícki pracovníci, ako aj firmy z rôznych priemyselných odvetví a verejní obstarávatelia, ponúkame komplexné riešenia v oblasti pracovného oblečenia, obuvi, osobných ochranných pracovných prostriedkov (OOPP) a reklamného textilu. S viac ako 20-ročnými skúsenosťami na trhu garantujeme kvalitu a profesionálny prístup.   Naša hlavná činnosť a ponuka zahŕňa:  - Výroba a predaj zdravotníckych odevov a obuvi: Špecializujeme sa na široký sortiment odevov (blúzy, nohavice, plášte, šaty,...) a certifikovanej obuvi pre zdravotnícky personál, s dôrazom na komfort, funkčnosť, odolné materiály a moderný dizajn.  - Široká ponuka priemyselných pracovných odevov: Vyrábame a dodávame odolné pracovné odevy pre rôzne priemyselné sektory, vrátane montérok, , búnd, nohavíc a reflexných odevov, navrhnutých pre náročné pracovné podmienky.  - Kompletný sortiment OOPP: Zabezpečujeme osobné ochranné pracovné prostriedky podľa špecifických potrieb a noriem, vrátane pracovných rukavíc, špecializovanej bezpečnostnej obuvi, ochrany zraku (okuliare, štíty), ochrany sluchu a ďalších prostriedkov.  - Kvalitný reklamný textil: Dodávame široký výber reklamného textilu, ako sú polokošele, košele, mikiny a iné, vhodné pre firemnú prezentáciu.  - Personalizácia a šitie na mieru: Ponúkame možnosť personalizovaných odevov navrhnutých a ušitých presne na mieru vašim požiadavkám. Všetky nami dodané odevy vám profesionálne ologujeme formou potlače alebo výšivky.  - Náhradné plnenie: Ako registrovaný sociálny podnik vám poskytneme možnosť náhradného plnenia za nezamestnávanie zamestnancov so zdravotným postihnutím, čím si splníte svoju zákonom danú povinnosť a zároveň podporíte dobrú vec.   Naše kľúčové princípy a výhody pre vás: - Kvalita a certifikácia produktov: Kladieme dôraz na prvotriedne materiály a certifikované produkty.  - Individuálny prístup: Ku každému zákazníkovi pristupujeme individuálne a snažíme sa vyhovieť jeho špecifickým potrebám.  - Zákaznícky servis: Poskytujeme komplexný servis a poradenstvo.  - Dlhoročné skúsenosti: 20 rokov na trhu je zárukou našej odbornosti a stability.   Sme otvorení akýmkoľvek novým výzvam a radi prispôsobíme našu ponuku vašim konkrétnym požiadavkám.</t>
  </si>
  <si>
    <t>Náš podnik ABTEX, s viac ako 20-ročnou tradíciou na trhu, sa odlišuje od bežných podnikateľov predovšetkým svojím zameraním na dosahovanie pozitívneho sociálneho vplyvu. Ako registrovaný sociálny podnik (integračný podnik) aktívne prispievame k zamestnávaniu a sociálnej inklúzii osôb so zdravotným znevýhodnením. V súčasnosti zamestnávame celkovo 28 ľudí, z ktorých 17 tvoria práve osoby so zdravotným postihnutím, ktorým poskytujeme stabilné a dôstojné pracovné príležitosti. Týmto konkrétnym spôsobom podporujeme ich sebarealizáciu, ekonomickú nezávislosť a integráciu do spoločnosti. Každý náš produkt tak v sebe nesie pridanú hodnotu v podobe podpory znevýhodnených skupín obyvateľstva a aktívneho posilňovania sociálnej ekonomiky na Slovensku.</t>
  </si>
  <si>
    <t>https://katalogsp.gov.sk/wp-content/uploads/2025/08/IMG_2754-Abtex-Shop-1-rotated.jpg</t>
  </si>
  <si>
    <t>https://katalogsp.gov.sk/abtex-s-r-o/</t>
  </si>
  <si>
    <t>+421 918 623 952</t>
  </si>
  <si>
    <t>pavelcakova@abtex.sk</t>
  </si>
  <si>
    <t>Predajňa ABTEX na Rastislavovej 68 v Košiciach – sa špecializuje na predaj kvalitných pracovných odevov, obuvi a osobných ochranných pracovných prostriedkov. Zameriavame sa aj na zdravotnícke odevy (uniformy, blúzy, nohavice, plášte), certifikovanú zdravotnícku a pracovnú obuv. V predajni ponúkame široký sortiment produktov ihneď k odberu, odborné poradenstvo a možnosť objednania tovaru podľa špecifických požiadaviek, vrátane šitia na mieru a logovania. Ako registrovaný sociálny podnik zároveň poskytujeme náhradné plnenie.</t>
  </si>
  <si>
    <t xml:space="preserve">zdravotnícke odevy, pracovné odevy, zdravotnícka obuv, zdravotnícke oblečenie, lekárske odevy, zdravotnícke blúzy, zdravotnícke nohavice, zdravotnícke plášte, náhradné plnenie, sociálny podnik, šitie na mieru, firemné oblečenie, montérky, </t>
  </si>
  <si>
    <t>Izab s.r.o.</t>
  </si>
  <si>
    <t>potraviny a nápoje, krása-zdravie-relax</t>
  </si>
  <si>
    <t xml:space="preserve">Janka Palu 1547/59, 914 41  Nemšová </t>
  </si>
  <si>
    <t>Predajňa so zdravou výživou, predaj nebaleného sortimentu, dačekové balenia.</t>
  </si>
  <si>
    <t>Zamestnanie zdravotne zmevýhodných osôb, a tým ich zaradenie do spoločnostin a trh práce.</t>
  </si>
  <si>
    <t>https://katalogsp.gov.sk/izab-s-r-o/</t>
  </si>
  <si>
    <t>+421902714978</t>
  </si>
  <si>
    <t>spolizab@gmail.com</t>
  </si>
  <si>
    <t>Zdravá výživa La Vie</t>
  </si>
  <si>
    <t>Predajňa so zdravou výživou</t>
  </si>
  <si>
    <t>intolerancia, výživové doplnky, čaje, tinktúry, nebalený sortiment, lyofilizované ovocie, mixit,  sviečky, mydlá, maste, kozmetika</t>
  </si>
  <si>
    <t>WASCO</t>
  </si>
  <si>
    <t>Strojárenská 10, 976 46 Valaská - Piesok Brezno</t>
  </si>
  <si>
    <t xml:space="preserve"> WASCO – družstvo je registrovaný sociálny podnik pôsobiaci v obci Valaská v okrese Brezno. Naším cieľom je spájať kvalitné služby a výrobky so spoločenskou zodpovednosťou – poskytujeme zákazníkom profesionálne služby a zároveň vytvárame pracovné príležitosti pre ľudí so znevýhodnením.  Naša hlavná ponuka zahŕňa:   Prevádzkovanie profesionálnej práčovne a čistiarní 	•	Perieme a čistíme textílie pre domácnosti aj inštitúcie (nemocnice, ubytovne, hotely, penzióny, domovy sociálnych služieb) 	•	Ponúkame zvoz a rozvoz bielizne pre firemných klientov 	•	Zameriavame sa na kvalitu, ekologické postupy a flexibilitu  Remeselná a kreatívna výroba 	•	Výroba sviečok, darčekových predmetov, textilných výrobkov a jednoduchých úžitkových produktov z dreva 	•	Pracujeme aj na zákazkových produktoch s dôrazom na lokálnosť a ručnú prácu  Sociálne služby pre komunitu (v spolupráci s partnermi) 	•	V rámci integračných programov sa podieľame na zaškoľovaní zamestnancov, rozvoji ich zručností a podpore ich uplatnenia na trhu práce  Naši zákazníci: 	•	Inštitúcie a zariadenia sociálnych služieb (napr. domovy dôchodcov, centrá pre deti a rodiny) 	•	Hotely, penzióny, firmy – pre ktoré zabezpečujeme profesionálne pranie a servis bielizne 	•	Jednotlivci z obce a regiónu – bežní zákazníci práčovne a klienti našich produktov 	•	Organizácie a samosprávy – spolupracujeme pri tvorbe zákazkových produktov či komunitných aktivít  Naša výhoda:  Spájame spoľahlivosť, kvalitu a zmysluplnosť. Keď si vyberiete WASCO – nepodporujete len službu, ale aj človeka.</t>
  </si>
  <si>
    <t>WASCO – družstvo je registrovaný sociálny podnik, ktorého hlavnou spoločenskou misiou je zamestnávanie znevýhodnených osôb, najmä dlhodobo nezamestnaných, ľudí z marginalizovaných rómskych komunít a osôb s nižšou kvalifikáciou. Naším cieľom nie je len poskytovanie pracovného miesta, ale aj podpora ich návratu na trh práce, zvyšovanie kvalifikácie a sociálna inklúzia.</t>
  </si>
  <si>
    <t>+421905139573</t>
  </si>
  <si>
    <t>info@wasco.sk</t>
  </si>
  <si>
    <t>WASCO – družstvo</t>
  </si>
  <si>
    <t>Prevádzkareň WASCO – družstvo sa zameriava najmä na profesionálne práčovenské služby. Ponúkame pranie, čistenie, sušenie a žehlenie bielizne pre firmy, inštitúcie aj domácnosti. Súčasťou služieb je aj zvoz a rozvoz bielizne pre klientov v regióne.</t>
  </si>
  <si>
    <t>áčovňa, čistiaren, žehlenie, zvoz bielizne, sviečky, dekorácie, darčekové predmety, remeselné výrobky, textilné výrobky, šitie, drevovýroba, jednoduché úžitkové výrobky, komunitné služby, edukačné aktivity, poradenstvo, balenie výrobkov, sociálna integrácia, zamestnávanie znevýhodnených, výroba suvenírov</t>
  </si>
  <si>
    <t>&lt;style&gt;</t>
  </si>
  <si>
    <t>&lt;script&gt;</t>
  </si>
  <si>
    <t>&lt;head&gt;</t>
  </si>
  <si>
    <r>
      <rPr/>
      <t>&lt;div class="sp-card-content"&gt;
    &lt;div class="image-wrapper"&gt;
        &lt;a class="img-link" target="_blank" href="{{Link na kartu RSP}}"&gt;
            &lt;div class="card-image" style="background-image: url('{{Obrázok}}');"&gt;&lt;/div&gt;
        &lt;/a&gt;
    &lt;/div&gt;
    &lt;div class="detailed-info"&gt;
        &lt;div class="data-container"&gt;
            &lt;h2&gt;{{Názov sociálneho podniku}}&lt;/h2&gt;
            &lt;p class="category"&gt;{{KRAJ (Tu vkladať dáta)}}&lt;/p&gt;
            &lt;div class="sp-zoznam-desc-item"&gt;
                &lt;img class="sp-icon" alt="Kategória" src="https://katalogsp.gov.sk/wp-content/uploads/2021/11/category-icon.png"&gt;
                &lt;p&gt;{{KATEGÓRIA (Tu vkladať dáta)}}&lt;/p&gt;
            &lt;/div&gt;
            &lt;div class="sp-zoznam-desc-item"&gt;
                &lt;img class="sp-icon" src="https://katalogsp.gov.sk/wp-content/uploads/2021/11/location-icon.png"&gt;
                &lt;p&gt;&lt;strong&gt;Sídlo: &lt;/strong&gt;{{Sídlo RSP }}&lt;/p&gt;
            &lt;/div&gt;
            &lt;div class="sp-zoznam-desc-item"&gt;
                &lt;img class="sp-icon" alt="Telefónne číslo" src="https://katalogsp.gov.sk/wp-content/uploads/2021/11/phone-icon.png"&gt;
                &lt;p&gt;{{Telefónne číslo}}&lt;/p&gt;
            &lt;/div&gt;
            &lt;div class="sp-zoznam-desc-item"&gt;
                &lt;img class="sp-icon" alt="E-mail" src="https://katalogsp</t>
    </r>
    <r>
      <rPr>
        <color rgb="FF1155CC"/>
        <u/>
      </rPr>
      <t>.gov.sk/wp-content/uploads/2021/11/mail-icon.png</t>
    </r>
    <r>
      <rPr/>
      <t>"&gt;
                &lt;p&gt;{{Mailová adresa}}&lt;/p&gt;
            &lt;/div&gt;
        &lt;/div&gt;
        &lt;div class="sp-show-more-wrapper"&gt; 
            &lt;a class="more-info" target="_blank" href="{{Link na kartu RSP}}"&gt;Viac informácií&lt;/a&gt;
        &lt;/div&gt;
    &lt;/div&gt;
&lt;/div&gt;</t>
    </r>
  </si>
  <si>
    <t xml:space="preserve">{{Názov sociálneho podniku}} {{KATEGÓRIA}} {{SEARCH bez DIAKRITIKY}} {{Profil firmy / Čo ponúkate?}} {{Spoločenská prospešnosť}} {{Názov prevádzkarne 1}} {{činnosť prevádzky 1}} {{Ponuka tovarov a služieb - kľúčové slová 1}} {{Názov prevádzkarne 2}} {{činnosť prevádzky 2}} {{Ponuka tovarov a služieb - kľúčové slová 2}} {{Názov prevádzkarne 3}}  {{činnosť prevádzky 3}} {{Ponuka tovarov a služieb - kľúčové slová 3}} {{Názov prevádzkarne 4}} {{činnosť prevádzky 4}} {{Ponuka tovarov a služieb - kľúčové slová 4}} {{Mesto}} {{SERVISNE POUKÁŽKY}} {{Register partnerov VS}} </t>
  </si>
  <si>
    <t>/* FONT SETTINGS - end*/
#at-global-template, #dashboard{
  font-family: 'Open Sans', sans-serif;
}
/* FONT SETTINGS - start*/
/******************/
/** CARD - start **/
/******************/
.cards-container{
  margin-right: 16px;
  margin-left: 16px;
}
.cards-container .card .card-content{
  border-radius: 10px;
  padding: 0;
  position: relative;
  overflow: hidden;
  box-shadow: none;
  border: 1px solid #e3e3e3;
}
.cards-container .card .sp-card-content{
  padding: 0;
}
.sp-card-content .image-wrapper{
  height: 250px;
  position: relative;
  overflow: hidden;
  width: 100%;
}
.sp-card-content .card-image{
  transition: 0.4s;
  height: 100%;
  background-size: cover;
  background-position: center;
  overflow: hidden;
  transform: scale(1.05);
}
.cards-container .card .card-content .sp-icon{
  width: 16px;
  height: 16px;
  z-index: 2;
}
.card .card-content .sp-card-content .detailed-info{
  margin-top: 1rem;
  padding-right: 16px;
  padding-left: 16px;
  padding-bottom: 64px;
}
.card .card-content .sp-card-content .detailed-info h2{
  margin: 0;
  color: #5b8300;
  font-size: 19px;
}
.card .card-content .sp-card-content .detailed-info .category{
  opacity: 0.8;
  font-size: 14px;
  margin-top: 2px;
  color: #7f7f7f;
}
.card .detailed-info .more-info{
  padding: 10px;
  text-align: center;
  background-color: #f28837;
  background-color: #016a66;
  background-color: #f28837;
  color: white;
  border-radius: 10px;
  margin-bottom: 16px;
  text-decoration: none;
  place-self: flex-end;
  padding-right: 16px;
  padding-left: 16px;
}
.card .card-content .sp-card-content .image-container{
  width: 130px;
  height: 130px;    
  overflow: hidden;
  background: #fff;
  margin-right: 16px;
  text-align: center;
  line-height: 130px;
}
.card .card-content .sp-card-content .image-container img{
  max-width: 100%;
  max-height: 100%;
  vertical-align: middle;
}
.card .sp-card-content .data-container .sp-zoznam-desc-item{
  display: inline-flex;
  gap: 10px;
  margin-top: 4px;
  margin-bottom: 4px;
  align-items: center;
  font-size: 0.9rem;
  font-weight: 500;
  text-decoration: none;
  color: #222222;
  width: 100%;
}
.card .sp-card-content .data-container .sp-zoznam-desc-item p{
  margin: 4px;
}
.card .sp-card-content .sp-show-more-wrapper{
    position: absolute;
    bottom: 28px;
}
.card .sp-card-content .data-container .sp-zoznam-desc-item a{
  text-decoration: none;
  color: #303133;
  position: relative;
  line-height: 16px;
  z-index: 1;
}
.card .sp-card-content .data-container .sp-zoznam-desc-item .web-page-link{
  color: white;
  position: relative;
}
.card .data-container .web-page-link::before{
  position: absolute;
  width: 100%;
  height: 100%;
  background: #5e7df8;
  z-index: -1;
  content: "";
  padding: 5px;
  padding-right: 40px;
  border-radius: 10px;
  top: -5px;
  left: -32px;
  box-sizing: content-box;
}
/******************/
/*** CARD - end ***/
/******************/
.unselectable {
  -webkit-user-select: none;
  -webkit-touch-callout: none;
  -moz-user-select: none;
  -ms-user-select: none;
  user-select: none;
}
/*********************/
/*PAGINATION - start */
/*********************/
.awesomeTable-visualization-cards .cards-page{
  border: 0px solid black;
  height: 50px;
}
.cards-page .cards-page-button .at-pagination-button{
  display: contents;
}
.cards-page .cards-page-button .at-pagination-button .at-svg-icon{
  height: 40px;
  width: 40px;
  background-color: #5b8300;
  fill: white;
  margin-left: 16px;
  border-radius: 50%;
}
.cards-page .cards-page-button .at-pagination-button.cards-page-button-disabled .at-svg-icon{
  opacity: 0.4;
}
.cards-page{
  margin-right: 10px;
  margin-left: 10px;
}
.cards-page .cards-pageNumber{
  font-size: 13pt;
  position: absolute;
  left: 32px;
}
.at-table-fix .cards-page{
  justify-content: center;
}
.awesomeTable-visualization-cards .cards-page-button{
  margin-left: 0;
}
/*********************/
/**PAGINATION - end **/
/*********************/
/***************************/
/*SEARCH AREA STYLE - start*/
/***************************/
.awt-vis-controls-csvFilter .awt-csvFilter-button{
  border: 1px solid transparent;
  background: #f07d10;
  color: white;
  height: 56px;
  border-radius: 10px;
  align-items: center;
  display: flex;
  box-shadow: (0 0 0 / 24%) 0px 3px 8px;
}
.at-action-menu .at-action-menu-icon{
  position: absolute;
  right: 16px;
  display: none;
}
/***************************************************/
/****************FSEARCH BAR************************/
/***************************************************/
#dashboard .at-filter-panel .searchFilter{
  opacity: 0;
  position: absolute;
}
#dashboard #at-button-cleanFilter{
  display: none;
}
#dashboard .searchFilter.stringFilter{
  display: none;
}
/***************************************************/
/***************************************************/
/***************************************************/
.sp-catalog-search-init .searchFilter{
  opacity: 1;
  position: relative;
}
.awt-vis-controls-csvFilter .awt-csvFilter-button--active{
  padding: 3px 8px;
  /*background-color: #506ad3;*/
}
.awesomeTable-visualization-cards .card-content{
  margin: 16px;
}
.awesomeTable-visualization-cards .card-content:hover{
  box-shadow: rgba(0, 0, 0, 0.1) 0px 20px 25px -5px, rgba(0, 0, 0, 0.04) 0px 10px 10px -5px;
}
.awesomeTable-visualization-cards .card-content:hover .card-image{
  transform: scale(1.2);
}
.at-filter-panel .controlers-filters{
  padding-bottom: 0 !important;
  padding-left: 16px;
  padding-right: 16px;
  z-index: 20000;
  position: relative;
  width: 240px;
}
.awt-vis-controls-csvFilter .csvFilter-item {
  padding-top: 15px;
  padding-bottom: 15px;
  padding-left: 5px;
  padding-right: 5px;
  font-size: 14px;
  margin-right: 5px;
}
.cards-page #at-button-cleanFilter{
  position: absolute;
  right: 0;
}
/***********************/
/*DROPDOWN FILTER START*/
/***********************/
.awt-vis-controls-csvFilter .awt-csvFilter-dropdown-menu{
  border: none;
  background-color: #fff;
  border-bottom-right-radius: 5px;
  border-bottom-left-radius: 5px;
  color: rgb(53, 53, 53);
  z-index: 99999;
  border: solid 10px #fff !important;
  border-left-width: 5px !important;
  border-bottom-left-radius: 10px !important;
  border-bottom-right-radius: 10px !important;
  border-bottom-color: transparent;
  border-top-color: transparent;
  box-shadow: rgba(0, 0, 0, 0.24) 0px 3px 8px;;
}
/* width */
.awt-csvFilter-dropdown-menu::-webkit-scrollbar {
  width: 10px;
}
/* Track */
.awt-csvFilter-dropdown-menu::-webkit-scrollbar-track {
  border-radius: 10px;
  background-color: #f8efdc;
}
/* Handle */
.awt-csvFilter-dropdown-menu::-webkit-scrollbar-thumb {
  background: #f07d10;
  padding: 5px; 
  border-radius: 10px;
}
/* Handle on hover */
.awt-csvFilter-dropdown-menu::-webkit-scrollbar-thumb:hover {
  background: #fc881c; 
}
/*DROPDOWN FILTER END*/
.awt-vis-controls-csvFilter .awt-csvFilter-label{
  display: flex;
  justify-content: center;
  font-weight: normal;
  font-size: 16px;
  letter-spacing: 1px;
}
.awt-vis-controls-csvFilter .awt-csvFilter-label.displayNone{
  display: none;
}
.awt-input-placeholder svg{
  fill: white;
}
.at-filter-panel .awt-vis-controls-csvFilter .awt-csvFilter-button input{
  background-color: transparent;
  outline: 0;
  color: #ffffff;
}
.awt-vis-controls-csvFilter .awt-csvFilter-button input::placeholder{
  color: #eeeeee;
}
.at-filter-panel .awt-input-placeholder{
  position: static;
}
.at-layout-vertical&gt;.at-action-panel{
  display: flex;
  justify-content: center;
  padding: 4px;
  margin-top: 16px;
  margin-bottom: 8px;
}
.at-filter-panel .awt-vis-controls-csvFilter {
  width: 100%;
}
.at-layout-container .at-filter-panel{
  margin-right: 0;
  margin-top: -60px;
  padding: 32px;
  padding-top: 0;
  padding-bottom: 0;
  display: flex;
  justify-content: center;
}
.awt-vis-controls-csvFilter ul.awt-csvFilter-selected{
  padding-right: 10px;
  padding-left: 10px;
}
.awt-vis-controls-csvFilter .awt-csvFilter-selected li{
  border: transparent 0px solid !important;
  background: #5b8300 !important;
  padding: 10px;
}
.awt-vis-controls-csvFilter .awt-csvFilter-selected li &gt; div{
  color: white;
}
.searchFilter.stringFilter{
  padding: 0 !important;
}
#at-global-template .awt-csvFilter-dropdown-menu{
  display: flex;
  padding-top: 16px;
  padding-bottom: 16px;
  flex-wrap: wrap;
  justify-content: space-between;
}
#at-global-template .awt-csvFilter-dropdown-menu .csvFilter-item.charts-menuitem{
  background: #f07d10;
  cursor: pointer;
  margin: 4px;
  padding: 8px;
  color: white;
  flex-grow: 0;
  flex-shrink: 0;
  flex-basis: 180px;
  text-align: center;
  border-radius: 10px;
  font-size: 14px;
  height: 50px;
}
#at-global-template .awt-csvFilter-dropdown-menu{
  overflow-y: hidden;
  height: 54px;
  display: flex !important;
}
#controlers1{
  display: flex !important;
}
#at-global-template .categoryFilter .awt-csvFilter{
  display: none;
}
/**********************/
/* DYNAMIC LINK SWITCH */
/**********************/
a.dynamic-link-switch .sp-icon{
  width: 16px;
  margin-right: 8px;
}
a.dynamic-link-switch{
  text-decoration: none;
  position: absolute;
  right: 32px;
  top: 26px;
  font-size: 13pt;
  color: black;
}
a.dynamic-link-switch::before {
  content: '';
  position: absolute;
  width: 100%;
  height: 2px;
  border-radius: 4px;
  background-color: #18272F;
  bottom: -2px;
  left: 0;
  transform-origin: right;
  transform: scaleX(0);
  transition: transform .3s ease-in-out;
}
a.dynamic-link-switch:hover::before {
  transform-origin: left;
  transform: scaleX(1);
}
/**********************/
/**** M O B I L E *****/
/**********************/
@media only screen and (max-width: 600px) {
  .at-filter-panel .controlers-filters{
    width: 100%;
    padding: 0;
  }
  .awt-vis-controls-csvFilter .awt-csvFilter-dropdown-menu{
    position: relative;
  }
  .awt-vis-controls-csvFilter .awt-csvFilter-button--active::before {
    content: '\2715';
    padding: 8px;
    text-align: center;
    border-radius: 50%;
    display: flex;
    border: 1px solid white;
    position: absolute;
    width: 4px;
    height: 4px;
    top: 8px;
    align-items: center;
    justify-content: center;
    font-size: 12px;
    }
    a.dynamic-link-switch{
      position: relative;
      display: block;
      margin: 24px auto;
      text-align: center;
      margin-bottom: 32px;
      right: unset;
      top: unset;
    }
}
/* MOBILE END */
.at-layout-container .at-filter-panel{
    padding-right: 24px;
    padding-left: 24px;
}
.at-chart-panel .count{
    padding-left: 8px;
}
.at-filter-panel .awt-csvFilter-selected li:last-child{
  border-bottom-right-radius: 10px;
  border-bottom-left-radius: 10px;
}
.at-filter-panel .awt-vis-controls-csvFilter .awt-disabled{
  opacity: 1;
}
.at-filter-panel .awt-vis-controls-csvFilter .awt-disabled .awt-csvFilter-downArrow{
  transition: opacity 0.4s ease-in-out ;
  opacity: 0;
}
/* Pre prípad prelínania filtrov */
#controlers1{
  z-index: 4;
}
#controlers2{
  z-index: 3;
}
#controlers3{
  z-index: 2;
}
#controlers4{
  z-index: 1;
}body #green-banner{display: none !important}</t>
  </si>
  <si>
    <r>
      <rPr/>
      <t>init();
// Nastavenia :
// ID pre mapu
var baseUrl = '</t>
    </r>
    <r>
      <rPr>
        <color rgb="FF1155CC"/>
        <u/>
      </rPr>
      <t>https://view-awesome-table.com/-OVh9bczUnE2X4iNFdUJ/view</t>
    </r>
    <r>
      <rPr/>
      <t>';
var dynamicLinkText = 'Zobraziť podniky na mape';
function init() {
   // Timeout nastavený , kedže DOMLoad alebo load nechcel ísť
   setTimeout(() =&gt; {
      renameFilterTitleAtr();
      moveSearch();
      replaceNoResultText();
      addListenerToSearchButton();
      renameFilterOptions();
      moveClearFilter();
      addGlobalListeners();
      initDynamicLink();
      //moveSearchFilter();
   }, 150)
   // Z nejakého dôvodu sa stránka niekedy refresne a stránka sa vráti do pôvodného stavu
   // JS sa ale znova nevykoná.
   setInterval(moveSearch, 200);
   setInterval(initDynamicLink, 2000);
   setInterval(moveClearFilter, 800);
   setInterval(replaceNoResultText, 2000);
   setInterval(renameFilterTitleAtr, 3000);
}
function moveSearch() {
   let searchInputElem = document.querySelector('#dashboard .searchFilter');
   if (!searchInputElem) return;
   let searchInputWrapperClass = 'sp-catalog-search-init';
   let searchInputWrapperElem = document.querySelector('.' + searchInputWrapperClass);
   searchInputWrapperElem.appendChild(searchInputElem);
}
function replaceNoResultText() {
   let noResultTextElem = document.querySelector('.at-noData .at-noData-message');
   if (!noResultTextElem) return;
   if (noResultTextElem.classList.contains('translated')) return;
   noResultTextElem.classList.add('translated');
   let noResultText = 'Ľutujeme, zadaným kritériám nevyhovuje žiadny sociálny podnik. Skúste spresniť svoje vyhľadávanie.';
   noResultTextElem.innerHTML = noResultText;
}
function moveSearchFilter() {
   let filterWrapperPlacementClass = 'filter-wrapper';
   let filterWrapperClass = 'at-action-panel';
   let filterWrapperPlacementElem = document.querySelector('.' + filterWrapperPlacementClass);
   let filterWrapperElem = document.querySelector('.' + filterWrapperClass);
   filterWrapperPlacementElem.appendChild(filterWrapperElem);
}
function addListenerToSearchButton() {
   let searchBtnElem = document.querySelector('.sp-catalog-search-btn');
   searchBtnElem.addEventListener("click", scrollToElement);
}
function scrollToElement() {
   let searchResults = document.querySelector('.at-filter-panel');
   searchResults.scrollIntoView();
}
function renameFilterOptions() {
   let clearFilterText = document.querySelector('[title="Clear filters"] span');
   clearFilterText.innerHTML = 'Vymazať filtrovanie';
   //let copyLinkText = document.querySelector('.at-action-menu-dropdown [title="Copy filtered URL"] span');
   //copyLinkText.innerHTML = 'Kopírovať link filtru';
   //let printText = document.querySelector('.at-action-menu-dropdown [title="Print"] span');
   //printText.innerHTML = 'Tlačiť';
}
function moveClearFilter() {
   let haveClearFilter = document.querySelector('.clear-filter-wrapper #at-button-cleanFilter');
   if (haveClearFilter) return;
   let clearFilterElement = document.querySelector('#at-button-cleanFilter');
   let searchWrapperElement = document.querySelector('.clear-filter-wrapper');
   searchWrapperElement.appendChild(clearFilterElement);
   renameFilterOptions();
}
function addGlobalListeners() {
   document.addEventListener('click', renameElementText);
   document.addEventListener('click', onFilterContainerClick)
}
//Prepíše elementy, ktoré nemajú title na "žiadna možnosť"
function renameElementText() {
   const elems = document.querySelectorAll('.csvFilter-itemText:not([title])');
   const elemsWithTitle = document.querySelectorAll('.csvFilter-itemText[title=""]');
   elems.forEach(elem =&gt; {
      elem.innerHTML = 'Žiadna možnosť'
   });
   elemsWithTitle.forEach(elem =&gt; {
      elem.innerHTML = 'Žiadna možnosť'
   });
}
function renameFilterTitleAtr() {
   const filterItems = document.querySelectorAll('.csvFilter-item .csvFilter-itemText');
   filterItems.forEach(item =&gt; {
      const orgTitle = item.title;
      let replacedTitle = orgTitle.replace("Remove", "Vybrať:");
      replacedTitle = replacedTitle.replace(/from.*$/i, "");
      item.title = replacedTitle;
   });
}
/////////////////////////////////////////////////////
// Adaptivny link - start 
////////////////////////////////////////////////////
// Použitý var namiesto const, kvôli tomu, že Awesome Table si zapamätá premenné 
// a potom píše error pri opakovanom spustení JS (Je to divné :D)
var dynamicLinkElem = null;
// Filter collum char
var filterColNameKraj = 'E';
var filterColNameKategoria = 'G';
var filterColNamePocetZam = 'I';
var filterColNameIne = 'J';
var textFilterName = 'L'
// Selectors
var filterKrajId = 'controlers0';
var filterKategoriaId = 'controlers1';
var filterPocetZamId = 'controlers2';
var filterIneId = 'controlers3';
var textSearchInputSelector = 'input.awt-searchFilter-input';
var selectedItemsSelector = '.awt-csvFilter-selected .awt-csvFilter-selected-item'
function initDynamicLink() {
   onFilterContainerClick();
   let dynLink = document.querySelector('.dynamic-link-switch')
   if(dynLink) return;
   // Init values
   createDynamicLink();
   //addListenerToFilters();
}
function addListenerToFilters(){
   const dropdownFilters = document.querySelectorAll(".at-filter-panel awt-csvFilter-dropdown-menu");
   const filtersContainer = document.querySelector(".at-filter-panel");
   filtersContainer.addEventListener("click",onFilterContainerClick);
   dropdownFilters.forEach(dropdown =&gt; {
      dropdown.addEventListener("click",onFilterContainerClick);
   });
}
// Nastavenie clicku na celu sekciu filtrov
function onFilterContainerClick(){
   setTimeout(()=&gt; {
      // Získa všetky označené elementy podla filtrov
      const krajSelected = Array.from(document.querySelectorAll(`#${filterKrajId} ${selectedItemsSelector}`));
      const kategoriaSelected = Array.from(document.querySelectorAll(`#${filterKategoriaId} ${selectedItemsSelector}`));
      const pocetZamSelected = Array.from(document.querySelectorAll(`#${filterPocetZamId} ${selectedItemsSelector}`));
      const ineSelected = Array.from(document.querySelectorAll(`#${filterIneId} ${selectedItemsSelector}`));
      const textSearchValue = document.querySelector(textSearchInputSelector).value;
      // Encode a uloženie do pola
      let krajSelectedStringUrl = (krajSelected.length &gt; 0) ? joinAndEncodeElemsHtml(krajSelected) : '';
      let kategoriaSelectedStringUrl = (kategoriaSelected.length &gt; 0) ? joinAndEncodeElemsHtml(kategoriaSelected) : '';
      let pocetZamSelectedStringUrl = (pocetZamSelected.length &gt; 0) ? joinAndEncodeElemsHtml(pocetZamSelected) : '';
      let ineSelectedStringUrl = (ineSelected.length &gt; 0) ? joinAndEncodeElemsHtml(ineSelected) : '';
      let textSearchStringUrl = (textSearchValue) ? encodeURIComponent(textSearchValue) : '';
      // Prepíše aktuálny link na link s nastavením filtrov
      changeDynamicLink(krajSelectedStringUrl,kategoriaSelectedStringUrl,pocetZamSelectedStringUrl,ineSelectedStringUrl,textSearchStringUrl);
   },50)
}
// Prevedenie diakritiky na text, ktorý sa dá vložiž do URL
function joinAndEncodeElemsHtml(nodeList){
   const arrayList = Array.from(nodeList)
   return arrayList.map((elem) =&gt; {
      return encodeURIComponent(elem.innerText);
   }).join(",");
}
function changeDynamicLink(krajValue,kategoriaValue,pocZamValue,ineValue,textValue){
   // Na odfiltrovanie prázdnych filtrov
   let krajFilter = (krajValue != '') ? `filter${filterColNameKraj}=${krajValue}` : '';
   let kategoriaFilter = (kategoriaValue != '') ? `&amp;filter${filterColNameKategoria}=${kategoriaValue}` : '';
   let pocetZamFilter = (pocZamValue != '') ? `&amp;filter${filterColNamePocetZam}=${pocZamValue}` : '';
   let ineFilter = (ineValue != '') ? `&amp;filter${filterColNameIne}=${ineValue}` : '';
   let textSearch = (textValue != '') ? `&amp;filter${textFilterName}=${textValue}` : '';
   dynamicLinkElem.href = `${baseUrl}?${krajFilter}${kategoriaFilter}${pocetZamFilter}${ineFilter}${textSearch}`
   //dynamicLinkElem.href = `${baseUrl}?filter${filterColNameKraj}=${krajValue}&amp;filter${filterColNameKategoria}=${kategoriaValue}&amp;filter${filterColNamePocetZam}=${pocZamValue}&amp;filter${filterColNameIne}=${ineValue}`;
}
function createDynamicLink(){
   dynamicLinkElem = document.createElement("a");
   dynamicLinkElem.href = baseUrl;
   dynamicLinkElem.innerHTML = '&lt;img class="sp-icon" alt="Odkaz na mapu" src="https://katalogsp.gov.sk/wp-content/uploads/2022/07/location-icon-black.png"&gt;'
   dynamicLinkElem.innerHTML += dynamicLinkText;
   dynamicLinkElem.classList.add('dynamic-link-switch')
   const containerElem = document.querySelector('.at-table-fix');
   //let dynamicLinkElem = document.querySelector('.sp-catalog-hero-section a.dynamic-link-switch');
   containerElem.prepend(dynamicLinkElem);
   //document.body.insertBefore(dynamicLinkElem, containerElem);
}
/////////////////////////////////////////////////////
// Adaptivny link - end 
////////////////////////////////////////////////////</t>
    </r>
  </si>
  <si>
    <t xml:space="preserve">&lt;link rel="preconnect" href="https://fonts.googleapis.com"&gt;
&lt;link rel="preconnect" href="https://fonts.gstatic.com" crossorigin&gt;
&lt;link href="https://fonts.googleapis.com/css2?family=Open+Sans:wght@300;400;700&amp;display=swap" rel="stylesheet"&gt;
</t>
  </si>
  <si>
    <t>&lt;div class="sp-catalog-hero-section"&gt;
    &lt;div class="sp-catalog-content-section"&gt;
        &lt;p class="eyebrow"&gt;NAKUPUJME SRDCOM&lt;/p&gt;
        &lt;h2 class="sp-catalog-headline"&gt;Ponuka tovarov a služieb sociálnych podnikov,&lt;br&gt;kde zisk nie je jedinou motiváciou&lt;/h2&gt;
        &lt;p class="quote-text"&gt;Ste na správnom mieste, ak vám záleží od koho nakupujete a môžete na to využiť aj &lt;a target="_blank" href="https://socialnaekonomika.sk/vynimky-zo-zakona-o-verejnom-obstaravani/"&gt;výnimky z verejného obstarávania&lt;/a&gt;&lt;/p&gt;
        &lt;div class="sp-catalog-search-wrapper"&gt;
            &lt;div class="sp-catalog-search-init"&gt;&lt;/div&gt;
            &lt;a class="sp-catalog-search-btn"&gt;Vyhľadať&lt;/a&gt;
        &lt;/div&gt;
        &lt;div class="clear-filter-wrapper"&gt;&lt;/div&gt;
    &lt;/div&gt;
    &lt;div class="sp-catalog-bcg"&gt;&lt;/div&gt;
&lt;/div&gt;
&lt;!--
&lt;img class="banner-logos" style="width: 300px;" src="https://katalogsp.gov.sk/wp-content/uploads/2022/02/mpsvr_ia_logos.png" alt="Logá MPSVR a IA MPSVR"&gt;
--&gt;
&lt;style&gt;
    @import url('https://fonts.googleapis.com/css2?family=Amatic+SC:wght@700&amp;display=swap');
    .sp-catalog-hero-section a{
        text-decoration: none;
        color: white;
        font-weight: bold;
    }
    .sp-catalog-hero-section a:hover{
        text-decoration: underline;
    }
    .sp-catalog-content-section .quote-text{
        margin-top: 42px;
        font-size: 22px;
        padding-left: 90px;
        padding-right: 90px;
    }
    .banner-logos{
        width: 300px;
        right: 16px;
        position: absolute;
        top: 16px;
    }
    .sp-catalog-hero-section .eyebrow{
        letter-spacing: 4px; 
        font-size: 30px; 
        font-style: unset;
        font-family: 'Amatic SC'; font-weight:bold;
        /*font-family: 'Festive', cursive; font-weight: normal;*/
    }
    .sp-catalog-content-section h2{
        font-size: 40px;
        color: #f07d10;
    }
    .sp-catalog-content-section .text-under{
        font-size: 22px;
        margin-top: 8px;
        margin-bottom: 60px
    }
    .sp-catalog-content-section .intro-text{
        margin-bottom: 60px
    }
    .sp-catalog-content-section p{
        font-size: 20px;
        margin-bottom: 32px
    }
    .sp-catalog-hero-section{
        color: white;
        display: flex;
        flex-direction: row;
        justify-content: center;
        position: relative;
        overflow: hidden;
    }
    /*POZADIE - zac */
    .sp-catalog-bcg{
        position: absolute;
        height: 100%;
        width: 100%;
        /*filter: blur(3px);*/
        background-size: cover;
        background-position: center;
        background-image: url('https://katalogsp.gov.sk/wp-content/uploads/2022/02/baner_katalog_SP.jpg');
    }
    .sp-catalog-bcg:before {
        content: '';
        position: absolute;
        top: 0;
        right: 0;
        bottom: 0;
        left: 0;
        background-color: rgb(0,0,0);
        background: linear-gradient(36deg, rgba(0,0,0,0.5) 63%, rgba(0,0,0,1) 100%);
        opacity: .9; 
    }
    /*POZADIE - kon */
    .sp-catalog-hero-section .clear-filter-wrapper{
        margin-top: 80px;
        opacity: 0.8;
        height: 31px;
        -webkit-animation: fadein 2s; /* Safari, Chrome and Opera &gt; 12.1 */
       -moz-animation: fadein 2s; /* Firefox &lt; 16 */
        -ms-animation: fadein 2s; /* Internet Explorer */
         -o-animation: fadein 2s; /* Opera &lt; 12.1 */
            animation: fadein 2s;
    }
    .sp-catalog-hero-section #at-button-cleanFilter{
        justify-content: center;
        fill: white;
        color: white;
    }
    .sp-catalog-hero-section #at-button-cleanFilter:hover{
        opacity: 1;
        background: none;
    }
    .sp-catalog-hero-section .sp-catalog-content-section{
        z-index: 2;
        text-align: center;
        padding: 32px;
        max-width: 1000px;
        padding-top: 80px;
        padding-bottom: 50px;
    }
    .sp-catalog-hero-section .sp-catalog-content-section .sp-catalog-headline{
        margin-bottom: 4px;
    }
    .sp-catalog-hero-section .sp-catalog-search-wrapper{
        background: rgba(255, 255, 255, 0.65);
        display: flex;
        padding: 10px;
        margin-bottom: 56px;
        margin-top: 70px;
        margin-right: 100px;
        margin-left: 100px;
        border-radius: 5px;
        flex-wrap: wrap;
        -webkit-animation: fadein2 2s; /* Safari, Chrome and Opera &gt; 12.1 */
       -moz-animation: fadein2 2s; /* Firefox &lt; 16 */
        -ms-animation: fadein2 2s; /* Internet Explorer */
         -o-animation: fadein2 2s; /* Opera &lt; 12.1 */
            animation: fadein2 2s;
    }
    .sp-catalog-search-wrapper .sp-catalog-search-init{
        flex-grow: 1;
        padding-right: 8px;
        position: relative;
        min-width: 220px;
    }
    .sp-catalog-search-wrapper .sp-catalog-search-init .searchFilter{
        width: 100%;
    }
    .sp-catalog-hero-section .sp-catalog-search-wrapper a{
        padding: 0px 24px;
        border-radius: 5px;
        align-items: center;
        display: flex;
        background-color: #f07d10;  
        text-decoration: none;
        color: white;
        cursor: pointer;
        height: 39px;
    }
    .filter-icons-source{
        display: none;
    }
    /****ANIMATION********/
    @keyframes fadein {
        from { opacity: 0; }
        to   { opacity: 0.8; }
    }
    /* Firefox &lt; 16 */
    @-moz-keyframes fadein {
        from { opacity: 0; }
        to   { opacity: 0.8; }
    }
    /* Safari, Chrome and Opera &gt; 12.1 */
    @-webkit-keyframes fadein {
        from { opacity: 0; }
        to   { opacity: 0.8; }
    }
    /* Internet Explorer */
    @-ms-keyframes fadein {
        from { opacity: 0; }
        to   { opacity: 0.8; }
    }
    @keyframes fadein2 {
        from { opacity: 0; }
        to   { opacity: 1; }
    }
    /* Firefox &lt; 16 */
    @-moz-keyframes fadein2 {
        from { opacity: 0; }
        to   { opacity: 1; }
    }
    /* Safari, Chrome and Opera &gt; 12.1 */
    @-webkit-keyframes fadein2 {
        from { opacity: 0; }
        to   { opacity: 1; }
    }
    /* Internet Explorer */
    @-ms-keyframes fadein2 {
        from { opacity: 0; }
        to   { opacity: 1; }
    }
    /* MOBILNE ZOBRAZENIE */
    @media only screen and (max-width: 768px) {
        .sp-catalog-hero-section .sp-catalog-search-wrapper{
            margin-right: 0px;
            margin-left: 0px;
        }
        .sp-catalog-content-section .text-under{
            font-size: 18px;
        }
        .sp-catalog-content-section h2{
            font-size: 26px;
        }
        .sp-catalog-hero-section .sp-catalog-content-section{
            padding-right: 24px;
            padding-left: 24px;
        }
        .sp-catalog-hero-section .sp-catalog-search-wrapper a{
            margin-top: 8px;
            width: 100%;
            justify-content: center;
        }
        .sp-catalog-search-wrapper .sp-catalog-search-init{
            padding-right: 0px;
        }
        .awt-vis-controls-csvFilter .awt-csvFilter-button{
            height: 50px;
        }
        .sp-catalog-content-section .quote-text{
            padding-left: 0px;
            padding-right: 0px;
        }
      }
&lt;/style&gt;</t>
  </si>
  <si>
    <r>
      <rPr/>
      <t>&lt;div class="sp-card-content"&gt;
    &lt;div class="image-wrapper"&gt;
        &lt;a class="img-link" target="_blank" href="{{Link na kartu RSP}}"&gt;
            &lt;div class="card-image" style="background-image: url('{{Obrázok}}');"&gt;&lt;/div&gt;
        &lt;/a&gt;
    &lt;/div&gt;
    &lt;div class="detailed-info"&gt;
        &lt;div class="data-container"&gt;
            &lt;h2&gt;{{Názov sociálneho podniku}}&lt;/h2&gt;
            &lt;p class="category"&gt;{{KRAJ (Tu vkladať dáta)}}&lt;/p&gt;
            &lt;div class="sp-zoznam-desc-item"&gt;
                &lt;img class="sp-icon" alt="Kategória" src="https://katalogsp.gov.sk/wp-content/uploads/2021/11/category-icon.png"&gt;
                &lt;p&gt;{{KATEGÓRIA (Tu vkladať dáta)}}&lt;/p&gt;
            &lt;/div&gt;
            &lt;div class="sp-zoznam-desc-item"&gt;
                &lt;img class="sp-icon" src="https://katalogsp.gov.sk/wp-content/uploads/2021/11/location-icon.png"&gt;
                &lt;p&gt;&lt;strong&gt;Sídlo: &lt;/strong&gt;{{Sídlo RSP }}&lt;/p&gt;
            &lt;/div&gt;
            &lt;div class="sp-zoznam-desc-item"&gt;
                &lt;img class="sp-icon" alt="Telefónne číslo" src="https://katalogsp.gov.sk/wp-content/uploads/2021/11/phone-icon.png"&gt;
                &lt;p&gt;{{Telefónne číslo}}&lt;/p&gt;
            &lt;/div&gt;
            &lt;div class="sp-zoznam-desc-item"&gt;
                &lt;img class="sp-icon" alt="E-mail" src="https://katalogsp</t>
    </r>
    <r>
      <rPr>
        <color rgb="FF1155CC"/>
        <u/>
      </rPr>
      <t>.gov.sk/wp-content/uploads/2021/11/mail-icon.png</t>
    </r>
    <r>
      <rPr/>
      <t>"&gt;
                &lt;p&gt;{{Mailová adresa}}&lt;/p&gt;
            &lt;/div&gt;
        &lt;/div&gt;
        &lt;div class="sp-show-more-wrapper"&gt; 
            &lt;a class="more-info" target="_blank" href="{{Link na kartu RSP}}"&gt;Viac informácií&lt;/a&gt;
        &lt;/div&gt;
    &lt;/div&gt;
&lt;/div&gt;</t>
    </r>
  </si>
  <si>
    <t>{{Názov sociálneho podniku}} {{KATEGÓRIA}} {{Profil firmy / Čo ponúkate?}} {{Spoločenská prospešnosť}} {{Názov prevádzkarne 1}} {{činnosť prevádzky 1}} {{Ponuka tovarov a služieb - kľúčové slová 1}} {{Názov prevádzkarne 2}} {{činnosť prevádzky 2}} {{Ponuka tovarov a služieb - kľúčové slová 2}} {{Názov prevádzkarne 3}}  {{činnosť prevádzky 3}} {{Ponuka tovarov a služieb - kľúčové slová 3}} {{Názov prevádzkarne 4}} {{činnosť prevádzky 4}} {{Ponuka tovarov a služieb - kľúčové slová 4}} {{Mesto}} {{SERVISNE POUKÁŽKY}} {{Register partnerov VS}} {{SEARCH bez DIAKRITIKY}}</t>
  </si>
  <si>
    <t xml:space="preserve">init();
// Nastavenia :
// ID pre mapu
var baseUrl = 'https://view-awesome-table.com/-Nv90QnO-UA8cWERvAOp/view';
var dynamicLinkText = 'Zobraziť podniky na mape';
function init() {
   // Timeout nastavený , kedže DOMLoad alebo load nechcel ísť
   setTimeout(() =&gt; {
      renameFilterTitleAtr();
      moveSearch();
      replaceNoResultText();
      addListenerToSearchButton();
      renameFilterOptions();
      moveClearFilter();
      addGlobalListeners();
      initDynamicLink();
      //moveSearchFilter();
   }, 150)
   // Z nejakého dôvodu sa stránka niekedy refresne a stránka sa vráti do pôvodného stavu
   // JS sa ale znova nevykoná.
   setInterval(moveSearch, 200);
   setInterval(initDynamicLink, 2000);
   setInterval(moveClearFilter, 800);
   setInterval(replaceNoResultText, 2000);
   setInterval(renameFilterTitleAtr, 3000);
}
function moveSearch() {
   let searchInputElem = document.querySelector('#dashboard .searchFilter');
   if (!searchInputElem) return;
   let searchInputWrapperClass = 'sp-catalog-search-init';
   let searchInputWrapperElem = document.querySelector('.' + searchInputWrapperClass);
   searchInputWrapperElem.appendChild(searchInputElem);
}
function replaceNoResultText() {
   let noResultTextElem = document.querySelector('.at-noData .at-noData-message');
   if (!noResultTextElem) return;
   if (noResultTextElem.classList.contains('translated')) return;
   noResultTextElem.classList.add('translated');
   let noResultText = 'Ľutujeme, zadaným kritériám nevyhovuje žiadny sociálny podnik. Skúste spresniť svoje vyhľadávanie.';
   noResultTextElem.innerHTML = noResultText;
}
function moveSearchFilter() {
   let filterWrapperPlacementClass = 'filter-wrapper';
   let filterWrapperClass = 'at-action-panel';
   let filterWrapperPlacementElem = document.querySelector('.' + filterWrapperPlacementClass);
   let filterWrapperElem = document.querySelector('.' + filterWrapperClass);
   filterWrapperPlacementElem.appendChild(filterWrapperElem);
}
function addListenerToSearchButton() {
   let searchBtnElem = document.querySelector('.sp-catalog-search-btn');
   searchBtnElem.addEventListener("click", scrollToElement);
}
function scrollToElement() {
   let searchResults = document.querySelector('.at-filter-panel');
   searchResults.scrollIntoView();
}
function renameFilterOptions() {
   let clearFilterText = document.querySelector('[title="Clear filters"] span');
   clearFilterText.innerHTML = 'Vymazať filtrovanie';
   //let copyLinkText = document.querySelector('.at-action-menu-dropdown [title="Copy filtered URL"] span');
   //copyLinkText.innerHTML = 'Kopírovať link filtru';
   //let printText = document.querySelector('.at-action-menu-dropdown [title="Print"] span');
   //printText.innerHTML = 'Tlačiť';
}
function moveClearFilter() {
   let haveClearFilter = document.querySelector('.clear-filter-wrapper #at-button-cleanFilter');
   if (haveClearFilter) return;
   let clearFilterElement = document.querySelector('#at-button-cleanFilter');
   let searchWrapperElement = document.querySelector('.clear-filter-wrapper');
   searchWrapperElement.appendChild(clearFilterElement);
   renameFilterOptions();
}
function addGlobalListeners() {
   document.addEventListener('click', renameElementText);
   document.addEventListener('click', onFilterContainerClick)
}
//Prepíše elementy, ktoré nemajú title na "žiadna možnosť"
function renameElementText() {
   const elems = document.querySelectorAll('.csvFilter-itemText:not([title])');
   const elemsWithTitle = document.querySelectorAll('.csvFilter-itemText[title=""]');
   elems.forEach(elem =&gt; {
      elem.innerHTML = 'Žiadna možnosť'
   });
   elemsWithTitle.forEach(elem =&gt; {
      elem.innerHTML = 'Žiadna možnosť'
   });
}
function renameFilterTitleAtr() {
   const filterItems = document.querySelectorAll('.csvFilter-item .csvFilter-itemText');
   filterItems.forEach(item =&gt; {
      const orgTitle = item.title;
      let replacedTitle = orgTitle.replace("Remove", "Vybrať:");
      replacedTitle = replacedTitle.replace(/from.*$/i, "");
      item.title = replacedTitle;
   });
}
/////////////////////////////////////////////////////
// Adaptivny link - start 
////////////////////////////////////////////////////
// Použitý var namiesto const, kvôli tomu, že Awesome Table si zapamätá premenné 
// a potom píše error pri opakovanom spustení JS (Je to divné :D)
var dynamicLinkElem = null;
// Filter collum char
var filterColNameKraj = 'E';
var filterColNameKategoria = 'G';
var filterColNamePocetZam = 'I';
var filterColNameIne = 'J';
var textFilterName = 'L'
// Selectors
var filterKrajId = 'controlers0';
var filterKategoriaId = 'controlers1';
var filterPocetZamId = 'controlers2';
var filterIneId = 'controlers3';
var textSearchInputSelector = 'input.awt-searchFilter-input';
var selectedItemsSelector = '.awt-csvFilter-selected .awt-csvFilter-selected-item'
function initDynamicLink() {
   onFilterContainerClick();
   let dynLink = document.querySelector('.dynamic-link-switch')
   if(dynLink) return;
   // Init values
   createDynamicLink();
   //addListenerToFilters();
}
function addListenerToFilters(){
   const dropdownFilters = document.querySelectorAll(".at-filter-panel awt-csvFilter-dropdown-menu");
   const filtersContainer = document.querySelector(".at-filter-panel");
   filtersContainer.addEventListener("click",onFilterContainerClick);
   dropdownFilters.forEach(dropdown =&gt; {
      dropdown.addEventListener("click",onFilterContainerClick);
   });
}
// Nastavenie clicku na celu sekciu filtrov
function onFilterContainerClick(){
   setTimeout(()=&gt; {
      // Získa všetky označené elementy podla filtrov
      const krajSelected = Array.from(document.querySelectorAll(`#${filterKrajId} ${selectedItemsSelector}`));
      const kategoriaSelected = Array.from(document.querySelectorAll(`#${filterKategoriaId} ${selectedItemsSelector}`));
      const pocetZamSelected = Array.from(document.querySelectorAll(`#${filterPocetZamId} ${selectedItemsSelector}`));
      const ineSelected = Array.from(document.querySelectorAll(`#${filterIneId} ${selectedItemsSelector}`));
      const textSearchValue = document.querySelector(textSearchInputSelector).value;
      console.log(textSearchValue);
      // Encode a uloženie do pola
      let krajSelectedStringUrl = (krajSelected.length &gt; 0) ? joinAndEncodeElemsHtml(krajSelected) : '';
      let kategoriaSelectedStringUrl = (kategoriaSelected.length &gt; 0) ? joinAndEncodeElemsHtml(kategoriaSelected) : '';
      let pocetZamSelectedStringUrl = (pocetZamSelected.length &gt; 0) ? joinAndEncodeElemsHtml(pocetZamSelected) : '';
      let ineSelectedStringUrl = (ineSelected.length &gt; 0) ? joinAndEncodeElemsHtml(ineSelected) : '';
      let textSearchStringUrl = (textSearchValue) ? encodeURIComponent(textSearchValue) : '';
      console.log(textSearchStringUrl);
      // Prepíše aktuálny link na link s nastavením filtrov
      changeDynamicLink(krajSelectedStringUrl,kategoriaSelectedStringUrl,pocetZamSelectedStringUrl,ineSelectedStringUrl,textSearchStringUrl);
   },50)
}
// Prevedenie diakritiky na text, ktorý sa dá vložiž do URL
function joinAndEncodeElemsHtml(nodeList){
   const arrayList = Array.from(nodeList)
   return arrayList.map((elem) =&gt; {
      return encodeURIComponent(elem.innerText);
   }).join(",");
}
function changeDynamicLink(krajValue,kategoriaValue,pocZamValue,ineValue,textValue){
   // Na odfiltrovanie prázdnych filtrov
   let krajFilter = (krajValue != '') ? `filter${filterColNameKraj}=${krajValue}` : '';
   let kategoriaFilter = (kategoriaValue != '') ? `&amp;filter${filterColNameKategoria}=${kategoriaValue}` : '';
   let pocetZamFilter = (pocZamValue != '') ? `&amp;filter${filterColNamePocetZam}=${pocZamValue}` : '';
   let ineFilter = (ineValue != '') ? `&amp;filter${filterColNameIne}=${ineValue}` : '';
   let textSearch = (textValue != '') ? `&amp;filter${textFilterName}=${textValue}` : '';
   dynamicLinkElem.href = `${baseUrl}?${krajFilter}${kategoriaFilter}${pocetZamFilter}${ineFilter}${textSearch}`
   //dynamicLinkElem.href = `${baseUrl}?filter${filterColNameKraj}=${krajValue}&amp;filter${filterColNameKategoria}=${kategoriaValue}&amp;filter${filterColNamePocetZam}=${pocZamValue}&amp;filter${filterColNameIne}=${ineValue}`;
}
function createDynamicLink(){
   dynamicLinkElem = document.createElement("a");
   dynamicLinkElem.href = baseUrl;
   dynamicLinkElem.innerHTML = '&lt;img class="sp-icon" alt="Odkaz na mapu" src="https://katalogsp.gov.sk/wp-content/uploads/2022/07/location-icon-black.png"&gt;'
   dynamicLinkElem.innerHTML += dynamicLinkText;
   dynamicLinkElem.classList.add('dynamic-link-switch')
   const containerElem = document.querySelector('.at-table-fix');
   //let dynamicLinkElem = document.querySelector('.sp-catalog-hero-section a.dynamic-link-switch');
   containerElem.prepend(dynamicLinkElem);
   //document.body.insertBefore(dynamicLinkElem, containerElem);
}
/////////////////////////////////////////////////////
// Adaptivny link - end 
////////////////////////////////////////////////////
console.log("Location of URL : ", window.location.href);
</t>
  </si>
  <si>
    <t>&lt;div class="sp-catalog-hero-section christmas-theme"&gt;
    &lt;div class="sp-catalog-content-section"&gt;
        &lt;p class="eyebrow"&gt;VIANOČNÉ NÁKUPY SRDCOM&lt;/p&gt;
        &lt;h2 class="sp-catalog-headline"&gt;Špeciálna vianočná ponuka tovarov a služieb sociálnych podnikov,&lt;br&gt;kde radosť a dobrota sú viac než zisk&lt;/h2&gt;
        &lt;p class="quote-text"&gt;Vianoce sú časom dávania, nakupujte s ohľadom na druhých a využite aj &lt;a target="_blank" href="https://socialnaekonomika.sk/vynimky-zo-zakona-o-verejnom-obstaravani/"&gt;výnimky z verejného obstarávania&lt;/a&gt; pre sociálne podniky&lt;/p&gt;
        &lt;div class="sp-catalog-search-wrapper"&gt;
            &lt;div class="sp-catalog-search-init"&gt;&lt;/div&gt;
            &lt;a class="sp-catalog-search-btn"&gt;Vyhľadať darčeky&lt;/a&gt;
        &lt;/div&gt;
        &lt;div class="clear-filter-wrapper"&gt;&lt;/div&gt;
    &lt;/div&gt;
    &lt;div class="sp-catalog-bcg christmas-background"&gt;&lt;/div&gt;
&lt;/div&gt;
&lt;!--
&lt;img class="banner-logos" style="width: 300px;" src="https://katalogsp.gov.sk/wp-content/uploads/2022/02/mpsvr_ia_logos.png" alt="Logá MPSVR a IA MPSVR"&gt;
--&gt;
&lt;style&gt;
    @import url('https://fonts.googleapis.com/css2?family=Amatic+SC:wght@700&amp;display=swap');
    .sp-catalog-hero-section a{
        text-decoration: none;
        color: white;
        font-weight: bold;
    }
    .sp-catalog-hero-section a:hover{
        text-decoration: underline;
    }
    .sp-catalog-content-section .quote-text{
        margin-top: 42px;
        font-size: 22px;
        padding-left: 90px;
        padding-right: 90px;
    }
    .banner-logos{
        width: 300px;
        right: 16px;
        position: absolute;
        top: 16px;
    }
    .sp-catalog-hero-section .eyebrow{
        letter-spacing: 4px; 
        font-size: 30px; 
        font-style: unset;
        font-family: 'Amatic SC'; font-weight:bold;
        /*font-family: 'Festive', cursive; font-weight: normal;*/
    }
    .sp-catalog-content-section h2{
        font-size: 40px;
        color: #f07d10;
    }
    .sp-catalog-content-section .text-under{
        font-size: 22px;
        margin-top: 8px;
        margin-bottom: 60px
    }
    .sp-catalog-content-section .intro-text{
        margin-bottom: 60px
    }
    .sp-catalog-content-section p{
        font-size: 20px;
        margin-bottom: 32px
    }
    .sp-catalog-hero-section{
        color: white;
        display: flex;
        flex-direction: row;
        justify-content: center;
        position: relative;
        overflow: hidden;
    }
    /*POZADIE - zac */
    .sp-catalog-bcg{
        position: absolute;
        height: 100%;
        width: 100%;
        /*filter: blur(3px);*/
        background-size: cover;
        background-position: center;
        background-image: url('https://www.pewresearch.org/wp-content/uploads/2015/12/FT_15.12.23_5factsXmas4_promo.jpg');
    }
    .sp-catalog-bcg:before {
        content: '';
        position: absolute;
        top: 0;
        right: 0;
        bottom: 0;
        left: 0;
        background-color: rgb(0,0,0);
        background: linear-gradient(36deg, rgba(0,0,0,0.5) 63%, rgba(0,0,0,1) 100%);
        opacity: .9; 
    }
    /*POZADIE - kon */
    .sp-catalog-hero-section .clear-filter-wrapper{
        margin-top: 80px;
        opacity: 0.8;
        height: 31px;
        -webkit-animation: fadein 2s; /* Safari, Chrome and Opera &gt; 12.1 */
       -moz-animation: fadein 2s; /* Firefox &lt; 16 */
        -ms-animation: fadein 2s; /* Internet Explorer */
         -o-animation: fadein 2s; /* Opera &lt; 12.1 */
            animation: fadein 2s;
    }
    .sp-catalog-hero-section #at-button-cleanFilter{
        justify-content: center;
        fill: white;
        color: white;
    }
    .sp-catalog-hero-section #at-button-cleanFilter:hover{
        opacity: 1;
        background: none;
    }
    .sp-catalog-hero-section .sp-catalog-content-section{
        z-index: 2;
        text-align: center;
        padding: 32px;
        max-width: 1000px;
        padding-top: 80px;
        padding-bottom: 50px;
    }
    .sp-catalog-hero-section .sp-catalog-content-section .sp-catalog-headline{
        margin-bottom: 4px;
    }
    .sp-catalog-hero-section .sp-catalog-search-wrapper{
        background: rgba(255, 255, 255, 0.65);
        display: flex;
        padding: 10px;
        margin-bottom: 56px;
        margin-top: 70px;
        margin-right: 100px;
        margin-left: 100px;
        border-radius: 5px;
        flex-wrap: wrap;
        -webkit-animation: fadein2 2s; /* Safari, Chrome and Opera &gt; 12.1 */
       -moz-animation: fadein2 2s; /* Firefox &lt; 16 */
        -ms-animation: fadein2 2s; /* Internet Explorer */
         -o-animation: fadein2 2s; /* Opera &lt; 12.1 */
            animation: fadein2 2s;
    }
    .sp-catalog-search-wrapper .sp-catalog-search-init{
        flex-grow: 1;
        padding-right: 8px;
        position: relative;
        min-width: 220px;
    }
    .sp-catalog-search-wrapper .sp-catalog-search-init .searchFilter{
        width: 100%;
    }
    .sp-catalog-hero-section .sp-catalog-search-wrapper a{
        padding: 0px 24px;
        border-radius: 5px;
        align-items: center;
        display: flex;
        background-color: #f07d10;  
        text-decoration: none;
        color: white;
        cursor: pointer;
        height: 39px;
    }
    .filter-icons-source{
        display: none;
    }
    /****ANIMATION********/
    @keyframes fadein {
        from { opacity: 0; }
        to   { opacity: 0.8; }
    }
    /* Firefox &lt; 16 */
    @-moz-keyframes fadein {
        from { opacity: 0; }
        to   { opacity: 0.8; }
    }
    /* Safari, Chrome and Opera &gt; 12.1 */
    @-webkit-keyframes fadein {
        from { opacity: 0; }
        to   { opacity: 0.8; }
    }
    /* Internet Explorer */
    @-ms-keyframes fadein {
        from { opacity: 0; }
        to   { opacity: 0.8; }
    }
    @keyframes fadein2 {
        from { opacity: 0; }
        to   { opacity: 1; }
    }
    /* Firefox &lt; 16 */
    @-moz-keyframes fadein2 {
        from { opacity: 0; }
        to   { opacity: 1; }
    }
    /* Safari, Chrome and Opera &gt; 12.1 */
    @-webkit-keyframes fadein2 {
        from { opacity: 0; }
        to   { opacity: 1; }
    }
    /* Internet Explorer */
    @-ms-keyframes fadein2 {
        from { opacity: 0; }
        to   { opacity: 1; }
    }
    /* MOBILNE ZOBRAZENIE */
    @media only screen and (max-width: 768px) {
        .sp-catalog-hero-section .sp-catalog-search-wrapper{
            margin-right: 0px;
            margin-left: 0px;
        }
        .sp-catalog-content-section .text-under{
            font-size: 18px;
        }
        .sp-catalog-content-section h2{
            font-size: 26px;
        }
        .sp-catalog-hero-section .sp-catalog-content-section{
            padding-right: 24px;
            padding-left: 24px;
        }
        .sp-catalog-hero-section .sp-catalog-search-wrapper a{
            margin-top: 8px;
            width: 100%;
            justify-content: center;
        }
        .sp-catalog-search-wrapper .sp-catalog-search-init{
            padding-right: 0px;
        }
        .awt-vis-controls-csvFilter .awt-csvFilter-button{
            height: 50px;
        }
        .sp-catalog-content-section .quote-text{
            padding-left: 0px;
            padding-right: 0px;
        }
      }
&lt;/style&gt;</t>
  </si>
  <si>
    <r>
      <rPr/>
      <t>&lt;div class="sp-map-content"&gt;
   &lt;div class="detailed-info"&gt;
       &lt;div class="data-container"&gt;
           &lt;h2&gt;{{Názov sociálneho podniku}}&lt;/h2&gt;
           &lt;p class="category"&gt;{{KRAJ (Tu vkladať dáta)}}&lt;/p&gt;
           &lt;div class="sp-zoznam-desc-item"&gt;
               &lt;img class="sp-icon" alt="Kategória" src="https://katalogsp.gov.sk/wp-content/uploads/2021/11/category-icon.png"&gt;
               &lt;p&gt;{{KATEGÓRIA (Tu vkladať dáta)}}&lt;/p&gt;
           &lt;/div&gt;
           &lt;div class="sp-zoznam-desc-item"&gt;
               &lt;img class="sp-icon" alt="" src="https://katalogsp.gov.sk/wp-content/uploads/2021/11/location-icon.png"&gt;
               &lt;p&gt;&lt;strong&gt;Sídlo: &lt;/strong&gt;{{Sídlo RSP }}&lt;/p&gt;
           &lt;/div&gt;
           &lt;div class="sp-zoznam-desc-item"&gt;
               &lt;img class="sp-icon" alt="Tel. čislo" src="</t>
    </r>
    <r>
      <rPr>
        <color rgb="FF1155CC"/>
        <u/>
      </rPr>
      <t>https://katalogsp.gov.sk/wp-content/uploads/2021/11/phone-icon.png</t>
    </r>
    <r>
      <rPr/>
      <t>"&gt;
               &lt;p&gt;{{Telefónne číslo}}&lt;/p&gt;
           &lt;/div&gt;
           &lt;div class="sp-zoznam-desc-item"&gt;
               &lt;img class="sp-icon" alt="Mail" src="https://katalogsp.gov.sk/wp-content/uploads/2021/11/mail-icon.png"&gt;
               &lt;p&gt;{{Mailová adresa}}&lt;/p&gt;
           &lt;/div&gt;
       &lt;/div&gt;
       &lt;div class="sp-show-more-wrapper"&gt; 
           &lt;a class="more-info" target="_blank" href="{{Link na kartu RSP}}"&gt;Viac o nás a našich prevádzkarňach&lt;/a&gt;
       &lt;/div&gt;
   &lt;/div&gt;
&lt;/div&gt;</t>
    </r>
  </si>
  <si>
    <t>{{Názov sociálneho podniku}} {{KATEGÓRIA}} {{Profil firmy / Čo ponúkate?}} {{Spoločenská prospešnosť}} {{Názov prevádzkarne 1}} {{činnosť prevádzky 1}} {{Ponuka tovarov a služieb - kľúčové slová 1}} {{Názov prevádzkarne 2}} {{činnosť prevádzky 2}} {{Ponuka tovarov a služieb - kľúčové slová 2}} {{Názov prevádzkarne 3}}  {{činnosť prevádzky 3}} {{Ponuka tovarov a služieb - kľúčové slová 3}} {{Názov prevádzkarne 4}}        {{činnosť prevádzky 4}} {{Ponuka tovarov a služieb - kľúčové slová 4}} {{Mesto}} {{SERVISNE POUKÁŽKY}} {{Register partnerov VS}} {{SEARCH bez DIAKRITIKY}}</t>
  </si>
  <si>
    <t>/* FONT SETTINGS - end*/
#at-global-template, #dashboard{
  font-family: 'Open Sans', sans-serif;
}
/* FONT SETTINGS - start*/
.unselectable {
  -webkit-user-select: none;
  -webkit-touch-callout: none;
  -moz-user-select: none;
  -ms-user-select: none;
  user-select: none;
}
/****** NO RESULT - TEXT ARE - start *******/
.at-count .at-nb-results{
  font-size: 16px;
  color: #303133;
  line-height: 1.4em;
  padding-top: 16px;
  padding-bottom: 16px;
  font-weight: normal;
}
.at-count .at-icon-results{
  width: 36px;
  height: 36px;
  margin-right: 20px;
  margin-left: 20px;
}
.at-count .at-icon-results .at-svg-icon{
  fill: #303133 !important;
}
#dashboard .at-nb-results::before{
  content: 'Ľutujeme, zadaným kritériám nevyhovuje žiadny sociálny podnik. Skúste spresniť svoje vyhľadávanie.';
}
#dashboard .at-nb-results b{
  display: none;
}
/****** NO RESULT - TEXT ARE - end *****/
/***************************/
/*SEARCH AREA STYLE - start*/
/***************************/
.awt-vis-controls-csvFilter .awt-csvFilter-button{
  border: 1px solid transparent;
  background: #f07d10;
  color: white;
  height: 56px;
  border-radius: 10px;
  align-items: center;
  display: flex;
  box-shadow: (0 0 0 / 24%) 0px 3px 8px;
}
.at-action-menu .at-action-menu-icon{
  position: absolute;
  right: 16px;
  display: none;
}
/***************************************************/
/****************FSEARCH BAR************************/
/***************************************************/
#dashboard .at-filter-panel .searchFilter{
  opacity: 0;
  position: absolute;
}
#dashboard #at-button-cleanFilter{
  display: none;
}
#dashboard .searchFilter.stringFilter{
  display: none;
}
/***************************************************/
/***************************************************/
/***************************************************/
.sp-catalog-search-init .searchFilter{
  opacity: 1;
  position: relative;
}
.awt-vis-controls-csvFilter .awt-csvFilter-button--active{
  padding: 3px 8px;
  /*background-color: #506ad3;*/
}
.awesomeTable-visualization-cards .card-content{
  margin: 16px;
}
.awesomeTable-visualization-cards .card-content:hover{
  box-shadow: rgba(0, 0, 0, 0.1) 0px 20px 25px -5px, rgba(0, 0, 0, 0.04) 0px 10px 10px -5px;
}
.awesomeTable-visualization-cards .card-content:hover .card-image{
  transform: scale(1.2);
}
.at-filter-panel .controlers-filters{
  padding-bottom: 0 !important;
  padding-left: 16px;
  padding-right: 16px;
  z-index: 20000;
  position: relative;
  width: 240px;
}
.awt-vis-controls-csvFilter .csvFilter-item {
  padding-top: 15px;
  padding-bottom: 15px;
  padding-left: 5px;
  padding-right: 5px;
  font-size: 14px;
  margin-right: 5px;
}
.cards-page #at-button-cleanFilter{
  position: absolute;
  right: 0;
}
/*DROPDOWN FILTER START*/
.awt-vis-controls-csvFilter .awt-csvFilter-dropdown-menu{
  border: none;
  background-color: #fff;
  border-bottom-right-radius: 5px;
  border-bottom-left-radius: 5px;
  color: rgb(53, 53, 53);
  z-index: 99999;
  border: solid 10px #fff !important;
  border-left-width: 5px !important;
  border-bottom-left-radius: 10px !important;
  border-bottom-right-radius: 10px !important;
  border-bottom-color: transparent;
  border-top-color: transparent;
  box-shadow: rgba(0, 0, 0, 0.24) 0px 3px 8px;;
}
/* width */
.awt-csvFilter-dropdown-menu::-webkit-scrollbar {
  width: 10px;
}
/* Track */
.awt-csvFilter-dropdown-menu::-webkit-scrollbar-track {
  border-radius: 10px;
  background-color: #f8efdc;
}
/* Handle */
.awt-csvFilter-dropdown-menu::-webkit-scrollbar-thumb {
  background: #f07d10;
  padding: 5px; 
  border-radius: 10px;
}
/* Handle on hover */
.awt-csvFilter-dropdown-menu::-webkit-scrollbar-thumb:hover {
  background: #fc881c; 
}
/*DROPDOWN FILTER END*/
.awt-vis-controls-csvFilter .awt-csvFilter-label{
  display: flex;
  justify-content: center;
  font-weight: normal;
  font-size: 16px;
  letter-spacing: 1px;
}
.awt-vis-controls-csvFilter .awt-csvFilter-label.displayNone{
  display: none;
}
.awt-input-placeholder svg{
  fill: white;
}
.at-filter-panel .awt-vis-controls-csvFilter .awt-csvFilter-button input{
  background-color: transparent;
  outline: 0;
  color: #ffffff;
}
.awt-vis-controls-csvFilter .awt-csvFilter-button input::placeholder{
  color: #eeeeee;
}
.at-filter-panel .awt-input-placeholder{
  position: static;
}
.at-layout-vertical&gt;.at-action-panel{
  display: flex;
  justify-content: center;
  padding: 4px;
  margin-top: 16px;
  margin-bottom: 8px;
}
.at-filter-panel .awt-vis-controls-csvFilter {
  width: 100%;
}
.at-layout-container .at-filter-panel{
  margin-right: 0;
  margin-top: -60px;
  padding: 32px;
  padding-top: 0;
  padding-bottom: 0;
  display: flex;
  justify-content: center;
}
.awt-vis-controls-csvFilter ul.awt-csvFilter-selected{
  padding-right: 10px;
  padding-left: 10px;
}
.awt-vis-controls-csvFilter .awt-csvFilter-selected li{
  border: transparent 0px solid !important;
  background: #5b8300 !important;
  padding: 10px;
}
.awt-vis-controls-csvFilter .awt-csvFilter-selected li &gt; div{
  color: white;
}
.searchFilter.stringFilter{
  padding: 0 !important;
}
#at-global-template .awt-csvFilter-dropdown-menu{
  display: flex;
  padding-top: 16px;
  padding-bottom: 16px;
  flex-wrap: wrap;
  justify-content: space-between;
}
#at-global-template .awt-csvFilter-dropdown-menu .csvFilter-item.charts-menuitem{
  background: #f07d10;
  cursor: pointer;
  margin: 4px;
  padding: 8px;
  color: white;
  flex-grow: 0;
  flex-shrink: 0;
  flex-basis: 180px;
  text-align: center;
  border-radius: 10px;
  font-size: 14px;
  height: 50px;
}
#at-global-template .awt-csvFilter-dropdown-menu{
  overflow-y: hidden;
  height: 54px;
  display: flex !important;
}
#controlers1{
  display: flex !important;
}
#at-global-template .categoryFilter .awt-csvFilter{
  display: none;
}
/***********************/
/* DYNAMIC LINK SWITCH */
/***********************/
.at-layout-vertical.at-chart-panel{
  position: relative;
}
a.dynamic-link-switch .sp-icon{
  width: 24px;
  margin-right: 8px;
}
a.dynamic-link-switch{
  text-decoration: none;
  position: absolute;
  right: 16px;
  top: 0px;
  font-size: 13pt;
  color: black;
}
a.dynamic-link-switch::before {
  content: '';
  position: absolute;
  width: 100%;
  height: 2px;
  border-radius: 4px;
  background-color: #18272F;
  bottom: -2px;
  left: 0;
  transform-origin: right;
  transform: scaleX(0);
  transition: transform .3s ease-in-out;
}
a.dynamic-link-switch:hover::before {
  transform-origin: left;
  transform: scaleX(1);
}
/***********************/
/***********************/
@media only screen and (max-width: 600px) {
  .at-filter-panel .controlers-filters{
    width: 100%;
    padding: 0;
  }
  .awt-vis-controls-csvFilter .awt-csvFilter-dropdown-menu{
    position: relative;
  }
  .awt-vis-controls-csvFilter .awt-csvFilter-button--active::before {
    content: '\2715';
    padding: 8px;
    text-align: center;
    border-radius: 50%;
    display: flex;
    border: 1px solid white;
    position: absolute;
    width: 4px;
    height: 4px;
    top: 8px;
    align-items: center;
    justify-content: center;
    font-size: 12px;
    }
    a.dynamic-link-switch{
      position: relative;
      display: block;
      margin: 24px auto;
    }
}
.at-layout-container .at-filter-panel{
    padding-right: 24px;
    padding-left: 24px;
}
.at-chart-panel .count{
    padding-left: 8px;
}
.at-filter-panel .awt-csvFilter-selected li:last-child{
  border-bottom-right-radius: 10px;
  border-bottom-left-radius: 10px;
}
.at-filter-panel .awt-vis-controls-csvFilter .awt-disabled{
  opacity: 1;
}
.at-filter-panel .awt-vis-controls-csvFilter .awt-disabled .awt-csvFilter-downArrow{
  transition: opacity 0.4s ease-in-out;
  opacity: 0;
}
/* Pre prípad prelínania filtrov */
#controlers1{
  z-index: 4;
}
#controlers2{
  z-index: 3;
}
#controlers3{
  z-index: 2;
}
#controlers4{
  z-index: 1;
}
#dashboard .at-layout-vertical .awesomeTable-viz-maps{
  margin-top: 40px;
}</t>
  </si>
  <si>
    <t>/*SHOW MORE INFO - start */
.sp-map-content .sp-show-more-wrapper{
  /*position: absolute;
  right: 16px;
  bottom: 0;
  justify-content: flex-end;*/
  display: flex;
  box-sizing: border-box;
}
.sp-map-content .sp-show-more-wrapper .more-info{
  padding: 10px;
  text-align: center;
  background-color: #f28837;
  background-color: #016a66;
  background-color: #f28837;
  color: white;
  border-radius: 10px;
  margin-bottom: 0px;
  text-decoration: none;
  place-self: flex-end;
  padding-right: 16px;
  padding-left: 16px;
}
/*SHOW MORE INFO - end */
.sp-map-content .sp-zoznam-desc-item .sp-icon{
  width: 16px;
  height: 16px;
  z-index: 2;
}
.sp-map-content .sp-zoznam-desc-item{
  display: inline-flex;
  gap: 10px;
  margin-top: 8px;
  margin-bottom: 8px;
  align-items: center;
  font-size: 0.9rem;
  font-weight: 500;
  text-decoration: none;
  color: #222222;
  width: 100%;
}
 .sp-map-content .detailed-info .category{
  opacity: 0.8;
  font-size: 14px;
  margin-top: 2px;
  color: #7f7f7f;
}
.sp-map-content .detailed-info h3{
  margin-bottom: 0px;
  margin-top: 8px;
}
.sp-map-content .detailed-info h2{
  margin: 0;
  color: #5b8300;
  font-size: 24px;
}
.sp-map-content .sp-zoznam-desc-item p{
  margin: 0;
}
/*TOOLTIP - start */
[role="dialog"] .gm-ui-hover-effect{
  top: 8px !important;
  right: 8px !important;
}
[role="dialog"]  .gm-ui-hover-effect img{
  width: 30px !important;
  height: 30px !important;
  margin: 0px !important;
}
.gm-style .gm-style-iw-c{
  padding: 16px;
}
/*TOOLTIP - end */</t>
  </si>
  <si>
    <t>&lt;link rel="preconnect" href="https://fonts.googleapis.com"&gt;
&lt;link rel="preconnect" href="https://fonts.gstatic.com" crossorigin&gt;
&lt;link href="https://fonts.googleapis.com/css2?family=Open+Sans:wght@300;400;700&amp;display=swap" rel="stylesheet"&gt;
&lt;style&gt;
    @import url('https://fonts.googleapis.com/css2?family=Amatic+SC:wght@700&amp;family=Festive&amp;display=swap');
&lt;/style&gt;</t>
  </si>
  <si>
    <r>
      <rPr/>
      <t>init();
// Nastavenia :
// ID pre katalog
var baseUrl = '</t>
    </r>
    <r>
      <rPr>
        <color rgb="FF1155CC"/>
        <u/>
      </rPr>
      <t>https://view-awesome-table.com/-MvTMIaaEUq5mkRRcfFA/view</t>
    </r>
    <r>
      <rPr/>
      <t>';
var dynamicLinkText = 'Zobraziť podniky na katalógu';
function init() {
   // Timeout nastavený , kedže DOMLoad alebo load nechcel ísť
   setTimeout(()=&gt; {
      renameFilterTitleAtr();
      moveSearch();
      //replaceNoResultText();
      addListenerToSearchButton();
      renameFilterOptions();
      moveClearFilter();
      addGlobalListeners();
      initDynamicLink();
      //moveSearchFilter();
   },150)
   setTimeout(()=&gt; {
      initDynamicLink();
   },450)
   // Z nejakého dôvodu sa stránka niekedy refresne a stránka sa vráti do pôvodného stavu
   // JS sa ale znova nevykoná.
   setInterval(moveSearch, 200);
   setInterval(initDynamicLink, 2000);
   setInterval(moveClearFilter, 600);
   setInterval(renameFilterTitleAtr, 2500);
}
function moveSearch() {
   let searchInputElem = document.querySelector('#dashboard .searchFilter');
   if (!searchInputElem) return;
   let searchInputWrapperClass = 'sp-catalog-search-init';
   let searchInputWrapperElem = document.querySelector('.' + searchInputWrapperClass);
   searchInputWrapperElem.appendChild(searchInputElem);
}
function moveSearchFilter() {
   let filterWrapperPlacementClass = 'filter-wrapper';
   let filterWrapperClass = 'at-action-panel';
   let filterWrapperPlacementElem = document.querySelector('.' + filterWrapperPlacementClass);
   let filterWrapperElem = document.querySelector('.' + filterWrapperClass);
   filterWrapperPlacementElem.appendChild(filterWrapperElem);
}
function addListenerToSearchButton() {
   let searchBtnElem = document.querySelector('.sp-catalog-search-btn');
   searchBtnElem.addEventListener("click", scrollToElement);
}
function scrollToElement() {
   let searchResults = document.querySelector('.at-filter-panel');
   searchResults.scrollIntoView();
}
function renameFilterOptions() {
   let clearFilterText = document.querySelector('[title="Clear filters"] span');
   clearFilterText.innerHTML = 'Vymazať filtrovanie';
   //let copyLinkText = document.querySelector('.at-action-menu-dropdown [title="Copy filtered URL"] span');
   //copyLinkText.innerHTML = 'Kopírovať link filtru';
   //let printText = document.querySelector('.at-action-menu-dropdown [title="Print"] span');
   //printText.innerHTML = 'Tlačiť';
}
function moveClearFilter() {
   let haveClearFilter = document.querySelector('.clear-filter-wrapper #at-button-cleanFilter');
   if (haveClearFilter) return;
   let clearFilterElement = document.querySelector('#at-button-cleanFilter');
   let searchWrapperElement = document.querySelector('.clear-filter-wrapper');
   searchWrapperElement.appendChild(clearFilterElement);
   renameFilterOptions();
}
////////////////////
// NEW 
////////////////////
function addGlobalListeners() {
   document.addEventListener('click', renameElementText);
   document.addEventListener('click', onFilterContainerClick)
}
//Prepíše elementy, ktoré nemajú title na "žiadna možnosť"
function renameElementText() {
   const elems = document.querySelectorAll('.csvFilter-itemText:not([title])');
   const elemsWithTitle = document.querySelectorAll('.csvFilter-itemText[title=""]');
   elems.forEach(elem =&gt; {
      elem.innerHTML = 'Žiadna možnosť'
   });
   elemsWithTitle.forEach(elem =&gt; {
      elem.innerHTML = 'Žiadna možnosť'
   });
}
function renameFilterTitleAtr(){
   const filterItems = document.querySelectorAll('.csvFilter-item .csvFilter-itemText');
   filterItems.forEach(item =&gt; {
      const orgTitle = item.title;
      let replacedTitle = orgTitle.replace("Remove","Vybrať:");
      replacedTitle = replacedTitle.replace(/from.*$/i, "");
      item.title = replacedTitle;
   });
}
/////////////////////////////////////////////////////
// Adaptivny link - start 
////////////////////////////////////////////////////
// Použitý var namiesto const, kvôli tomu, že Awesome Table si zapamätá premenné 
// a potom píše error pri opakovanom spustení JS (Je to divné :D)
var dynamicLinkElem = null;
// Filter collum char
var filterColNameKraj = 'E';
var filterColNameKategoria = 'G';
var filterColNamePocetZam = 'I';
var filterColNameIne = 'J';
var textFilterName = 'L'
// Selectors
var filterKrajId = 'controlers0';
var filterKategoriaId = 'controlers1';
var filterPocetZamId = 'controlers2';
var filterIneId = 'controlers3';
var textSearchInputSelector = 'input.awt-searchFilter-input';
var selectedItemsSelector = '.awt-csvFilter-selected .awt-csvFilter-selected-item'
function initDynamicLink() {
   onFilterContainerClick();
   let dynLink = document.querySelector('.dynamic-link-switch')
   if(dynLink) return;
   // Init values
   createDynamicLink();
   //addListenerToFilters();
}
function addListenerToFilters(){
   const dropdownFilters = document.querySelectorAll(".at-filter-panel awt-csvFilter-dropdown-menu");
   const filtersContainer = document.querySelector(".at-filter-panel");
   filtersContainer.addEventListener("click",onFilterContainerClick);
   dropdownFilters.forEach(dropdown =&gt; {
      dropdown.addEventListener("click",onFilterContainerClick);
   });
}
// Nastavenie clicku na celu sekciu filtrov
function onFilterContainerClick(){
   setTimeout(()=&gt; {
      // Získa všetky označené elementy podla filtrov
      const krajSelected = Array.from(document.querySelectorAll(`#${filterKrajId} ${selectedItemsSelector}`));
      const kategoriaSelected = Array.from(document.querySelectorAll(`#${filterKategoriaId} ${selectedItemsSelector}`));
      const pocetZamSelected = Array.from(document.querySelectorAll(`#${filterPocetZamId} ${selectedItemsSelector}`));
      const ineSelected = Array.from(document.querySelectorAll(`#${filterIneId} ${selectedItemsSelector}`));
      const textSearchValue = document.querySelector(textSearchInputSelector).value;
      console.log(textSearchValue);
      // Encode a uloženie do pola
      let krajSelectedStringUrl = (krajSelected.length &gt; 0) ? joinAndEncodeElemsHtml(krajSelected) : '';
      let kategoriaSelectedStringUrl = (kategoriaSelected.length &gt; 0) ? joinAndEncodeElemsHtml(kategoriaSelected) : '';
      let pocetZamSelectedStringUrl = (pocetZamSelected.length &gt; 0) ? joinAndEncodeElemsHtml(pocetZamSelected) : '';
      let ineSelectedStringUrl = (ineSelected.length &gt; 0) ? joinAndEncodeElemsHtml(ineSelected) : '';
      let textSearchStringUrl = (textSearchValue) ? encodeURIComponent(textSearchValue) : '';
      console.log(textSearchStringUrl);
      // Prepíše aktuálny link na link s nastavením filtrov
      changeDynamicLink(krajSelectedStringUrl,kategoriaSelectedStringUrl,pocetZamSelectedStringUrl,ineSelectedStringUrl,textSearchStringUrl);
   },50)
}
// Prevedenie diakritiky na text, ktorý sa dá vložiž do URL
function joinAndEncodeElemsHtml(nodeList){
   const arrayList = Array.from(nodeList)
   return arrayList.map((elem) =&gt; {
      return encodeURIComponent(elem.innerText);
   }).join(",");
}
function changeDynamicLink(krajValue,kategoriaValue,pocZamValue,ineValue,textValue){
   // Na odfiltrovanie prázdnych filtrov
   let krajFilter = (krajValue != '') ? `filter${filterColNameKraj}=${krajValue}` : '';
   let kategoriaFilter = (kategoriaValue != '') ? `&amp;filter${filterColNameKategoria}=${kategoriaValue}` : '';
   let pocetZamFilter = (pocZamValue != '') ? `&amp;filter${filterColNamePocetZam}=${pocZamValue}` : '';
   let ineFilter = (ineValue != '') ? `&amp;filter${filterColNameIne}=${ineValue}` : '';
   let textSearch = (textValue != '') ? `&amp;filter${textFilterName}=${textValue}` : '';
   dynamicLinkElem.href = `${baseUrl}?${krajFilter}${kategoriaFilter}${pocetZamFilter}${ineFilter}${textSearch}`
   //dynamicLinkElem.href = `${baseUrl}?filter${filterColNameKraj}=${krajValue}&amp;filter${filterColNameKategoria}=${kategoriaValue}&amp;filter${filterColNamePocetZam}=${pocZamValue}&amp;filter${filterColNameIne}=${ineValue}`;
}
function createDynamicLink(){
   dynamicLinkElem = document.createElement("a");
   dynamicLinkElem.href = baseUrl;
   dynamicLinkElem.innerHTML = '&lt;img class="sp-icon" alt="Odkaz na katalóg" src="https://katalogsp.gov.sk/wp-content/uploads/2022/07/nakupujme-srdcom-logo.png"&gt;'
   dynamicLinkElem.innerHTML += dynamicLinkText;
   dynamicLinkElem.classList.add('dynamic-link-switch')
   const containerElem = document.querySelector('.at-layout-vertical.at-chart-panel');
   //let dynamicLinkElem = document.querySelector('.sp-catalog-hero-section a.dynamic-link-switch');
   containerElem.prepend(dynamicLinkElem);
   //document.body.insertBefore(dynamicLinkElem, containerElem);
}
/////////////////////////////////////////////////////
// Adaptivny link - end 
////////////////////////////////////////////////////</t>
    </r>
  </si>
  <si>
    <t>TENTO BLOK SLÚŽI IBA AKO POZNÁMKA ! Obrazok : https://katalogsp.gov.sk/wp-content/uploads/2022/01/banner_foto_new-1-2.png, Text :</t>
  </si>
  <si>
    <t>Tieto stĺpce zabezpečujú funkcionalitu e-katalógu a mapy, NECHYTAŤ pokiaľ to nie je potrebné</t>
  </si>
  <si>
    <t>• (FILTER POSLEDNY ELEMENT</t>
  </si>
  <si>
    <t>Tieto stĺpce lúžia pre filtre, ktoré sa zobrazujú nad mapou a katalógom</t>
  </si>
  <si>
    <t>Stĺpce, ktoré sú viditeľné verejne</t>
  </si>
  <si>
    <t>Stĺpce, ktoré sa verejne nezobrazujú na e-katal=ogu a mape</t>
  </si>
  <si>
    <t>Nefunkčný geocode</t>
  </si>
  <si>
    <t>SPRÁVNY</t>
  </si>
  <si>
    <t>https://www.latlong.net/</t>
  </si>
  <si>
    <t>ZRUSENE
(vid comment)</t>
  </si>
  <si>
    <t>Povodné poradové číslo</t>
  </si>
  <si>
    <t>30.5.2022</t>
  </si>
  <si>
    <t>OBLÁTKY s.r.o.</t>
  </si>
  <si>
    <t>Tužina 537 , 972 14 Tužina</t>
  </si>
  <si>
    <t>nie</t>
  </si>
  <si>
    <t>Ponúkame tradičné slovenské oblátky - plnené, bezlepkové, slané, DIA.</t>
  </si>
  <si>
    <t>Zamestnávame zdravotne postihnutých ľudí.</t>
  </si>
  <si>
    <t>https://katalogsp.gov.sk/wp-content/uploads/2021/12/Oblatky-banner2-E-katalog-RSP.jpg</t>
  </si>
  <si>
    <t>https://katalogsp.gov.sk/oblatky-s-r-o/</t>
  </si>
  <si>
    <t>+421 907 122 130</t>
  </si>
  <si>
    <t>tradicneoblatky@gmail.com</t>
  </si>
  <si>
    <t>Ponúkame tradičné slovenské oblátky plnené, bezlepkové , DIA , slané</t>
  </si>
  <si>
    <t>pekárske výrobky, oblátky</t>
  </si>
  <si>
    <t>Celia shop, s. r. o.</t>
  </si>
  <si>
    <t>Budmerice 589, 900 86 Budmerice</t>
  </si>
  <si>
    <t>Najväčší výber čerstvého pečiva, lahôdok a cukrárskych výrobkov, mrazených polotovarov, ktoré spĺňajú náročné pravidlá pri celiakii. Pečieme denne bez lepku, laktózy, ak treba aj bez mliečnej bielkoviny. Naše výrobky sú bez konzervačných látok a E-čiek.</t>
  </si>
  <si>
    <t>Merateľný pozitívny sociálny vplyv dosahujeme poskytovaním spoločensky prospešnej služby v oblasti podpory regionálneho rozvoja a zamestnanosti.</t>
  </si>
  <si>
    <t>https://katalogsp.gov.sk/wp-content/uploads/2022/01/Celia-banner-E-katalogRSP6.jpg</t>
  </si>
  <si>
    <t>https://katalogsp.gov.sk/celia-shop-s-r-o/</t>
  </si>
  <si>
    <t xml:space="preserve"> +421 903 409 211</t>
  </si>
  <si>
    <t>celiashop.obchod@gmail.com</t>
  </si>
  <si>
    <t>Celinka šmákocinky bez lepku</t>
  </si>
  <si>
    <t>Ponúkame čerstvé domáce pekárenské a cukrárenské produkty vlastnej výroby, bez lepku, laktózy a konzervantov. Zasielame ich kuriérom.</t>
  </si>
  <si>
    <t>pekáreň, kaviareň,zmrzlina, zákusky,cukrovinky,mrazené polotovary,cestoviny,praclíky,vianočné pečivo, chlieb, pečivo, bezlepkové potraviny, potraviny pre celiatikov</t>
  </si>
  <si>
    <t>20.9.2022</t>
  </si>
  <si>
    <t>Eustach s.r.o.</t>
  </si>
  <si>
    <t>čistiace a upratovacie služby, dom a záhrada, doprava, stavebníctvo</t>
  </si>
  <si>
    <t>Obchodná 164, 078 01 Sečovce</t>
  </si>
  <si>
    <t>V spolupráci s našimi konzorčnými partnermi ponúkame: predaj dezinfekčných prostriedkov, kuriérsku službu, výstavbu - individuálnu, hromadnú (obecné, mestské nájomné byty a iné stavby) s použitím nemeckej panelovej technológie.</t>
  </si>
  <si>
    <t>Zamestnávame príslušné percento zraniteľných a/alebo znevýhodnených osôb v zmysle príslušných ustanovení zákona č. 112/2018.</t>
  </si>
  <si>
    <t>https://katalogsp.gov.sk/eustach-s-r-o/</t>
  </si>
  <si>
    <t>+421 905 708 859</t>
  </si>
  <si>
    <t>eustachsro@yahoo.com</t>
  </si>
  <si>
    <t>V spolupráci s našimi konzorčnými partnermi ponúkame: predaj dezinfekčných prostriedkov, kuriérsku službu, výstavbu - indiduálnu, hromadnú (obecné, mestské nájomné byty a iné stavby) s použitím nemeckej panelovej technológie.</t>
  </si>
  <si>
    <t>stavebná činnosť, dezinfekcia, doprava, pomocné práce, kuriér Sečovce</t>
  </si>
  <si>
    <t>30.9.2022</t>
  </si>
  <si>
    <t>Čapica, s. r. o.</t>
  </si>
  <si>
    <t>Za dráhou 476/15, 034 01 Ružomberok</t>
  </si>
  <si>
    <t>Vyrábame šiltovky a klobúky na mieru, potláčame textil, gravírujeme do dreva, razíme diáre, vyrábame unikátne šiltovky s dreveným šiltom, klobúky s drevenou strieškou, vyrábame jedinečné komunikačné oblečenie, na ktoré si lepia nášivky, prostredníctvom ktorých sa človek vyjadrí. Naši zákazníci sú prevažne mladí ľudia, rodiny, školy, firmy.</t>
  </si>
  <si>
    <t>Zamestnávame ťažko zdravotne postihnutých a tvoríme absolútne unikátne výrobky, ktoré nemajú vo svete obdobu.</t>
  </si>
  <si>
    <t>https://katalogsp.gov.sk/wp-content/uploads/2022/06/Capica_foto_prevadzka_main.jpg</t>
  </si>
  <si>
    <t>https://katalogsp.gov.sk/capica-s-r-o/</t>
  </si>
  <si>
    <t>+421 907 174 322</t>
  </si>
  <si>
    <t>info@siltovky.com</t>
  </si>
  <si>
    <t>Čapica, s.r.o., r.s.p.</t>
  </si>
  <si>
    <t>Unikátne šiltovky s dreveným šiltom, klobúky s drevenou strieškou, šiltovky na mieru, jedinečné komunikatívne tričká, kde si vyjadríte svoje emócie.</t>
  </si>
  <si>
    <t>Šiltovky s dreveným šiltom, klobúky s drevenou strieškou, šiltovky na mieru, potlač textiul, gravírovanie do dreva, tričká s potlačou</t>
  </si>
  <si>
    <t>14.12.2022</t>
  </si>
  <si>
    <t>Hesperus s. r. o.</t>
  </si>
  <si>
    <t>Kvetná 2566/37, 947 01 Hurbanovo</t>
  </si>
  <si>
    <t>Hesperus s.r.o., registrovaný sociálny podnik ponúka širokej verejnosti ubytovacie služby spojené so stravovaním v príjemnom prostredí. Zároveň ponúka posedenie v reštaurácii, kde si zákazníci môžu vychutnať štrúdľu a zákusky vlastnej výroby. Tiež ponúkame rozvoz stravy na objednávku.</t>
  </si>
  <si>
    <t>Hesperus s.r.o. je verejnoprospešný sociálny podnik, ktorý svoje ciele napĺňa ako integračný sociálny podnik, zamestnávaním zraniteľných a znevýhodnených občanov.</t>
  </si>
  <si>
    <t>https://katalogsp.gov.sk/hesperus-s-r-o/</t>
  </si>
  <si>
    <t xml:space="preserve"> +421 911 419 389</t>
  </si>
  <si>
    <t>hesperuszemne@gmail.com</t>
  </si>
  <si>
    <t>Hesperus s.r.o.</t>
  </si>
  <si>
    <t>Reštaurácia, štrúdľovňa, výdajňa stravy.</t>
  </si>
  <si>
    <t>reštaurácia, štrúdľovňa, výdajňa stravy, rozvoz jedál, donáška, štrúdľa, zákusok</t>
  </si>
  <si>
    <t>16.1.2022</t>
  </si>
  <si>
    <t>MST trading s. r. o.</t>
  </si>
  <si>
    <t>stavebníctvo, dom a záhrada, odpady a recyklácia</t>
  </si>
  <si>
    <t>Radvaň nad Laborcom 248, 067 01 Radvaň nad Laborcom</t>
  </si>
  <si>
    <t>Naša spoločnosť sa zaoberá úpravou záhrad, závlahových systémov, pokládkou zámkovej dlažby, úpravou pozemkov.</t>
  </si>
  <si>
    <t>Neustále vyhľadávame nové zákazky a príležitosti, aby sa nám podarilo zamestnať čo najviac ľudí, ktorí nie sú úspešní na trhu práce.</t>
  </si>
  <si>
    <t>https://katalogsp.gov.sk/wp-content/uploads/2022/01/MS-trading-logo2.jpg</t>
  </si>
  <si>
    <t>https://katalogsp.gov.sk/mst-trading-s-r-o/</t>
  </si>
  <si>
    <t xml:space="preserve"> +421 944 728 630</t>
  </si>
  <si>
    <t>msttradingsro@gmail.com</t>
  </si>
  <si>
    <t>MST Trading s.r.o.</t>
  </si>
  <si>
    <t>Úprava pozemkov, záhrad, realizácia trávnikov, závlahových systémov, bagrovanie a dovoz materiálu.</t>
  </si>
  <si>
    <t>bager, úprava pozemku, záková dlažba, záhrady, závlahový systém, pozemok, trávnik, chodníky, parkovisko, dovoz materiálu,</t>
  </si>
  <si>
    <t>24.3.2023</t>
  </si>
  <si>
    <t>PERMAL s. r. o.</t>
  </si>
  <si>
    <t>stavebníctvo, iné (tovary a služby)</t>
  </si>
  <si>
    <t>Ivanská cesta 2, 821 04 Bratislava</t>
  </si>
  <si>
    <t>Stavebná činnosť, maľovanie, predaj farieb, maliarskeho náradia, dekoračných obkladov a stavebnej chémie.</t>
  </si>
  <si>
    <t>https://katalogsp.gov.sk/wp-content/uploads/2022/06/Permal-banner2-KatalogSP.jpg</t>
  </si>
  <si>
    <t>https://katalogsp.gov.sk/permal-s-r-o/</t>
  </si>
  <si>
    <t>+421 944 278 472</t>
  </si>
  <si>
    <t>obchod@permal.sk</t>
  </si>
  <si>
    <t>Sniežka - predajňa farieb</t>
  </si>
  <si>
    <t>Predajňa farieb, dekoračných obkladov, maliarskeho náradia</t>
  </si>
  <si>
    <t>predaj farieb, farby, dekoračné obklady, maliarske náradie, stavebná činnosť, maľovanie, stavebná chémia</t>
  </si>
  <si>
    <t>2.6.2023</t>
  </si>
  <si>
    <t>MonToy s. r. o.</t>
  </si>
  <si>
    <t>Trenčiansky kraj, &amp;#32celé Slovensko</t>
  </si>
  <si>
    <t>nábytok a bytové doplnky, dom a záhrada, pre deti</t>
  </si>
  <si>
    <t>nábytok a bytové doplnky, dom a záhrada, pre deti, &amp;#32všetky kategórie</t>
  </si>
  <si>
    <t>6 - 10, &amp;#32všetky možnosti</t>
  </si>
  <si>
    <t>,,</t>
  </si>
  <si>
    <t>Záriečie 108</t>
  </si>
  <si>
    <t xml:space="preserve"> 020 52 Záriečie</t>
  </si>
  <si>
    <t>Záriečie 108, 020 52 Záriečie</t>
  </si>
  <si>
    <t>Podnik dnes stojí na niekoľkých pilieroch. Pôsobíme v oblasti drevovýroby, spracovávame masívne drevo aj drevotrieskové dosky. Venujeme sa výrobe dreveného nábytku na mieru do škôl a škôlok, kancelárií, aj pre fyzické osoby do rodinných domov. Súčasťou nášho portfólia sú tiež exteriérové prvky ako altánky, prístrešky, náučné tabule, drevené ihriská a iné. Okrem toho sa venujeme vývoju a výrobe drevených ekologických hračiek. Značnú časť portfólia v tomto segmente tvoria zmyslové a pohybové pomôcky pre deti na využívanie v interiéri. Radi ich odporúčajú pre cielenú prácu s deťmi samotní fyzioterapeuti. Okrem fyzických osôb naše hračky a pomôcky obľubujú deti materských škôlok či materských centier.</t>
  </si>
  <si>
    <t>Hlavným cieľom podniku je prispievať k dosahovaniu merateľného pozitívneho sociálneho vplyvu v oblasti podpory zamestnanosti, a to zamestnávaním min. 30 % znevýhodnených a/alebo zraniteľných osôb. Týmto ľuďom je umožnené zaradiť sa u nás do pracovného kolektívu, čím dostávajú možnosť budovať si nové vzťahy, získať nové kontakty, priučia sa pracovnej morálke a pracovným návykom, dostávajú možnosť zvýšiť svoje zručnosti, spoločensky sa uplatniť, sebarealizovať, získať pocit, že sú pre spoločnosť užitoční. Ich zamestnávaním napomáhame zabrániť ich vylúčeniu na okraj spoločnosti. Naviac dostali šancu zvýšiť svoje príjmy, čím môžu viesť kvalitnejší a plnohodnotnejší život.</t>
  </si>
  <si>
    <t>https://katalogsp.gov.sk/wp-content/uploads/2022/01/MonToy-RPS-Domcek.jpg</t>
  </si>
  <si>
    <t>https://katalogsp.gov.sk/montoy-s-r-o/</t>
  </si>
  <si>
    <t xml:space="preserve"> +421 904 928 989</t>
  </si>
  <si>
    <t>info@montoy.sk</t>
  </si>
  <si>
    <t>MonToy, s. r. o.</t>
  </si>
  <si>
    <t>Výroba nábytku a ostatných výrobkov z dreva na mieru. Výroba drevených hračiek pre deti.</t>
  </si>
  <si>
    <t>drevárska výroba, stolárstvo, výroba nábytky na mieru, výroba hračiek, zákazková výroba drevovýroba, stolár, ekologické hračky, altánky, prístrešky, náučné tabule</t>
  </si>
  <si>
    <t xml:space="preserve">MonToy s. r. o. nabytok a bytove doplnky, dom a zahrada, pre deti, &amp;#32vsetky kategorie  020 52 Zariecie Podnik dnes stoji na niekolkych pilieroch. Posobime v oblasti drevovyroby, spracovavame masivne drevo aj drevotrieskove dosky. Venujeme sa vyrobe dreveneho nabytku na mieru do skol a skolok, kancelarii, aj pre fyzicke osoby do rodinnych domov. Sucastou nasho portfolia su tiez exterierove prvky ako altanky, pristresky, naucne tabule, drevene ihriska a ine. Okrem toho sa venujeme vyvoju a vyrobe drevenych ekologickych hraciek. Znacnu cast portfolia v tomto segmente tvoria zmyslove a pohybove pomocky pre deti na vyuzivanie v interieri. Radi ich odporucaju pre cielenu pracu s detmi samotni fyzioterapeuti. Okrem fyzickych osob nase hracky a pomocky oblubuju deti materskych skolok ci materskych centier. Hlavnym cielom podniku je prispievat k dosahovaniu meratelneho pozitivneho socialneho vplyvu v oblasti podpory zamestnanosti, a to zamestnavanim min. 30 % znevyhodnenych a/alebo zranitelnych osob. Tymto ludom je umoznene zaradit sa u nas do pracovneho kolektivu, cim dostavaju moznost budovat si nove vztahy, ziskat nove kontakty, priucia sa pracovnej moralke a pracovnym navykom, dostavaju moznost zvysit svoje zrucnosti, spolocensky sa uplatnit, sebarealizovat, ziskat pocit, ze su pre spolocnost uzitocni. Ich zamestnavanim napomahame zabranit ich vyluceniu na okraj spolocnosti. Naviac dostali sancu zvysit svoje prijmy, cim mozu viest kvalitnejsi a plnohodnotnejsi zivot. MonToy, s. r. o. Vyroba nabytku a ostatnych vyrobkov z dreva na mieru. Vyroba drevenych hraciek pre deti. drevarska vyroba, stolarstvo, vyroba nabytky na mieru, vyroba hraciek, zakazkova vyroba drevovyroba, stolar, ekologicke hracky, altanky, pristresky, naucne tabule           </t>
  </si>
  <si>
    <t>2.6.2024</t>
  </si>
  <si>
    <t>Dvakrát dobre, oz, r.s.p.</t>
  </si>
  <si>
    <t>Prešovský kraj, &amp;#32celé Slovensko</t>
  </si>
  <si>
    <t>odevy a obuv, galantéria, bižutéria a darčekové predmety</t>
  </si>
  <si>
    <t>odevy a obuv, galantéria, bižutéria a darčekové predmety, &amp;#32všetky kategórie</t>
  </si>
  <si>
    <t>1 - 5, &amp;#32všetky možnosti</t>
  </si>
  <si>
    <t>Pribišova 286/7</t>
  </si>
  <si>
    <t xml:space="preserve"> 053 02 Spišský Hrhov</t>
  </si>
  <si>
    <t>Pribišova 286/7, 053 02 Spišský Hrhov</t>
  </si>
  <si>
    <t>Naše občianske združenie sa venuje šitiu, krajčírstvu, oprave odevov; šijeme rôznych druhov výrobkov. Naše služby sú určené pre fyzické osoby aj firmy.</t>
  </si>
  <si>
    <t>Zamestnávaním znevýhodnených osôb, najmä žien po 50-ke a zdravotne znevýhodnených.</t>
  </si>
  <si>
    <t>https://katalogsp.gov.sk/wp-content/uploads/2022/06/DvaKratDobre-RSP-1-KatalogSP.jpg</t>
  </si>
  <si>
    <t>https://katalogsp.gov.sk/dvakrat-dobre-oz-r-s-p/</t>
  </si>
  <si>
    <t>+421 908 383 782</t>
  </si>
  <si>
    <t>dvakratdobreoz@gmail.com</t>
  </si>
  <si>
    <t>Šitie, krajčírstvo rôznych druhov produktov podľa potreby zákazníka.</t>
  </si>
  <si>
    <t>šitie, krajčírstvo, oprava odevov, bazar odevov</t>
  </si>
  <si>
    <t xml:space="preserve">Dvakrat dobre, oz, r.s.p. odevy a obuv, galanteria, bizuteria a darcekove predmety, &amp;#32vsetky kategorie  053 02 Spissky Hrhov Nase obcianske zdruzenie sa venuje sitiu, krajcirstvu, oprave odevov; sijeme roznych druhov vyrobkov. Nase sluzby su urcene pre fyzicke osoby aj firmy. Zamestnavanim znevyhodnenych osob, najma zien po 50-ke a zdravotne znevyhodnenych. Dvakrat dobre, oz, r.s.p. Sitie, krajcirstvo roznych druhov produktov podla potreby zakaznika. sitie, krajcirstvo, oprava odevov, bazar odevov           </t>
  </si>
  <si>
    <t>10.7.2023</t>
  </si>
  <si>
    <t>VIPE s.r.o.</t>
  </si>
  <si>
    <t>doprava</t>
  </si>
  <si>
    <t>Kolónia 482, 930 37 Lehnice</t>
  </si>
  <si>
    <t xml:space="preserve">Zámerom a cieľom našej činnosti je maximálne uspokojovať potreby našich partnerov v rámci prepravy tovarov, preto sú naše logistické riešenia prispôsobené na mieru každého individuálne, s prihliadnutím na zachovanie kvality ponúkaných služieb za konkurencieschopnú cenu. Takzvaná „malá“ nákladná doprava do 3,5 t je čoraz viac vyhľadávaným artiklom nielen pre malé a stredné, ale už aj pre veľké podniky, ktoré ju využívajú k rýchlym prepravným akciám svojich služieb a tovarov. K dosiahnutiu cieľa je potrebné stať sa rovnocenným partnerom nielen pre malé podniky, ale aj pre stredné a veľké, ktoré si doslovne žiadajú za partnera firmu registrovanú ako platcu DPH. Ide hlavne o služby prepravcov v rámci EU, aby bol dostatočne sledovaný pohyb predaja služieb. Vnútroštátne ide firmám hlavne o zníženie nákladových položiek na prepravu a aby sme boli schopní zachovať kritériá cien potrebné k predkladaniu ponúk na konkurenčnom trhu. </t>
  </si>
  <si>
    <t>Občania so zdravotným postihnutím majú dlhodobý problém nájsť si prácu alebo činnosti, pri ktorých by mohli byť v spoločnosti užitočnými. Pomáhame ľuďom, ktorí majú zdravotné problémy a nemajú dostatok príležitostí, ako sa zaradiť do poracovného procesu a tým sa integrovať do spoločnosti.</t>
  </si>
  <si>
    <t>https://katalogsp.gov.sk/vipe-s-r-o/</t>
  </si>
  <si>
    <t>+421 902 801 729</t>
  </si>
  <si>
    <t>p.chrvala@gmail.com</t>
  </si>
  <si>
    <t>VIPE s.r.o.,r.s.p.</t>
  </si>
  <si>
    <t>autodoprava</t>
  </si>
  <si>
    <t>DRUMAS AGRO s.r.o.</t>
  </si>
  <si>
    <t>Lučenská 1156, 990 01 Veľký Krtíš</t>
  </si>
  <si>
    <t xml:space="preserve">Rozrábka bravčového mäsa, výroba tradičných mäsových výrobkov, predaj a distribúcia mäsa. Zásobovanie jedální, reštaurácií a iných stravovacích zariadení, prevádzkovanie maloobchodnej predajne.      </t>
  </si>
  <si>
    <t xml:space="preserve">Zamestnávame občanov zo skupiny zraniteľných alebo znevýhodnených osôb. </t>
  </si>
  <si>
    <t>https://katalogsp.gov.sk/wp-content/uploads/2022/11/potraviny_maso-e1667905362917.jpg</t>
  </si>
  <si>
    <t>https://katalogsp.gov.sk/drumas-agro-s-r-o/</t>
  </si>
  <si>
    <t>+421 902 169 602</t>
  </si>
  <si>
    <t>drugdova.e@gmail.com</t>
  </si>
  <si>
    <t>DRUMAS AGRO s.r.o., r.s.p.</t>
  </si>
  <si>
    <t>Predaj mäsa, mäsových výrobkov a doplnkového tovaru</t>
  </si>
  <si>
    <t>mäso, mäsové výrobky, potraviny</t>
  </si>
  <si>
    <t>17.8.2023</t>
  </si>
  <si>
    <t>VO VILE, s. r. o.</t>
  </si>
  <si>
    <t>cestovný ruch, krása-zdravie-relax, odevy a obuv, iné (tovary a služby)</t>
  </si>
  <si>
    <t>Likavka 65, 034 95 Likavka</t>
  </si>
  <si>
    <t>Prevádzkujeme Požičovňu sáun a zaoberáme sa výrobou a predajom oblečenia do wellness centier a do sáun.</t>
  </si>
  <si>
    <t>Zamestnávame dvoch znevýhodnených zamestnancov.</t>
  </si>
  <si>
    <t>https://katalogsp.gov.sk/wp-content/uploads/2021/12/Vo-vile-banner11-E-katalog-RSP.jpg</t>
  </si>
  <si>
    <t>https://katalogsp.gov.sk/vo-vile-s-r-o/</t>
  </si>
  <si>
    <t>+421 948 327 345</t>
  </si>
  <si>
    <t>regy.loviskova@gmail.com</t>
  </si>
  <si>
    <t>VO VILE, s.r.o. - Požičovňa sáun</t>
  </si>
  <si>
    <t>Požičiavame sauny - saunu klientovi dovezieme k domu, chate, hotelu a po skončení nájmu si ju prídeme prevziať. 
Zaoberáme sa tiež výrobou a predajom saunovacieho textilu - v ponuke máme jednodielne a dvojdielne oblečenie do sáun pre dámy, pre pánov, ponúkame tiež saunovacie klobúčiky. V našom saunovacom oblečení ste aj v saune krásni.</t>
  </si>
  <si>
    <t>sauna, wellness, požičovňa, rent, mobilná sauna, sauny, prenájom</t>
  </si>
  <si>
    <t>Mail od p. Gorylovej</t>
  </si>
  <si>
    <t>10.4.2024</t>
  </si>
  <si>
    <t>RENITEX, s. r. o.</t>
  </si>
  <si>
    <t>odevy a obuv, ochrana a bezpečnosť,</t>
  </si>
  <si>
    <t>Morovnianska cesta 1866, 972 51 Handlová</t>
  </si>
  <si>
    <t>Šitie odevov, krojov a zdravotníckeho oblečenia.</t>
  </si>
  <si>
    <t>V regionálnom rozvoji a zamestnanosti.</t>
  </si>
  <si>
    <t>https://katalogsp.gov.sk/renitex-s-r-o/</t>
  </si>
  <si>
    <t xml:space="preserve"> +421 905 331 546</t>
  </si>
  <si>
    <t>renitex@slovanet.sk</t>
  </si>
  <si>
    <t>RENITEX, s.r.o.</t>
  </si>
  <si>
    <t>Šitie odevov, krojov, zdravotníckych odevov.</t>
  </si>
  <si>
    <t>šitie, odevy</t>
  </si>
  <si>
    <t>MINORITAS, s. r. o.</t>
  </si>
  <si>
    <t>Rastislavova 12, 949 01 Nitra</t>
  </si>
  <si>
    <t>Upratovacie a čistiace práce pre firmy a náročnejšie domácnosti, ktoré kladú dôraz na spoľahlivosť, precíznosť a vysoký štandard čistoty. V roku 2022 otvoríme práčovňu so zvozom a rozvozom bielizne.</t>
  </si>
  <si>
    <t>Zamestnávame znevýhodnených občanov, najmä zdravotne. Okrem zárobku a pocitu užitočnosti im prácou na rôznych miestach umožňujeme kontakt s ľuďmi mimo ich obvyklého okruhu.</t>
  </si>
  <si>
    <t>http://katalogsp.gov.sk/wp-content/uploads/2022/07/logo-minoritas_karta.png</t>
  </si>
  <si>
    <t>https://katalogsp.gov.sk/minoritas-s-r-o/</t>
  </si>
  <si>
    <t>+421 901 709 990</t>
  </si>
  <si>
    <t>upratovanie@minoritas.sk</t>
  </si>
  <si>
    <t>MINORITAS, s.r.o.</t>
  </si>
  <si>
    <t>Upratovacie a čistiace práce.</t>
  </si>
  <si>
    <t>upratovanie, čistenie</t>
  </si>
  <si>
    <t>Miror, s.r.o.</t>
  </si>
  <si>
    <t>stavebníctvo, dom a záhrada, ochrana a bezpečnosť</t>
  </si>
  <si>
    <t>Hurbanova 7, 036 01 Martin</t>
  </si>
  <si>
    <t>Naším zákazníkom môže byť každý majiteľ komína, pece, kotla a krbu v domácnosti i vo firme - práce realizujeme v novostavbách aj v starších budovách, rodinných domoch aj firmách. Zapájame vykurovacie zariadenia - kotle, kachľové aj iné druhy pecí, staviame a vložkujeme komínové systémy, čistíme aj kompletne záručne a pozáručne servisujeme tieto systémy vrátane revíznych správ ku kolaudáciám, staviame kachľové pece ako spôsob zdravého vykurovania domácností aj podnikov.</t>
  </si>
  <si>
    <t>Podpora zamestnanosti</t>
  </si>
  <si>
    <t>https://katalogsp.gov.sk/wp-content/uploads/2022/01/Miror3.jpg</t>
  </si>
  <si>
    <t>https://katalogsp.gov.sk/miror-s-r-o/</t>
  </si>
  <si>
    <t xml:space="preserve"> +421 903 410 887</t>
  </si>
  <si>
    <t>kominarstvomiror@gmail.com</t>
  </si>
  <si>
    <t>Zapájame vykurovacie zariadenia - kotle, kachľové aj iné druhy pecí, staviame a vložkujeme komínové systémy, čistíme aj kompletne ich záručne aj pozáručne servisujeme vrátane revíznych správ ku kolaudáciám. Kachľové pece staviame ako spôsob zdravého vykurovania domácností aj podnikov. Práce realizujeme v novostavbách aj v starších budovách rodinných domov aj firiem.</t>
  </si>
  <si>
    <t>kominárske práce, servis opravy a výstavby komínov, zapájanie pecí a kotlov, revízie komínových systémov a komínov, kachľové pece</t>
  </si>
  <si>
    <t>Bagetéria Bayer s.r.o.</t>
  </si>
  <si>
    <t xml:space="preserve">Andreja Kmeťa 87/4, 990 01 Malý Krtíš </t>
  </si>
  <si>
    <t xml:space="preserve">Výroba a predaj pokrmov rýchleho občerstvenia (bagety, tortilly, hamburgery, hot-dogy a podobne) vrátane rozvozu v okrese Veľký Krtíš.
Ponúkame čerstvé, kvalitné a rýchle občerstvenie všetkým záujemcom o naše služby.
</t>
  </si>
  <si>
    <t xml:space="preserve">Zamestnávame invalidných dôchodcov a znevýhodnených uchádzačov o zamestnanie. Snažíme sa byť čo najviac prospešní pri poskytovaní našich služieb širokej verejnosti. </t>
  </si>
  <si>
    <t>https://katalogsp.gov.sk/wp-content/uploads/2021/12/Bageteria-Bazer-main1.jpg</t>
  </si>
  <si>
    <t>https://katalogsp.gov.sk/bageteria-bayer-s-r-o/</t>
  </si>
  <si>
    <t>+421 907 369 219</t>
  </si>
  <si>
    <t>bageteriabayer@gmail.com</t>
  </si>
  <si>
    <t>Bagetéria Bayer s.r.o. r.s.p.</t>
  </si>
  <si>
    <t>Výroba, predaj a rozvoz rýchleho občerstvenia</t>
  </si>
  <si>
    <t>Bagety, tortilly, hamburgery, hot-dog, palacinky, pečená klobása, donáška jedla</t>
  </si>
  <si>
    <t>NEED MORE s.r.o.</t>
  </si>
  <si>
    <t>reklama, odevy a obuv, účtovníctvo a poradenstvo,</t>
  </si>
  <si>
    <t>Drotárska cesta 37, 811 02 Bratislava</t>
  </si>
  <si>
    <t>Prevádzka e-shopu funder.help, tvorba fundraisingových kampaní a sprostredkovanie predaja cez e-commerce.</t>
  </si>
  <si>
    <t>Počtom integrácie sociálne a zdravotne znevýhodnených ľudí na trhu práce</t>
  </si>
  <si>
    <t>https://katalogsp.gov.sk/need-more-s-r-o/</t>
  </si>
  <si>
    <t xml:space="preserve"> +421 918 837 279</t>
  </si>
  <si>
    <t>hello@needmore.sk</t>
  </si>
  <si>
    <t>Textil s potlačou alebo výšivkou</t>
  </si>
  <si>
    <t>potlač, výšivka, e-commerce, textil, fundraising, kampane</t>
  </si>
  <si>
    <t>Damparts o.z.</t>
  </si>
  <si>
    <t>čistiace a upratovacie služby, dom a záhrada, auto-moto, elektro, počítačová a kancelárska technika</t>
  </si>
  <si>
    <t>Hanušákova 1393/22A, 010 01 Žilina</t>
  </si>
  <si>
    <t>Čistiace a upratovacie práce, predaj autodielov.</t>
  </si>
  <si>
    <t>https://katalogsp.gov.sk/damparts-o-z/</t>
  </si>
  <si>
    <t>+421 901 741 113</t>
  </si>
  <si>
    <t>damparts.sk@gmail.com</t>
  </si>
  <si>
    <t>Predaj autodielov, čistiace a upratovacie práce.</t>
  </si>
  <si>
    <t>čistiace práce, upratovanie, autodiely</t>
  </si>
  <si>
    <t>FEBA-ECO s. r. o., r. s. p.</t>
  </si>
  <si>
    <t>Hollého 12, 083 01 Sabinov</t>
  </si>
  <si>
    <t xml:space="preserve">Čistenie a pranie textílií, pranie, čistenie a tepovanie kobercov, upratovacie služby,
stavebná činnosť.
</t>
  </si>
  <si>
    <t>Naša firma prednostne zamestnáva znevyhodnené osoby na trhu práce, ďalej vzdeláva a pripravuje osoby na získanie trvalého zamestnania.</t>
  </si>
  <si>
    <t>https://katalogsp.gov.sk/wp-content/uploads/2022/06/Feba-RSP2-KatalogSP.jpg</t>
  </si>
  <si>
    <t>https://katalogsp.gov.sk/feba-eco-s-r-o-r-s-p/</t>
  </si>
  <si>
    <t>+421 945 025 196</t>
  </si>
  <si>
    <t>febaeco@gmail.com</t>
  </si>
  <si>
    <t>Čistiareň, práčovňa Feba - eco</t>
  </si>
  <si>
    <t>Čistenie a pranie textílií, upratovacie služby, čistenie a pranie kobercov.</t>
  </si>
  <si>
    <t>pranie, čistenie, tepovanie, stavebná činnosť</t>
  </si>
  <si>
    <t>5.6.2024</t>
  </si>
  <si>
    <t xml:space="preserve">Obecný podnik Jedľová s.r.o. </t>
  </si>
  <si>
    <t xml:space="preserve">Vyšná Jedľová 33, 089 01 Vyšná Jedľová
</t>
  </si>
  <si>
    <t>Našou základnou činnosťou je poskytovanie služieb práčovne a žehliarne pre reštaurácie, hotely, domovy sociálnych služieb a pre fyzické osoby. Vedľajšou činnosťou je starostlivosť o zeleň pre fyzické osoby.</t>
  </si>
  <si>
    <t>Zamestnávaním znevýhodnených osôb (zdravotné a vekovo znevýhodnené osoby), zveľaďovaním verejných priestranstiev.</t>
  </si>
  <si>
    <t>https://katalogsp.gov.sk/obecny-podnik-jedlova-s-r-o/</t>
  </si>
  <si>
    <t>+421 905 702 629, +421 915 386 083</t>
  </si>
  <si>
    <t>vysna.jedlova@azet.sk</t>
  </si>
  <si>
    <t>Obecný podnik Jedľová s.r.o. rsp</t>
  </si>
  <si>
    <t>Činnosť práčovne a čistiarne.</t>
  </si>
  <si>
    <t>práčovňa, čistiareň</t>
  </si>
  <si>
    <t>ATILA GENA s. r. o.</t>
  </si>
  <si>
    <t xml:space="preserve">Masarykova 10, 080 01 Prešov </t>
  </si>
  <si>
    <t>Robíme pomocné práce na stavbe, výkopové a búracie práce, kladieme zámkovú dlažbu, maľujeme.</t>
  </si>
  <si>
    <t>Dávame prácu dlhodobo nezamestnaným ľuďom, ktorí majú problém nájsť si zamestnanie.</t>
  </si>
  <si>
    <t>https://katalogsp.gov.sk/atila-gena-s-r-o/</t>
  </si>
  <si>
    <t>+421 940 786 018</t>
  </si>
  <si>
    <t>atila.gena@azet.sk</t>
  </si>
  <si>
    <t>Atila gena s.r.o</t>
  </si>
  <si>
    <t>Pomocné práce, búracie a výkopové práce, zámkové dlažby; robíme aj pílenie a vyrezávanie stromov.</t>
  </si>
  <si>
    <t>stavebne prace, pílenie stromov, maľovanie</t>
  </si>
  <si>
    <t>ROBUL Clean s.r.o.</t>
  </si>
  <si>
    <t>Sokolská 327/27, 960 01 Zvolen</t>
  </si>
  <si>
    <t>Pranie a chemické čistenie textilných a kožušinových výrobkov.</t>
  </si>
  <si>
    <t>Poskytujeme spoločensky prospešnú službu a zamestnávame zraniteľné a znevýhodnené osoby.</t>
  </si>
  <si>
    <t>https://katalogsp.gov.sk/robul-clean-s-r-o/</t>
  </si>
  <si>
    <t xml:space="preserve"> +421 950 736 420</t>
  </si>
  <si>
    <t>snopkojan66@gmail.com</t>
  </si>
  <si>
    <t>Práčovňa Dudince</t>
  </si>
  <si>
    <t>Pranie a chemické čistenie.</t>
  </si>
  <si>
    <t>Práčovňa, žehlenie, čistiareň</t>
  </si>
  <si>
    <t>BOLA tam duplicita z 2021/ asi zabudli že  v katalogu su  / teraz su 348</t>
  </si>
  <si>
    <t xml:space="preserve">A. Žarnova 820/16, 971 01 Prievidza </t>
  </si>
  <si>
    <t>Spoločnosť sa zaoberá poskytovaním kurzov plávania pre dojčatá, batoľatá a deti predškolského veku. Našimi zákazníkmi sú preto hlavne mamičky s deťmi.</t>
  </si>
  <si>
    <t>Vznikom nášho podniku sa nám podarilo podporiť zamestnanosť v našom regióne.</t>
  </si>
  <si>
    <t>https://katalogsp.gov.sk/baby-plavanie-s-r-o/</t>
  </si>
  <si>
    <t>Poskytujeme služby v oblasti prevázkovania kurzov plávania pre dojčatá, batoľatá a deti predškolského veku - kurzy plávania 1x do týždňa alebo 2x do týždňa; dĺžka trvania kurzov v oboch prípadoch je jeden mesiac.</t>
  </si>
  <si>
    <t>plávanie dojčiat, plávanie batoliat, kurzy plávania pre deti</t>
  </si>
  <si>
    <t>6/2023 / Mailom Kovalova/ RC SE KE - požiadala od odstánenie</t>
  </si>
  <si>
    <t>sewn bag s. r. o.</t>
  </si>
  <si>
    <t>odpady a recyklácia, nábytok a bytové doplnky, galantéria, bižutéria a darčekové predmety, zvieratá</t>
  </si>
  <si>
    <t>Tajovského 1, 040 01 Košice</t>
  </si>
  <si>
    <t>Ponúkame rôzne tašky a doplnky.
 Šijeme tašky na notebooky, obaly na tablety, darčekové predmety, púzdra na doklady, peňaženky a rôzne iné predmety podľa požiadaviek zákazníka. Všetky produkty sú vyrábané zo zbytkov z textilnej výroby. Tento materiál by sa inak poslal na skládku alebo do spaľovne...
 Vyrábame aj reklamné, darčekové a upomienkové predmety, taštičky, kľúčenky a pod.
 Každý darček môže mať svoj príbeh, ale aj svoju budúcnosť. Kontaktujte nás a dohodnite si detaily.</t>
  </si>
  <si>
    <t>Každý produkt, ktorý vyrobíme, má za sebou vlastnú históriu. A keďže na jeho pôvodný účel ho už nikto nevyužije, vyrobíme z neho za pomoci ľudí v ťažkej životnej situácii nový produkt, s novým účelom, novou budúcnosťou a novým príbehom.</t>
  </si>
  <si>
    <t>https://katalogsp.gov.sk/wp-content/uploads/2022/01/dielna-3-sewn-bag.jpg</t>
  </si>
  <si>
    <t>https://katalogsp.gov.sk/sewn-bag-s-r-o/</t>
  </si>
  <si>
    <t xml:space="preserve"> +421 949 307 018</t>
  </si>
  <si>
    <t>info@sewnbag.com</t>
  </si>
  <si>
    <t>sewn bag</t>
  </si>
  <si>
    <t>Darčekové predmety, reklamné predmety, cestovné tašky, peňaženky, pelechy pre psov a rôzne doplnky. 
 Ručne tkané obrusy, koberce a textílie.</t>
  </si>
  <si>
    <t>krajčírstvo, brašnárstvo, tašky, doplnky, peňaženky, kožené výrobky, koberce, vankúše, pelech, pes, koža</t>
  </si>
  <si>
    <t>19.5.2025 - Duplicitne - mail Gindolova</t>
  </si>
  <si>
    <t>Sociálny podnik obce Slovinky s. r. o., r. s. p.</t>
  </si>
  <si>
    <t>čistiace a upratovacie služby, dom a záhrada, stavebníctvo, pre deti, iné (tovary a služby)</t>
  </si>
  <si>
    <t>053 40 Slovinky 58</t>
  </si>
  <si>
    <t xml:space="preserve">Zamestnanci nášho podniku vykonávajú hlavne činnosti pre obec, kosenie, čistenie potokov, zveľaďovanie verejných priestranstiev, zber smetí z cintorínov a obce, stavebné a zemné práce. Vykonávajú aj činnosti pre obyvateľov obce, najčastejšie ide o kosenie záhrad a pozemkov, štiepanie, rezanie a ukladanie dreva ale pomáhajú aj s úpravou domov, maľovaním, úpravou záhrad alebo inými činnosťami, ktoré obyvatelia potrebujú. Máme aj krajčírsku dielňu, v ktorej sa tkajú koberce, ktoré sú veľmi obľúbené u našich obyvateľov, obyvateľov okolitých aj vzdialených miest a obcí a naše koberce sú aj v zahraničí.  Naše šikovné krajčírky šijú rôzne výrobky - výrobky do domácnosti (chňapky, zástery, štóly), dekoratívne predmety, hračky a rôzne výrobky na zákazku. Takisto sme spustili opravu odevov, ktorá je veľmi populárna. </t>
  </si>
  <si>
    <t xml:space="preserve">Dávame príležitosť znevýhodneným osobám uplatniť sa na trhu práce. </t>
  </si>
  <si>
    <t>https://katalogsp.gov.sk/socialny-podnik-obce-slovinky-s-r-o-r-s-p/</t>
  </si>
  <si>
    <t>+421902132360</t>
  </si>
  <si>
    <t>socpodnikslovinky@gmail.com</t>
  </si>
  <si>
    <t>Stavebné práce, zemné práce, žehlenie, pranie, umývanie okien, štiepanie, ukladanie, rezanie dreva, maľovanie domov, kosenie záhrad a pozemkov</t>
  </si>
  <si>
    <t>20.5.2025 Hromadn</t>
  </si>
  <si>
    <t>21.5.2025</t>
  </si>
  <si>
    <t>ZIPA plus s. r. o.</t>
  </si>
  <si>
    <t>poľnohospodárstvo a lesníctvo, dom a záhrada, bižutéria a darčekové predmety, iné (tovary a služby), zvieratá</t>
  </si>
  <si>
    <t>Trenčianska cesta 24, 915 01 Nové Mesto nad Váhom</t>
  </si>
  <si>
    <t xml:space="preserve">Zameriavame sa najmä na predaj klampiarskych výrobkov, ponúkame kompletný žľabový systém: žľaby, zvody, háky, výpustné kolená, horné kolená na zber dažďovej vody, aj na tenkostenný a hrubostenný program používaný na kúrenie.                                                        Máme širokú ponuku postrekov proti škodcom, rôzne pasce, záhradný sortiment - kvetináče, motyky, hrable, krompáče, píly, sekery, krhle, postrekovače, kosačky, ochranné pomôcky ako rukavice, okuliare, ochranný odev, gumáky.                                                                                      Ďalej ponúkame redukcie k celkovému zavlažovaciemu systému - hadice, rozprašovače, bazény, bazénovú chémiu a tiež drogériu, ako sú mopy, kýble, handry na podlahu, mydlá a podobne. Okrem iného máme v ponuke aj sezónny tovar - zaváracie poháre, viečka, fľaše, sudy na ovocie, kompostéry, kontajnerové nádoby, sortiment pre drobnochovateľov - napájačky a krmivá pre hydinu, jasličky.                                                                                                                 Náš podnik ponúka tiež predaj celosezónnych výrobkov a vlastnej tvorby z oblasti keramiky a aranžovanie vencov k akejkoľvek príležitosti. </t>
  </si>
  <si>
    <t>Dôležitým aspektom našej výnimočnosti je prepojenie plánovania výroby a predaja doplnkového a darčekového sortimentu so zamestnávaním pracovníkov, z ktorých časť je zo skupiny zdravotne znevýhodnených osôb. Uplatňujeme princípy "kolektívneho riadenia" a reinvestovania zisku späť do podnikania. A v neposlednom rade, originalita každého jedného ručne vypracovaného výrobku robí prácu a výsledný produkt výnimočným a originálnym.</t>
  </si>
  <si>
    <t>https://katalogsp.gov.sk/wp-content/uploads/2021/12/ZIPA-plus-banner1-E-katalog-RSP.jpg</t>
  </si>
  <si>
    <t>https://katalogsp.gov.sk/zipa-plus-s-r-o/</t>
  </si>
  <si>
    <t>+421 907 542 517</t>
  </si>
  <si>
    <t>zuzkah26@gmail.com</t>
  </si>
  <si>
    <t>Dom a záhrada</t>
  </si>
  <si>
    <t>Prevádzkareň sa zaoberá predajom klampiarskeho a záhradného sortimentu. Zároveň ponúka služby v aranžovaní vencov, venčekov, ikebán a výrobu keramiky podľa požiadavky zákazníka.</t>
  </si>
  <si>
    <t>záhradníctvo, klampiarstvo, drobnochovateľstvo, keramika, kvety, aranžovanie, drogéria, poradenstvo, kosenie, bazén, zavlažovanie, kotlinka, kvetináč, pracovné odevy</t>
  </si>
  <si>
    <t>Joyell s.r.o.</t>
  </si>
  <si>
    <t>vzdelávanie, účtovníctvo a poradenstvo, kultúra a šport, krása-zdravie-relax, odpady a recyklácia, reklama, iné (tovary a služby)</t>
  </si>
  <si>
    <t>Podzámocká 67/6, 972 01 Bojnice</t>
  </si>
  <si>
    <t>Naša spoločnosť Joyell s.r.o. sídli v Bojniciach, je súčasťou holdingu Well management, poskytuje expertné služby v oblasti vedomostnej ekonomiky a vo viacerých odvetviach, ako Program zdravia pre podniky, Firemný koučing, Reklama a marketing, Verejné obstarávanie, Podnikový nákup, Dotácie cez Eurofondy, Vydavateľská činnosť a prevádzka umeleckej Galérie Velvet.</t>
  </si>
  <si>
    <t>Naším pozitívnym sociálnym vplyvom je podpora zamestnanosti prostredníctvom zamestnávania znevýhodnených alebo zraniteľných osôb.</t>
  </si>
  <si>
    <t>https://katalogsp.gov.sk/wp-content/uploads/2021/12/Joyell-3.jpg</t>
  </si>
  <si>
    <t>https://katalogsp.gov.sk/joyell-s-r-o/</t>
  </si>
  <si>
    <t>+421 903 803 306</t>
  </si>
  <si>
    <t>joyell@joyell.sk</t>
  </si>
  <si>
    <t xml:space="preserve">
Naša prvá prevádzkareň Joyell s.r.o. sídli v Bojniciach, poskytuje expertné služby v oblasti vedomostnej ekonomiky a vo viacerých odvetviach, ako Program zdravia pre podniky, Firemný koučing, Reklama a marketing, Verejné obstarávanie, Podnikový nákup, Dotácie cez Eurofondy, Vydavateľská činnosť a prevádzka umeleckej Galérie Velvet.</t>
  </si>
  <si>
    <t>vedomostná ekonomika, zdravie, marketing, verejné obstarávanie, firemný koučing, podnikový nákup, dotácie Eurofondy</t>
  </si>
  <si>
    <t>Naša druhá prevádzkareň Joyell s.r.o. sídli v Bratislave, poskytuje expertné služby v oblasti vedomostnej ekonomiky, expertné služby vo viacerých odvetviach, ako Program zdravia, Telefon marketing a poradenstvo pre riadenie firiem.</t>
  </si>
  <si>
    <t>vedomostná ekonomika, zdravie, marketing, poradenstvo, konzultácie</t>
  </si>
  <si>
    <t>Tradície Kysúc, s. r. o.</t>
  </si>
  <si>
    <t>poľnohospodárstvo a lesníctvo, dom a záhrada, stavebníctvo, vzdelávanie, kultúra a šport, potraviny a nápoje, reklama</t>
  </si>
  <si>
    <t>Areál sídla Roľníckeho družstva Veľká Rača 10062, 023 01 Oščadnica</t>
  </si>
  <si>
    <t>Hlavným predmetom nášho podnikania je výkup ovčieho mlieka od regionálnych prvovýrobcov, následné spracovanie - výroba syrárskych výrobkov a poskytovanie služieb v oblasti propagácie tohto druhu výrobkov. V podnikovej predajni okrem svojich výrobkov predávame aj remeselné výrobky od regionálnych výrobcov. Organizujeme spoločensko- kultúrne akcie , workshopy, ktoré prezentujú tradičné ovčiarstvo na Kysuciach a kultúrne tradície regiónu.</t>
  </si>
  <si>
    <t>Svoju podnikateľskú činnosť synergicky prepájame so snahou o tvorbu, rozvoj, ochranu, obnovu a prezentáciu duchovných a kultúrnych hodnôt. V neposlednom rade sa snažíme o zachovanie tradícií regiónu. Poriadaním workshopov pre deti zo zásladných škôl, kde názorne uvidia spracovanie ovčieho mlieka, prispievame k vzdelávaniu a výchove. Podporou chovu oviec nepriamo zasahujeme aj do tvorby a ochrany životného prostredia a ochrany zdravia obyvateľstva. Zamestnávaním znevýhodnených občanov podporujeme regionálny rozvoj a zamestnanosť.</t>
  </si>
  <si>
    <t>https://katalogsp.gov.sk/wp-content/uploads/2021/12/Tradicie-Kysuc-main1.jpg</t>
  </si>
  <si>
    <t>https://katalogsp.gov.sk/tradicie-kysuc-s-r-o/</t>
  </si>
  <si>
    <t>+421 905 284 860</t>
  </si>
  <si>
    <t>tradiciekysuc@tradiciekysuc.sk, kubalova@tradiciekysuc.sk</t>
  </si>
  <si>
    <t>Výroba syrárskych výrobkov z ovčieho mlieka, predaj remeselných výrobkov od regionálnych výrobcov, organizovanie spoločensko kultúrnych akcií, workshopov prezentujúcich tradičné ovčiarstvo na Kysuciach a kultúrne tradície regiónu.</t>
  </si>
  <si>
    <t>ovčí syr mäkký, ovčie syrové nite, ovčie jogurty, ovčí syr dlho zrejúci, ovčí syr údený , názorná ukážka spracovania ovčieho mlieka a výroba výrobkov, folklórne podujatia, ovčiarstvo na Kysuciach</t>
  </si>
  <si>
    <t>Sociálny podnik Jarovnice, s.r.o.</t>
  </si>
  <si>
    <t>Jarovnice 129, 082 63 Jarovnice</t>
  </si>
  <si>
    <t>Výkopové práce, pomocné stavebné práce, búracie práce a odpadové hospodárstvo.</t>
  </si>
  <si>
    <t>Zamestnávame osoby z marginalizovanej rómskej komunity.</t>
  </si>
  <si>
    <t>https://katalogsp.gov.sk/socialny-podnik-jarovnice-s-r-o/</t>
  </si>
  <si>
    <t>+421 908 639 189</t>
  </si>
  <si>
    <t>jantupta@gmail.com</t>
  </si>
  <si>
    <t>Sociálny podnik Jarovnice s.r.o</t>
  </si>
  <si>
    <t>Robíme výkopové a búracie práce.</t>
  </si>
  <si>
    <t>zemne prace buranie</t>
  </si>
  <si>
    <t>STEFANI n.o.</t>
  </si>
  <si>
    <t>čistiace a upratovacie služby, dom a záhrada, poľnohospodárstvo a lesníctvo,  cestovný ruch, ubytovacie a stravovacie služby,  vzdelávanie, kultúra a šport, krása-zdravie-relax</t>
  </si>
  <si>
    <t>Žarnovická Huta 66, 966 81 Žarnovica</t>
  </si>
  <si>
    <t>Náš tím tvoria zruční mladí ľudia so zdravotným znevýhodnením, ktorí sa nezľaknú žiadnej (fyzicky nenáročnej) práce. Prijímame zákazky na výrobu drobných dekoračných predmetov, balenie, skladanie, šitie, maľovanie, ale tiež vieme poskytnúť služby ako nákupy do domácnosti, upratovanie, pomocné práce v exteriéri a iné. Ideálne sú pre nás veľké dlhodobé zákazky, kde sa vieme zapracovať a zautomatizovať procesy a následne dlhodobo opakovať jednu činnosť. Veľmi nás tešia pomocné práce pre výrobné spoločnosti, ktorým pomáhame s úkonmi, ktoré zaťažujú ich interný personál a pre nás sú veľkým potešením. Ďakujeme za každú jednu objednávku našich služieb. :)</t>
  </si>
  <si>
    <t>Okrem zamestnávania zdravotne znevýhodnených zamestnancov sa venujeme dobrovoľníckym aktivitám v oblasti ekológie, prevencie psychického zdravia, budovania zdravých rodinných vzťahov, vzdelávania mladých ľudí, organizovania podujatí pre deti a mládež v našom meste a mnohému inému. Zapájame sa do všetkých zmysluplných iniciatív v regióne a podporujeme priateľský komunitný život v našom meste i širokom okolí.</t>
  </si>
  <si>
    <t>https://katalogsp.gov.sk/wp-content/uploads/2021/12/Stefani-3.jpg</t>
  </si>
  <si>
    <t>https://katalogsp.gov.sk/stefani-n-o/</t>
  </si>
  <si>
    <t>+421 904 648 712</t>
  </si>
  <si>
    <t>lucia.vrtikova24@gmail.com</t>
  </si>
  <si>
    <t>STEFANI n.o., r.s.p.</t>
  </si>
  <si>
    <t>V našej prevádzke vykonávame drobné ručné práce na zákazku. Priestor je zároveň komunitným centrom pre rodiny s deťmi v našom meste.</t>
  </si>
  <si>
    <t>kaviareň, košíky, sviečky, kosenie, upratovanie, dekorácie, balenie, skladanie, strihanie, výroba, šitie, pletenie</t>
  </si>
  <si>
    <t xml:space="preserve">Pekný les </t>
  </si>
  <si>
    <t>Turisticko-vzdelávací areál zameraný na vzdelávanie v oblasti ekológie. Poskytujeme tu ubytovanie v prírode, školenia, teambuildingy, svadby, oslavy, tábory, animácie, vzdelávanie detí a mládeže. V prevádzke je možnosť zakúpiť si lokálne výrobky: včelárske produkty, mlieka a syry, sirupy a šťavy a mnoho iného.</t>
  </si>
  <si>
    <t xml:space="preserve">med, propolis, syr, zvieratá, ubytovanie, oslava, teambuilding, svadba, vzdelávanie, pobyt, ekológia, príroda, tábor, reštaurácia, bufet, koncert, penzión, gastro, </t>
  </si>
  <si>
    <t>Lupex, s.r.o.</t>
  </si>
  <si>
    <t>I.Krasku 707/2, 971 01 Prievidza</t>
  </si>
  <si>
    <t>Naša ponuka: výroba špongií, balenie utierok pre domácnosti.</t>
  </si>
  <si>
    <t>https://katalogsp.gov.sk/lupex-s-r-o/</t>
  </si>
  <si>
    <t>+421 948 391 069</t>
  </si>
  <si>
    <t>lupexpd@gmail.com</t>
  </si>
  <si>
    <t>Výroba špongií, balenie utierok pre domácnosť.</t>
  </si>
  <si>
    <t>špngie, kuchynské utierky</t>
  </si>
  <si>
    <t>Jana Bezegová ROBEN r.s.p.</t>
  </si>
  <si>
    <t>odevy a obuv, nábytok a bytové doplnky</t>
  </si>
  <si>
    <t>Rovné 145, 067 32 Vyšný Hrušov</t>
  </si>
  <si>
    <t>Odevná a textílna výroba, šitie akýchkoľvek výrobkov pre súkromnú sféru.</t>
  </si>
  <si>
    <t>Zamestnávame zdravotne ťažko postihnutých a invalidných zamestnancov; na dosiahnutie merateľného pozitívneho sociálneho vplyvu použijeme 51% zisku.</t>
  </si>
  <si>
    <t>https://katalogsp.gov.sk/jana-bezegova-roben-r-s-p/</t>
  </si>
  <si>
    <t>+421 907 936 918</t>
  </si>
  <si>
    <t>robenrsp@gmail.com</t>
  </si>
  <si>
    <t>Šitie výrobkov bytového textilu, odevného textilu.</t>
  </si>
  <si>
    <t>rúška,pracovné odevy, detský,dámsky,pánsky textil, vankúše, obrusy, záclony, závesy, prehozy</t>
  </si>
  <si>
    <t>APZ Liptovský Hrádok, n. o.</t>
  </si>
  <si>
    <t>reklama, obaly, nábytok a bytové doplnky, bižutéria a darčekové predmety, pre deti</t>
  </si>
  <si>
    <t>Hradná 528/13, 033 01 Liptovský Hrádok</t>
  </si>
  <si>
    <t>Zamestnávanie zraniteľných a znevýhodnených osôb v krajčírskej dielni, ktorá sa venuje najmä textilnej výrobe, výrobe suvenírov, darčekov a reklamných predmetov.</t>
  </si>
  <si>
    <t>https://katalogsp.gov.sk/wp-content/uploads/2022/01/APZ-Liptovsky-HradokE-katalogRSP-banner2.jpg</t>
  </si>
  <si>
    <t>https://katalogsp.gov.sk/apz-liptovsky-hradok-n-o/</t>
  </si>
  <si>
    <t xml:space="preserve"> +421 918 343 762</t>
  </si>
  <si>
    <t>prvosienkadielna@gmail.com</t>
  </si>
  <si>
    <t>Prvosienka</t>
  </si>
  <si>
    <t>Krajčírska dielňa - textilná výroba, výroba suvenírov, darčekov a reklamných predmetov, textilných hračiek a bábik, rôzne obaly a vrecká, tašky, a pod.</t>
  </si>
  <si>
    <t>textilné hračky, bábiky, patchworkové deky, darčeky, vrecká, obaly, bytový textil, reklamné predmety, bábiky, záclony, závesy, obrusy, edukačné hračky, patchwork kurzy, vianočné dekorácie, svadobné dekorácie, anjeliky, reklamné predmety</t>
  </si>
  <si>
    <t>Obuv LEAN, s. r. o.</t>
  </si>
  <si>
    <t>Veľkoobchod s obuvou.</t>
  </si>
  <si>
    <t>Tým, že vytvára pracovné miesta pre zdravotne znevýhodnené a zraniteľné osoby.</t>
  </si>
  <si>
    <t>https://katalogsp.gov.sk/obuv-lean-s-r-o/</t>
  </si>
  <si>
    <t>obuvlean21@gmail.com</t>
  </si>
  <si>
    <t>Obuv LEAN - veľkoobchod</t>
  </si>
  <si>
    <t>papuče, plátenky, prezuvky</t>
  </si>
  <si>
    <t>TrendyR, s. r. o.</t>
  </si>
  <si>
    <t>účtovníctvo a poradenstvo, reklama</t>
  </si>
  <si>
    <t>Levočská 412/20, 052 01 Spišská Nová Ves</t>
  </si>
  <si>
    <t>TrendyR, s. r. o. ponúka marketingové služby a poradenskú činnosť pri spracovaní projektov, spracovanie projektov na čerpanie finančných zdrojov z európskych, národných a súkromných zdrojov.</t>
  </si>
  <si>
    <t>Služby na podporu regionálneho rozvoja a zamestnanosti (zamestnávanie zraniteľných a znevýhodnených osôb).</t>
  </si>
  <si>
    <t>https://katalogsp.gov.sk/wp-content/uploads/2022/01/TrendyR-logo1-KatalogRSP.jpg</t>
  </si>
  <si>
    <t>https://katalogsp.gov.sk/trendyr-s-r-o/</t>
  </si>
  <si>
    <t xml:space="preserve"> +421 948 841 533</t>
  </si>
  <si>
    <t>trendyrstyle@gmail.com</t>
  </si>
  <si>
    <t>Ponúkame marketingové služby a poradenskú činnosť pri spracovaní projektov, spracovanie projektov na čerpanie finančných zdrojov z európskych, národných a súkromných zdrojov.</t>
  </si>
  <si>
    <t>marketing, copywriting, editácia, korekcia textov, e-mail marketing, projekt, spracovanie projektov, príprava projektov, EŠIF projekty, grantové žiadosti</t>
  </si>
  <si>
    <t>Novo Health s. r. o.</t>
  </si>
  <si>
    <t>účtovníctvo a poradenstvo, odpady a recyklácia</t>
  </si>
  <si>
    <t>Hlavná 106, 919 26 Zavar</t>
  </si>
  <si>
    <t>Projektový manažment.</t>
  </si>
  <si>
    <t>https://katalogsp.gov.sk/novo-health-s-r-o/</t>
  </si>
  <si>
    <t xml:space="preserve"> +421 903 472 151</t>
  </si>
  <si>
    <t>peter.novak@novo.sk</t>
  </si>
  <si>
    <t>Kancelária Poprad</t>
  </si>
  <si>
    <t>Predaj tovarov v oblasti odpadov a recyklácie.</t>
  </si>
  <si>
    <t>projekt, optimalizácia procesov, outsourcing procesov, personálna agenda, výskum, vývoj, inovácie</t>
  </si>
  <si>
    <t>TK HORSE SPORT s. r. o. r. s. p.</t>
  </si>
  <si>
    <t>ubytovacie a stravovacie služby, cestovný ruch, kultúra a šport, pre deti</t>
  </si>
  <si>
    <t>Kružnianska 763, 049 51 Brzotín</t>
  </si>
  <si>
    <t>Náš podnik poskytuje služby v oblasti ubytovania, organizuje jazdecké detské tábory, ponúka jazdy na koni, jazdeckú školu.</t>
  </si>
  <si>
    <t>https://katalogsp.gov.sk/tk-horse-sport-s-r-o-r-s-p/</t>
  </si>
  <si>
    <t xml:space="preserve"> +421 907 667 886</t>
  </si>
  <si>
    <t>TK Horse sport s.r.o.r.s.p.</t>
  </si>
  <si>
    <t>Ubytovanie, jazdenie na koni, detské tábory.</t>
  </si>
  <si>
    <t>penzión, jazdenie na koni. detské tábory, jazdecká škola</t>
  </si>
  <si>
    <t>Edukrea, s.r.o., registrovaný sociálny podnik</t>
  </si>
  <si>
    <t>nábytok a bytové doplnky, bižutéria a darčekové predmety</t>
  </si>
  <si>
    <t>Dolné Saliby 560, 925 02 Dolné Saliby</t>
  </si>
  <si>
    <t>Náš sociálny podnik vyrába a predáva drobné darčekové predmety, bižutériu a drobné predmety do bytu. Organizujeme aj rôzne záujmové aktivity pre deti, aby sme rozvíjali ich kreativitu a zručnosti. Pripravujeme aj vzdelávacie a výchovné, edukačné stretnutia pre sociálne slabšie skupiny obyvateľstva, hlavne pre príslušníkov rómskej menšiny.</t>
  </si>
  <si>
    <t>Edukrea s.r.o. ako sociálny podnik realizuje spoločensky prospešné činnosti v oblasti služieb na podporu regionálneho rozvoja a zamestnanosti. Pozitívny sociálny vplyv je merateľný percentom zamestnaných znevýhodnených osôb z celkového počtu zamestnancov.</t>
  </si>
  <si>
    <t>https://katalogsp.gov.sk/wp-content/uploads/2023/04/EDUKREA_vesiaciky.jpg</t>
  </si>
  <si>
    <t>https://katalogsp.gov.sk/edukrea-s-r-o-registrovany-socialny-podnik/</t>
  </si>
  <si>
    <t xml:space="preserve"> +421 903 235 454</t>
  </si>
  <si>
    <t>edukreasp@gmail.com</t>
  </si>
  <si>
    <t>Edukrea s.r.o., registrovaný sociálny podnik</t>
  </si>
  <si>
    <t>Naša firma vyrába a predáva drobné darčekové predmety, doplnky do bytu a bižutériu.</t>
  </si>
  <si>
    <t>remeselnícke výrobky, textilná bižutéria, obrazy</t>
  </si>
  <si>
    <t>Kukurienka r.s.p.</t>
  </si>
  <si>
    <t>nábytok a bytové doplnky, cestovný ruch, kultúra a šport</t>
  </si>
  <si>
    <t>Bátorová 39, 991 26 Bátorová</t>
  </si>
  <si>
    <t>o.z. Kukurienka bolo založené s cieľom zachrániť kultúru, tradície a remeslá. Od 1.1.2020 sme získali štatút sociálneho podniku a vyrábame tkané koberce z tzv. odrezkov z textilných závodov, ktoré sú zo 100 % bavlny. T.j. "znovu-úžitkujeme" textil. Vyrábame na krosnách tradičným spôsobom moderné huňaté koberce s dlhou životnosťou. Medzi produktami našej dielne nájdete tiež klasické behúne z textílií. Kraje sú spevnené a veľmi esteticky ukončené. Máme k dispozícii viac tkáčskych stavov, preto si môžete vybrať zo širokej škály rozmerov. Naše výrobky sa vyznačujú jedinečnosťou na Slovensku. Tkané koberce sú vhodné do domácností, na chatu, letnú záhradu, do penziónov a pod. 
 Ďalšou aktivitou, ktorej sa venujeme, je záchrana a oprava tradičného domu, ktorý slúži pre širokú verejnosť so zámerom usporiadania kultúrnych podujatí, remeselníckych kurzov, teambuildingov a osláv.</t>
  </si>
  <si>
    <t>Máme za sebou veľa úspechov a krásnych chvíľ, ktoré nás každodenne posilňujú naďalej pokračovať v tejto činnosti a venovať sa zraniteľným a znevýhodneným osobám. Robíme všetko preto, aby sme mohli vytvoriť pracovné miesta pre každého záujemcu. Ako sociálny podnik podnikáme od 1.1.2020 s 3 ZŤP pracovníčkami. Záujem je veľký, dúfame, že v budúcnosti budeme môcť zvýšiť počet pracovných miest.</t>
  </si>
  <si>
    <t>https://katalogsp.gov.sk/wp-content/uploads/2022/01/tkanie1-Kukurienka.jpg</t>
  </si>
  <si>
    <t>https://katalogsp.gov.sk/kukurienka-r-s-p/</t>
  </si>
  <si>
    <t xml:space="preserve"> +421 907 133 623</t>
  </si>
  <si>
    <t>kukurienka@gmail.com</t>
  </si>
  <si>
    <t>Výroba a predaj ručne tkaných kobercov.</t>
  </si>
  <si>
    <t>spracovanie textílií a tkanie kobercov. Tkané koberce v rôzných rozmeroch od 0,50m do 1,5m š, dĺžka až do 10 m, ponuka osláv, podujatí v tradičnom dome</t>
  </si>
  <si>
    <t>Sociálny podnik Lenka s. r. o.</t>
  </si>
  <si>
    <t>čistiace a upratovacie služby, dom a záhrada, stavebníctvo, doprava, vzdelávanie, odpady a recyklácia, pre deti</t>
  </si>
  <si>
    <t>Lenka 89, 980 50 Lenka</t>
  </si>
  <si>
    <t>Sociálny podnik Lenka s.r.o. ponúka zákazníkom vo svojom regióne najmä betónové dielce, podľa nášho názoru najkvalitnejšie v širokom regióne. Náš podnik poskytuje aj služby, ktoré potrebujú menšie obce, napríklad kosenie a údržba verejného priestranstva, stavebné a údržbárske práce, realizujeme opravy chodníkov, plotov, ciest a budov. Ponúkame vzdelávacie aktivity pre nezamestnaných v okrese Rimavská sobota a Revúca.</t>
  </si>
  <si>
    <t>Spoločnosť zamestnáva zraniteľné a znevýhodnené osoby.</t>
  </si>
  <si>
    <t>https://katalogsp.gov.sk/socialny-podnik-lenka-s-r-o/</t>
  </si>
  <si>
    <t xml:space="preserve"> +421 918 741 045</t>
  </si>
  <si>
    <t>socplenka@gmail.com</t>
  </si>
  <si>
    <t>Aktuálne ponúkame výrobu betónových dlaždíc, údržbu a čistenie verejného priestranstva.</t>
  </si>
  <si>
    <t>betónové dlažby, zemné práce, stavebné práce, poradenstvo, kosenie</t>
  </si>
  <si>
    <t>KORCHI PLUS s.r.o.</t>
  </si>
  <si>
    <t>krása-zdravie-relax,</t>
  </si>
  <si>
    <t>Gazdovský rad 38/43, 931 01 Šamorín</t>
  </si>
  <si>
    <t>Naším produktom je hlavne zdravá výživa obyvateľstva, poradenstvo v oblasti zdravej výživy a predaj produktov zdravej výživy. Našu činnosť sme rozšírili o produkty tradičnej čínskej medicíny, ako sú vitálne huby, tinktúry z bylinných zmesí a bylinné odvary.</t>
  </si>
  <si>
    <t>Hlavným cieľom spoločnosti, ako integračného podniku je podpora zamestnanosti. Zameriavame sa najmä na zamestnávanie osôb s dlhodobým zdravotným postihnutím znižujúcim ich telesné, duševné a zmyslové schopnosti, čo bráni ich plnohodnotnému a účinnému zapojeniu sa do pracovného procesu v porovnaní so zdravými fyzickými osobami.</t>
  </si>
  <si>
    <t>https://katalogsp.gov.sk/wp-content/uploads/2022/01/Korchi-2.jpg</t>
  </si>
  <si>
    <t>https://katalogsp.gov.sk/korchi-plus-s-r-o/</t>
  </si>
  <si>
    <t xml:space="preserve"> +421 907 893 936</t>
  </si>
  <si>
    <t>jpk.integral@gmail.com</t>
  </si>
  <si>
    <t>CENTRUM ZDRAVIA</t>
  </si>
  <si>
    <t>Naším produktom je hlavne zdravá výživa obyvateľstva, poradenstvo v oblasti zdravej výživy a predaj produktov zdravej výživy. Našu činnosť sme rozšírili o produkty tradičnej čínskej medicíny, napr. vitálne huby, tinktúry z bylinných zmesí a bylinné odvary.</t>
  </si>
  <si>
    <t>Zdravá výživa, produkty TCM, čínska medicína, bylinky, vitálne huby</t>
  </si>
  <si>
    <t>Drienok s. r. o.</t>
  </si>
  <si>
    <t>čistiace a upratovacie služby, ubytovacie a stravovacie služby, cestovný ruch, kultúra a šport, odpady a recyklácia, dom a záhrada,</t>
  </si>
  <si>
    <t>Kollárovo námestie 314/10, 038 21 Mošovce</t>
  </si>
  <si>
    <t>Registrovaný sociálny podnik ponúka čistiace a upratovacie služby verejných priestranstiev v obciach, údržbu verejnej zelene, správu Zberných dvorov, služby verejného obstarávania i projektového manažmentu pri tvorbe a podaniach Žiadostí o NFP. Od 1.1.2022 poskytuje aj služby v cestovnom ruchu, prevádzkuje športovo - rekreačné zariadenie Drienok Mošovce, ktoré ponúka ubytovacie služby v penzióne s kapacitou 25 osôb (pripravuje sa rekonštrukcia a rozšírenie kapacity na 50 osôb), v zrubových chatkách (24 ks 4-miestnych, 3 ks 3-miestnych, 2 ks 8-miestnych), autocamping pre 100 áut alebo 40 autobusov (elektrické prípojky v rámci celého areálu, prípojka na čistenie odpadu z karavanov), stanový tábor, letné kúpanie v 3 bazénoch, športové vyžitie na 8 antukových kurtoch, 1 sunny volejbal, areál je dog friendly, vhodný na skupinové podujatia - festivaly, zrazy, športové tábory a pod. Toto všetko na ploche zariadenia 6 ha.</t>
  </si>
  <si>
    <t>Podnik je spoločensky prospešný službami na podporu zamestnanosti a regionálneho rozvoja: zamestnávanie zraniteľných a/alebo znevýhodnených osôb; tvorba, rozvoj, ochrana, obnova a prezentácia duchovných a kultúrnych hodnôt - systematická starostlivosť o kultúrne pamiatky v obci (Anglický park pri révayovskom kaštieli zapísaný v zozname NKP, Mauzóleum pri révayovskom kaštieli – dnes Múzeum mošovských remesiel, Dom Jána Kollára a pod.; pravidelná údržba a obnova objektov, budov a vnútorného vybavenia i verejnej zelene). Vzdelávanie, výchova a rozvoj telesnej kultúry - pravidelná údržba a obnova majetku obce, najmä Športovo-rekreačného zariadenia Drienok, kde vytvára zvýhodnené podmienky pre seniorov, držiteľov preukazov ZŤP či deti.</t>
  </si>
  <si>
    <t>https://katalogsp.gov.sk/wp-content/uploads/2022/01/Drienok-2.jpg</t>
  </si>
  <si>
    <t>https://katalogsp.gov.sk/drienok-s-r-o/</t>
  </si>
  <si>
    <t xml:space="preserve"> +421 910 382 100</t>
  </si>
  <si>
    <t>drienok.rsp@gmail.com</t>
  </si>
  <si>
    <t>Drienok s.r.o, r.s.p.</t>
  </si>
  <si>
    <t>Čistiace práce, služby v cestovnom ruchu, služby verejného obstarávania, služby projektového manažmentu, administratívne služby.</t>
  </si>
  <si>
    <t>penzión, autocamping, zrubové chatky, bazény, kúpanie, reštaurácia, festival, drienok, obstarávanie, projektový manažment, ubytovanie, šport a rekreácia, volejbal, sústredenie, letný tábor, park, zberný dvor, údržba zelene</t>
  </si>
  <si>
    <t>HEPIA s.r.o.</t>
  </si>
  <si>
    <t xml:space="preserve">Jaseňová 420/13, 971 01 Prievidza </t>
  </si>
  <si>
    <t>Ponúkame kvalitné overené vína na každú príležitosť.  V spolupráci so someliérom sme pre vás pripravili výber toho najlepšieho zo Slovenska, Moravy a Rakúska.</t>
  </si>
  <si>
    <t>https://katalogsp.gov.sk/wp-content/uploads/2022/08/Hepia-RSP-KatalogSP.jpg</t>
  </si>
  <si>
    <t>https://katalogsp.gov.sk/hepia-s-r-o/</t>
  </si>
  <si>
    <t>+421 907 993 357</t>
  </si>
  <si>
    <t>info@vinoteka-exclusive.sk</t>
  </si>
  <si>
    <t>Vinotéka Exclusive</t>
  </si>
  <si>
    <t>Predaj vín od slovenských vinárov.</t>
  </si>
  <si>
    <t>víno, maloobchod s vínom</t>
  </si>
  <si>
    <t>NEPSPM, s. r. o.</t>
  </si>
  <si>
    <t>poľnohospodárstvo a lesníctvo, stavebníctvo, potraviny a nápoje, nábytok a bytové doplnky</t>
  </si>
  <si>
    <t>Vlková 200, 059 72 Vlková</t>
  </si>
  <si>
    <t>Náš integrovaný sociálny podnik so sídlom vo Vlkovej ponúka poľnohospodárske služby, stolársko - nábytkárske služby, lesné a drevospracujúce práce a sortiment chleba a pečiva z vlastnej pekárne. Štatút sociálneho podniku sme získali v júli 2022 a spolupracujeme so sociálnym zariadením Inštitútu Krista Veľkňaza v Žakovciach.</t>
  </si>
  <si>
    <t>V našom podniku zamestnávame zraniteľné a znevýhodnené osoby v spolupráci so sociálnym zariadením Inštitútu Krista Veľkňaza v Žakovciach. Týmto osobám pomáhame získavať pracovné návyky a zaradiť sa na otvorený trh práce.</t>
  </si>
  <si>
    <t>https://katalogsp.gov.sk/nepspm-s-r-o/</t>
  </si>
  <si>
    <t>+421 918 494 234</t>
  </si>
  <si>
    <t>kurcak@nepspm.sk</t>
  </si>
  <si>
    <t>NEPSPM, s.r.o.</t>
  </si>
  <si>
    <t>Ponúkame poľnohospodárske služby, lesnícke služby, stolársko - nábytkárske služby. Pečieme chlieb a pečivo vo vlastnej pekárni.</t>
  </si>
  <si>
    <t>poľnohospodárstvo, lesníctvo, stolárstvo, výroba nábytku, pekáreň, pečivo, chlieb, lesné práce</t>
  </si>
  <si>
    <t>Formičkáreň.sk, s.r.o.</t>
  </si>
  <si>
    <t>potraviny a nápoje, obaly, nábytok a bytové doplnky, pre deti</t>
  </si>
  <si>
    <t>Môťovská cesta 12, 960 01 Zvolen</t>
  </si>
  <si>
    <t xml:space="preserve">Integračný sociálny podnik Formičkáreň.sk vznikol na vyše 3-ročných skúsenostiach s výrobou cukrárskych pomôcok pre konečných spotrebiteľov aj distribútorov. Podľa vlastných návrhov vyrábame ekologické formičky, zápichy do tort, označovače rezu a ponúkame ďalší tovar pre cukrárky, medovnikárky a gazdinky, ktoré chcú ozvláštniť svoje pečenie. </t>
  </si>
  <si>
    <t>Podnik poskytne zamestnanie a pracovné skúsenosti zamestnancom ZŤP alebo inak znevýhodneným osobám, ktoré majú zhoršené podmienky pre uplatnenie sa na trhu práce. Prínosom bude vytvorenie plnohodnotných pracovných miest pre týchto ľudí s plnou podporou profesionálneho zaškolenia a rozvíjania ich kompetencií a zručností.</t>
  </si>
  <si>
    <t>https://katalogsp.gov.sk/wp-content/uploads/2021/12/Formickaren.sk-s.r.o.-banner1-E-katalog-RSP.jpg</t>
  </si>
  <si>
    <t>https://katalogsp.gov.sk/formickaren-sk-s-r-o/</t>
  </si>
  <si>
    <t>+421 904 056 070</t>
  </si>
  <si>
    <t>obchod@formickaren.sk</t>
  </si>
  <si>
    <t>Formičkáreň.sk s.r.o. rsp</t>
  </si>
  <si>
    <t>Pečte s radosťou a pečte odvážne. Pečte s láskou a pečte hravo. Ponúkame vám širokú paletu nápadov na originálne medovníky a sušienky. Smiešne, vážne, zamilované, či kreatívne. Vhodné pre detské oslavy, svadby, promócie, narodeniny, ale i na bežný deň deťom do školy a manželovi do práce. Dekorácie na torty a dezerty, ktoré za vás povedia to, čo ste schovali ako tajnú ingredienciu každého skvelého receptu.</t>
  </si>
  <si>
    <t>zápichy, formičky, podnosy, cukrárske pomôcky, cukrárske potreby, suroviny na pečenie, mrazom sušené ovocie, čokoláda, poleva, poťahovacia hmota</t>
  </si>
  <si>
    <r>
      <rPr>
        <rFont val="Arial"/>
        <b val="0"/>
        <color theme="1"/>
      </rPr>
      <t xml:space="preserve">Ponuka tovarov a služieb </t>
    </r>
    <r>
      <rPr>
        <rFont val="Arial"/>
        <b/>
        <color theme="1"/>
      </rPr>
      <t>- kľúčové slová 1</t>
    </r>
  </si>
  <si>
    <t>menu, kuchyňa, ponuka jedla, pranie, upratovanie, umývanie, práca v záhrade, pomoc seniorom, senior, doprovod, výroba kuchyňe, nábytok, olepovanie, maľovanie
spracovanie
 sublimačná tlač
 gravirovanie</t>
  </si>
  <si>
    <t>upratovanie a starostlivosť o zeleň</t>
  </si>
  <si>
    <t>6/2023 požaidali mailo o zmenu adresy</t>
  </si>
  <si>
    <t>6/2023 p. KOvaľova z RC SE KE cez MŠ požiadala o odstránenie - RSP zmenilo majitela...</t>
  </si>
  <si>
    <t>CIBEKA</t>
  </si>
  <si>
    <t>aktualizovane podla mailu + logo</t>
  </si>
  <si>
    <t>upravené kategórie + foto - mail z RSP</t>
  </si>
  <si>
    <t>Rok</t>
  </si>
  <si>
    <t>Počet dotazníkov</t>
  </si>
  <si>
    <t>Aktuálne</t>
  </si>
</sst>
</file>

<file path=xl/styles.xml><?xml version="1.0" encoding="utf-8"?>
<styleSheet xmlns="http://schemas.openxmlformats.org/spreadsheetml/2006/main" xmlns:x14ac="http://schemas.microsoft.com/office/spreadsheetml/2009/9/ac" xmlns:mc="http://schemas.openxmlformats.org/markup-compatibility/2006">
  <fonts count="92">
    <font>
      <sz val="10.0"/>
      <color rgb="FF000000"/>
      <name val="Arial"/>
      <scheme val="minor"/>
    </font>
    <font>
      <color rgb="FF000000"/>
      <name val="Roboto"/>
    </font>
    <font>
      <b/>
      <sz val="12.0"/>
      <color theme="1"/>
      <name val="Arial"/>
    </font>
    <font>
      <b/>
      <color theme="1"/>
      <name val="Arial"/>
    </font>
    <font>
      <b/>
      <color rgb="FFFFFFFF"/>
      <name val="Arial"/>
    </font>
    <font>
      <color theme="1"/>
      <name val="Arial"/>
    </font>
    <font>
      <b/>
      <sz val="9.0"/>
      <color rgb="FFFFFFFF"/>
      <name val="Arial"/>
    </font>
    <font>
      <sz val="9.0"/>
      <color rgb="FFFFFFFF"/>
      <name val="Arial"/>
    </font>
    <font>
      <b/>
      <color rgb="FF000000"/>
      <name val="Arial"/>
    </font>
    <font>
      <u/>
      <sz val="11.0"/>
      <color rgb="FF0000FF"/>
      <name val="Calibri"/>
    </font>
    <font>
      <u/>
      <sz val="11.0"/>
      <color rgb="FF0000FF"/>
      <name val="Calibri"/>
    </font>
    <font>
      <color rgb="FF000000"/>
      <name val="Arial"/>
    </font>
    <font>
      <u/>
      <sz val="11.0"/>
      <color rgb="FF1155CC"/>
      <name val="Calibri"/>
    </font>
    <font>
      <u/>
      <sz val="11.0"/>
      <color rgb="FF0000FF"/>
      <name val="Calibri"/>
    </font>
    <font>
      <sz val="11.0"/>
      <color theme="1"/>
      <name val="Calibri"/>
    </font>
    <font>
      <u/>
      <sz val="11.0"/>
      <color rgb="FF0000FF"/>
      <name val="Calibri"/>
    </font>
    <font>
      <sz val="11.0"/>
      <name val="Calibri"/>
    </font>
    <font>
      <u/>
      <sz val="11.0"/>
      <color rgb="FF0000FF"/>
      <name val="Calibri"/>
    </font>
    <font>
      <u/>
      <sz val="11.0"/>
      <color rgb="FF0563C1"/>
      <name val="Calibri"/>
    </font>
    <font>
      <b/>
      <sz val="12.0"/>
      <color theme="1"/>
      <name val="&quot;Times New Roman&quot;"/>
    </font>
    <font>
      <u/>
      <sz val="11.0"/>
      <color rgb="FF1155CC"/>
      <name val="Calibri"/>
    </font>
    <font>
      <b/>
      <sz val="11.0"/>
      <color theme="1"/>
      <name val="Calibri"/>
    </font>
    <font>
      <u/>
      <color rgb="FF0000FF"/>
      <name val="Arial"/>
    </font>
    <font>
      <u/>
      <color rgb="FF0000FF"/>
      <name val="Roboto"/>
    </font>
    <font>
      <b/>
      <u/>
      <color rgb="FF0000FF"/>
      <name val="Montserrat"/>
    </font>
    <font>
      <color theme="1"/>
      <name val="Arial"/>
      <scheme val="minor"/>
    </font>
    <font>
      <color rgb="FF404040"/>
      <name val="Arial"/>
    </font>
    <font>
      <u/>
      <sz val="11.0"/>
      <color rgb="FF0563C1"/>
      <name val="Calibri"/>
    </font>
    <font>
      <sz val="14.0"/>
      <color rgb="FF444444"/>
      <name val="Roboto"/>
    </font>
    <font>
      <u/>
      <sz val="11.0"/>
      <color rgb="FF0000FF"/>
      <name val="Calibri"/>
    </font>
    <font>
      <u/>
      <sz val="11.0"/>
      <color rgb="FF1155CC"/>
      <name val="Calibri"/>
    </font>
    <font>
      <color theme="1"/>
      <name val="Helvetica"/>
    </font>
    <font>
      <u/>
      <sz val="11.0"/>
      <color rgb="FF0000FF"/>
      <name val="Calibri"/>
    </font>
    <font>
      <u/>
      <sz val="11.0"/>
      <color rgb="FF1155CC"/>
      <name val="Calibri"/>
    </font>
    <font>
      <u/>
      <color rgb="FF1155CC"/>
      <name val="Arial"/>
    </font>
    <font>
      <u/>
      <color rgb="FF1155CC"/>
      <name val="Arial"/>
    </font>
    <font>
      <u/>
      <color rgb="FF1155CC"/>
      <name val="Arial"/>
    </font>
    <font>
      <name val="Roboto"/>
    </font>
    <font>
      <u/>
      <color rgb="FF0000FF"/>
      <name val="Roboto"/>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FF"/>
      <name val="Arial"/>
    </font>
    <font>
      <u/>
      <color rgb="FF000000"/>
      <name val="Roboto"/>
    </font>
    <font>
      <u/>
      <color rgb="FF0000FF"/>
      <name val="Arial"/>
    </font>
    <font>
      <name val="Arial"/>
    </font>
    <font>
      <color theme="1"/>
      <name val="Roboto"/>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00"/>
      <name val="Arial"/>
    </font>
    <font>
      <u/>
      <sz val="11.0"/>
      <color rgb="FF0563C1"/>
      <name val="Calibri"/>
    </font>
    <font>
      <u/>
      <color rgb="FF0000FF"/>
      <name val="Arial"/>
    </font>
    <font>
      <u/>
      <color rgb="FF0000FF"/>
      <name val="Arial"/>
    </font>
    <font>
      <sz val="11.0"/>
      <color rgb="FF000000"/>
      <name val="Calibri"/>
    </font>
    <font>
      <u/>
      <sz val="11.0"/>
      <color rgb="FF000000"/>
      <name val="Calibri"/>
    </font>
    <font>
      <u/>
      <sz val="11.0"/>
      <color rgb="FF000000"/>
      <name val="Calibri"/>
    </font>
    <font>
      <u/>
      <sz val="11.0"/>
      <color rgb="FF0000FF"/>
      <name val="Calibri"/>
    </font>
    <font>
      <u/>
      <sz val="11.0"/>
      <color rgb="FF0000FF"/>
      <name val="Calibri"/>
    </font>
    <font>
      <b/>
      <sz val="10.0"/>
      <color rgb="FFFFFFFF"/>
      <name val="Arial"/>
      <scheme val="minor"/>
    </font>
    <font>
      <u/>
      <color rgb="FF0000FF"/>
    </font>
    <font>
      <color rgb="FF0000FF"/>
    </font>
    <font>
      <color rgb="FFCC0000"/>
      <name val="Arial"/>
      <scheme val="minor"/>
    </font>
    <font/>
    <font>
      <sz val="11.0"/>
      <color rgb="FF008000"/>
      <name val="Inconsolata"/>
    </font>
    <font>
      <u/>
      <color rgb="FF0000FF"/>
    </font>
    <font>
      <b/>
      <sz val="11.0"/>
      <color rgb="FF000000"/>
      <name val="Calibri"/>
    </font>
    <font>
      <u/>
      <sz val="11.0"/>
      <color rgb="FF0000FF"/>
      <name val="Calibri"/>
    </font>
    <font>
      <u/>
      <sz val="11.0"/>
      <color rgb="FF0000FF"/>
      <name val="Calibri"/>
    </font>
    <font>
      <u/>
      <sz val="11.0"/>
      <color rgb="FF1155CC"/>
      <name val="Calibri"/>
    </font>
    <font>
      <u/>
      <sz val="11.0"/>
      <color rgb="FF1155CC"/>
      <name val="Calibri"/>
    </font>
    <font>
      <u/>
      <sz val="11.0"/>
      <color rgb="FF0000FF"/>
      <name val="Calibri"/>
    </font>
    <font>
      <u/>
      <sz val="11.0"/>
      <color rgb="FF0000FF"/>
      <name val="Calibri"/>
    </font>
    <font>
      <u/>
      <sz val="11.0"/>
      <color rgb="FF0000FF"/>
      <name val="Calibri"/>
    </font>
    <font>
      <u/>
      <sz val="11.0"/>
      <color rgb="FF0000FF"/>
      <name val="Calibri"/>
    </font>
    <font>
      <u/>
      <sz val="11.0"/>
      <color rgb="FF1155CC"/>
      <name val="Calibri"/>
    </font>
    <font>
      <u/>
      <sz val="11.0"/>
      <color rgb="FF1155CC"/>
      <name val="Calibri"/>
    </font>
    <font>
      <u/>
      <sz val="11.0"/>
      <color rgb="FF1155CC"/>
      <name val="Calibri"/>
    </font>
    <font>
      <u/>
      <sz val="11.0"/>
      <color rgb="FF1155CC"/>
      <name val="Calibri"/>
    </font>
    <font>
      <u/>
      <color rgb="FF0000FF"/>
      <name val="Arial"/>
    </font>
    <font>
      <u/>
      <color rgb="FF0000FF"/>
      <name val="Arial"/>
    </font>
    <font>
      <sz val="11.0"/>
      <color rgb="FF0000FF"/>
      <name val="Calibri"/>
    </font>
    <font>
      <u/>
      <sz val="11.0"/>
      <color rgb="FF1155CC"/>
      <name val="Calibri"/>
    </font>
    <font>
      <u/>
      <sz val="11.0"/>
      <color rgb="FF1155CC"/>
      <name val="Calibri"/>
    </font>
    <font>
      <u/>
      <color rgb="FF1155CC"/>
      <name val="Arial"/>
    </font>
    <font>
      <u/>
      <color rgb="FF1155CC"/>
      <name val="Arial"/>
    </font>
  </fonts>
  <fills count="34">
    <fill>
      <patternFill patternType="none"/>
    </fill>
    <fill>
      <patternFill patternType="lightGray"/>
    </fill>
    <fill>
      <patternFill patternType="solid">
        <fgColor rgb="FFFFFFFF"/>
        <bgColor rgb="FFFFFFFF"/>
      </patternFill>
    </fill>
    <fill>
      <patternFill patternType="solid">
        <fgColor rgb="FF6D9EEB"/>
        <bgColor rgb="FF6D9EEB"/>
      </patternFill>
    </fill>
    <fill>
      <patternFill patternType="solid">
        <fgColor rgb="FFFF9900"/>
        <bgColor rgb="FFFF9900"/>
      </patternFill>
    </fill>
    <fill>
      <patternFill patternType="solid">
        <fgColor rgb="FFCC0000"/>
        <bgColor rgb="FFCC0000"/>
      </patternFill>
    </fill>
    <fill>
      <patternFill patternType="solid">
        <fgColor rgb="FFFFD966"/>
        <bgColor rgb="FFFFD966"/>
      </patternFill>
    </fill>
    <fill>
      <patternFill patternType="solid">
        <fgColor rgb="FFFFE598"/>
        <bgColor rgb="FFFFE598"/>
      </patternFill>
    </fill>
    <fill>
      <patternFill patternType="solid">
        <fgColor rgb="FFA8D08D"/>
        <bgColor rgb="FFA8D08D"/>
      </patternFill>
    </fill>
    <fill>
      <patternFill patternType="solid">
        <fgColor rgb="FFFF99FF"/>
        <bgColor rgb="FFFF99FF"/>
      </patternFill>
    </fill>
    <fill>
      <patternFill patternType="solid">
        <fgColor rgb="FFFFCC00"/>
        <bgColor rgb="FFFFCC00"/>
      </patternFill>
    </fill>
    <fill>
      <patternFill patternType="solid">
        <fgColor rgb="FFE2EFDA"/>
        <bgColor rgb="FFE2EFDA"/>
      </patternFill>
    </fill>
    <fill>
      <patternFill patternType="solid">
        <fgColor rgb="FF990000"/>
        <bgColor rgb="FF990000"/>
      </patternFill>
    </fill>
    <fill>
      <patternFill patternType="solid">
        <fgColor rgb="FF3C78D8"/>
        <bgColor rgb="FF3C78D8"/>
      </patternFill>
    </fill>
    <fill>
      <patternFill patternType="solid">
        <fgColor rgb="FFE69138"/>
        <bgColor rgb="FFE69138"/>
      </patternFill>
    </fill>
    <fill>
      <patternFill patternType="solid">
        <fgColor rgb="FFF1C232"/>
        <bgColor rgb="FFF1C232"/>
      </patternFill>
    </fill>
    <fill>
      <patternFill patternType="solid">
        <fgColor rgb="FF6AA84F"/>
        <bgColor rgb="FF6AA84F"/>
      </patternFill>
    </fill>
    <fill>
      <patternFill patternType="solid">
        <fgColor rgb="FFC27BA0"/>
        <bgColor rgb="FFC27BA0"/>
      </patternFill>
    </fill>
    <fill>
      <patternFill patternType="solid">
        <fgColor theme="0"/>
        <bgColor theme="0"/>
      </patternFill>
    </fill>
    <fill>
      <patternFill patternType="solid">
        <fgColor rgb="FFEA9999"/>
        <bgColor rgb="FFEA9999"/>
      </patternFill>
    </fill>
    <fill>
      <patternFill patternType="solid">
        <fgColor rgb="FFF6B26B"/>
        <bgColor rgb="FFF6B26B"/>
      </patternFill>
    </fill>
    <fill>
      <patternFill patternType="solid">
        <fgColor rgb="FFFFC000"/>
        <bgColor rgb="FFFFC000"/>
      </patternFill>
    </fill>
    <fill>
      <patternFill patternType="solid">
        <fgColor rgb="FFEFE5D4"/>
        <bgColor rgb="FFEFE5D4"/>
      </patternFill>
    </fill>
    <fill>
      <patternFill patternType="solid">
        <fgColor rgb="FFE2EDFE"/>
        <bgColor rgb="FFE2EDFE"/>
      </patternFill>
    </fill>
    <fill>
      <patternFill patternType="solid">
        <fgColor rgb="FFB7E1CD"/>
        <bgColor rgb="FFB7E1CD"/>
      </patternFill>
    </fill>
    <fill>
      <patternFill patternType="solid">
        <fgColor rgb="FFCFE2F3"/>
        <bgColor rgb="FFCFE2F3"/>
      </patternFill>
    </fill>
    <fill>
      <patternFill patternType="solid">
        <fgColor rgb="FFEAD1DC"/>
        <bgColor rgb="FFEAD1DC"/>
      </patternFill>
    </fill>
    <fill>
      <patternFill patternType="solid">
        <fgColor rgb="FFD9EAD3"/>
        <bgColor rgb="FFD9EAD3"/>
      </patternFill>
    </fill>
    <fill>
      <patternFill patternType="solid">
        <fgColor rgb="FF46BDC6"/>
        <bgColor rgb="FF46BDC6"/>
      </patternFill>
    </fill>
    <fill>
      <patternFill patternType="solid">
        <fgColor rgb="FF3047A3"/>
        <bgColor rgb="FF3047A3"/>
      </patternFill>
    </fill>
    <fill>
      <patternFill patternType="solid">
        <fgColor rgb="FFF4CCCC"/>
        <bgColor rgb="FFF4CCCC"/>
      </patternFill>
    </fill>
    <fill>
      <patternFill patternType="solid">
        <fgColor rgb="FFFFFFAB"/>
        <bgColor rgb="FFFFFFAB"/>
      </patternFill>
    </fill>
    <fill>
      <patternFill patternType="solid">
        <fgColor rgb="FFFFE599"/>
        <bgColor rgb="FFFFE599"/>
      </patternFill>
    </fill>
    <fill>
      <patternFill patternType="solid">
        <fgColor rgb="FFB4A7D6"/>
        <bgColor rgb="FFB4A7D6"/>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45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1" fillId="3" fontId="2" numFmtId="0" xfId="0" applyAlignment="1" applyBorder="1" applyFill="1" applyFont="1">
      <alignment horizontal="center" shrinkToFit="0" vertical="bottom" wrapText="0"/>
    </xf>
    <xf borderId="1" fillId="3" fontId="3" numFmtId="0" xfId="0" applyAlignment="1" applyBorder="1" applyFont="1">
      <alignment horizontal="center" shrinkToFit="0" vertical="bottom" wrapText="0"/>
    </xf>
    <xf borderId="1" fillId="4" fontId="3" numFmtId="0" xfId="0" applyAlignment="1" applyBorder="1" applyFill="1" applyFont="1">
      <alignment horizontal="center" shrinkToFit="0" vertical="bottom" wrapText="0"/>
    </xf>
    <xf borderId="1" fillId="5" fontId="4" numFmtId="0" xfId="0" applyAlignment="1" applyBorder="1" applyFill="1" applyFont="1">
      <alignment horizontal="center" shrinkToFit="0" vertical="bottom" wrapText="0"/>
    </xf>
    <xf borderId="1" fillId="6" fontId="3" numFmtId="0" xfId="0" applyAlignment="1" applyBorder="1" applyFill="1" applyFont="1">
      <alignment horizontal="center" shrinkToFit="0" vertical="bottom" wrapText="0"/>
    </xf>
    <xf borderId="1" fillId="5" fontId="4" numFmtId="0" xfId="0" applyAlignment="1" applyBorder="1" applyFont="1">
      <alignment horizontal="center" readingOrder="0" shrinkToFit="0" vertical="bottom" wrapText="0"/>
    </xf>
    <xf borderId="1" fillId="3" fontId="3" numFmtId="0" xfId="0" applyAlignment="1" applyBorder="1" applyFont="1">
      <alignment horizontal="center" shrinkToFit="0" vertical="bottom" wrapText="0"/>
    </xf>
    <xf borderId="1" fillId="3" fontId="3" numFmtId="49" xfId="0" applyAlignment="1" applyBorder="1" applyFont="1" applyNumberFormat="1">
      <alignment horizontal="center" readingOrder="0" shrinkToFit="0" vertical="bottom" wrapText="0"/>
    </xf>
    <xf borderId="1" fillId="7" fontId="3" numFmtId="0" xfId="0" applyAlignment="1" applyBorder="1" applyFill="1" applyFont="1">
      <alignment horizontal="center" shrinkToFit="0" vertical="bottom" wrapText="0"/>
    </xf>
    <xf borderId="1" fillId="7" fontId="3" numFmtId="0" xfId="0" applyAlignment="1" applyBorder="1" applyFont="1">
      <alignment horizontal="center" readingOrder="0" shrinkToFit="0" vertical="bottom" wrapText="0"/>
    </xf>
    <xf borderId="1" fillId="8" fontId="3" numFmtId="0" xfId="0" applyAlignment="1" applyBorder="1" applyFill="1" applyFont="1">
      <alignment horizontal="center" shrinkToFit="0" vertical="bottom" wrapText="0"/>
    </xf>
    <xf borderId="1" fillId="8" fontId="3" numFmtId="0" xfId="0" applyAlignment="1" applyBorder="1" applyFont="1">
      <alignment horizontal="center" shrinkToFit="0" vertical="bottom" wrapText="0"/>
    </xf>
    <xf borderId="1" fillId="9" fontId="3" numFmtId="0" xfId="0" applyAlignment="1" applyBorder="1" applyFill="1" applyFont="1">
      <alignment horizontal="center" shrinkToFit="0" vertical="bottom" wrapText="0"/>
    </xf>
    <xf borderId="1" fillId="9" fontId="3" numFmtId="0" xfId="0" applyAlignment="1" applyBorder="1" applyFont="1">
      <alignment horizontal="center" shrinkToFit="0" vertical="bottom" wrapText="0"/>
    </xf>
    <xf borderId="1" fillId="10" fontId="3" numFmtId="0" xfId="0" applyAlignment="1" applyBorder="1" applyFill="1" applyFont="1">
      <alignment horizontal="center" shrinkToFit="0" vertical="bottom" wrapText="0"/>
    </xf>
    <xf borderId="1" fillId="10" fontId="3" numFmtId="0" xfId="0" applyAlignment="1" applyBorder="1" applyFont="1">
      <alignment horizontal="center" shrinkToFit="0" vertical="bottom" wrapText="0"/>
    </xf>
    <xf borderId="1" fillId="11" fontId="5" numFmtId="0" xfId="0" applyAlignment="1" applyBorder="1" applyFill="1" applyFont="1">
      <alignment shrinkToFit="0" vertical="bottom" wrapText="0"/>
    </xf>
    <xf borderId="2" fillId="5" fontId="4" numFmtId="0" xfId="0" applyAlignment="1" applyBorder="1" applyFont="1">
      <alignment horizontal="center" shrinkToFit="0" vertical="bottom" wrapText="0"/>
    </xf>
    <xf borderId="0" fillId="0" fontId="4" numFmtId="0" xfId="0" applyAlignment="1" applyFont="1">
      <alignment horizontal="center" shrinkToFit="0" vertical="bottom" wrapText="0"/>
    </xf>
    <xf borderId="1" fillId="12" fontId="5" numFmtId="0" xfId="0" applyAlignment="1" applyBorder="1" applyFill="1" applyFont="1">
      <alignment shrinkToFit="0" vertical="bottom" wrapText="0"/>
    </xf>
    <xf borderId="1" fillId="13" fontId="6" numFmtId="0" xfId="0" applyAlignment="1" applyBorder="1" applyFill="1" applyFont="1">
      <alignment shrinkToFit="0" vertical="bottom" wrapText="0"/>
    </xf>
    <xf borderId="1" fillId="14" fontId="5" numFmtId="0" xfId="0" applyAlignment="1" applyBorder="1" applyFill="1" applyFont="1">
      <alignment shrinkToFit="0" vertical="bottom" wrapText="0"/>
    </xf>
    <xf borderId="1" fillId="12" fontId="7" numFmtId="0" xfId="0" applyAlignment="1" applyBorder="1" applyFont="1">
      <alignment shrinkToFit="0" vertical="bottom" wrapText="0"/>
    </xf>
    <xf borderId="1" fillId="14" fontId="7" numFmtId="0" xfId="0" applyAlignment="1" applyBorder="1" applyFont="1">
      <alignment shrinkToFit="0" vertical="bottom" wrapText="0"/>
    </xf>
    <xf borderId="1" fillId="15" fontId="5" numFmtId="0" xfId="0" applyAlignment="1" applyBorder="1" applyFill="1" applyFont="1">
      <alignment shrinkToFit="0" vertical="bottom" wrapText="0"/>
    </xf>
    <xf borderId="1" fillId="13" fontId="7" numFmtId="0" xfId="0" applyAlignment="1" applyBorder="1" applyFont="1">
      <alignment shrinkToFit="0" vertical="bottom" wrapText="0"/>
    </xf>
    <xf borderId="1" fillId="13" fontId="7" numFmtId="49" xfId="0" applyAlignment="1" applyBorder="1" applyFont="1" applyNumberFormat="1">
      <alignment horizontal="center" shrinkToFit="0" vertical="bottom" wrapText="0"/>
    </xf>
    <xf borderId="1" fillId="15" fontId="5" numFmtId="0" xfId="0" applyAlignment="1" applyBorder="1" applyFont="1">
      <alignment shrinkToFit="0" vertical="bottom" wrapText="0"/>
    </xf>
    <xf borderId="1" fillId="16" fontId="5" numFmtId="0" xfId="0" applyAlignment="1" applyBorder="1" applyFill="1" applyFont="1">
      <alignment shrinkToFit="0" vertical="bottom" wrapText="0"/>
    </xf>
    <xf borderId="1" fillId="16" fontId="5" numFmtId="0" xfId="0" applyAlignment="1" applyBorder="1" applyFont="1">
      <alignment shrinkToFit="0" vertical="bottom" wrapText="0"/>
    </xf>
    <xf borderId="1" fillId="17" fontId="5" numFmtId="0" xfId="0" applyAlignment="1" applyBorder="1" applyFill="1" applyFont="1">
      <alignment shrinkToFit="0" vertical="bottom" wrapText="0"/>
    </xf>
    <xf borderId="1" fillId="17" fontId="5" numFmtId="0" xfId="0" applyAlignment="1" applyBorder="1" applyFont="1">
      <alignment shrinkToFit="0" vertical="bottom" wrapText="0"/>
    </xf>
    <xf borderId="1" fillId="2" fontId="5" numFmtId="0" xfId="0" applyAlignment="1" applyBorder="1" applyFont="1">
      <alignment shrinkToFit="0" vertical="bottom" wrapText="0"/>
    </xf>
    <xf borderId="1" fillId="18" fontId="8" numFmtId="0" xfId="0" applyAlignment="1" applyBorder="1" applyFill="1" applyFont="1">
      <alignment horizontal="center" readingOrder="0" shrinkToFit="0" wrapText="0"/>
    </xf>
    <xf borderId="0" fillId="12" fontId="5" numFmtId="0" xfId="0" applyAlignment="1" applyFont="1">
      <alignment shrinkToFit="0" vertical="bottom" wrapText="0"/>
    </xf>
    <xf borderId="0" fillId="0" fontId="5" numFmtId="0" xfId="0" applyAlignment="1" applyFont="1">
      <alignment shrinkToFit="0" vertical="bottom" wrapText="0"/>
    </xf>
    <xf borderId="1" fillId="19" fontId="5" numFmtId="0" xfId="0" applyAlignment="1" applyBorder="1" applyFill="1" applyFont="1">
      <alignment shrinkToFit="0" vertical="bottom" wrapText="0"/>
    </xf>
    <xf borderId="1" fillId="0" fontId="2" numFmtId="0" xfId="0" applyAlignment="1" applyBorder="1" applyFont="1">
      <alignment horizontal="center" shrinkToFit="0" vertical="bottom" wrapText="0"/>
    </xf>
    <xf borderId="1" fillId="2" fontId="3" numFmtId="0" xfId="0" applyAlignment="1" applyBorder="1" applyFont="1">
      <alignment shrinkToFit="0" vertical="bottom" wrapText="0"/>
    </xf>
    <xf borderId="1" fillId="20" fontId="5" numFmtId="0" xfId="0" applyAlignment="1" applyBorder="1" applyFill="1" applyFont="1">
      <alignment shrinkToFit="0" vertical="bottom" wrapText="0"/>
    </xf>
    <xf borderId="1" fillId="20" fontId="5" numFmtId="0" xfId="0" applyAlignment="1" applyBorder="1" applyFont="1">
      <alignment shrinkToFit="0" vertical="bottom" wrapText="0"/>
    </xf>
    <xf borderId="1" fillId="19" fontId="5" numFmtId="0" xfId="0" applyAlignment="1" applyBorder="1" applyFont="1">
      <alignment shrinkToFit="0" vertical="bottom" wrapText="0"/>
    </xf>
    <xf borderId="1" fillId="19" fontId="5" numFmtId="2" xfId="0" applyAlignment="1" applyBorder="1" applyFont="1" applyNumberFormat="1">
      <alignment shrinkToFit="0" vertical="bottom" wrapText="0"/>
    </xf>
    <xf borderId="1" fillId="19" fontId="5" numFmtId="2" xfId="0" applyAlignment="1" applyBorder="1" applyFont="1" applyNumberFormat="1">
      <alignment horizontal="right" shrinkToFit="0" vertical="bottom" wrapText="0"/>
    </xf>
    <xf borderId="1" fillId="18" fontId="5" numFmtId="0" xfId="0" applyAlignment="1" applyBorder="1" applyFont="1">
      <alignment shrinkToFit="0" vertical="bottom" wrapText="0"/>
    </xf>
    <xf borderId="1" fillId="2" fontId="5" numFmtId="0" xfId="0" applyAlignment="1" applyBorder="1" applyFont="1">
      <alignment shrinkToFit="0" vertical="bottom" wrapText="0"/>
    </xf>
    <xf borderId="1" fillId="2" fontId="9" numFmtId="0" xfId="0" applyAlignment="1" applyBorder="1" applyFont="1">
      <alignment readingOrder="0" shrinkToFit="0" vertical="bottom" wrapText="0"/>
    </xf>
    <xf borderId="1" fillId="2" fontId="10" numFmtId="49" xfId="0" applyAlignment="1" applyBorder="1" applyFont="1" applyNumberFormat="1">
      <alignment readingOrder="0" shrinkToFit="0" vertical="bottom" wrapText="0"/>
    </xf>
    <xf borderId="1" fillId="0" fontId="5" numFmtId="49" xfId="0" applyAlignment="1" applyBorder="1" applyFont="1" applyNumberFormat="1">
      <alignment horizontal="center" shrinkToFit="0" vertical="bottom" wrapText="0"/>
    </xf>
    <xf borderId="1" fillId="0" fontId="5" numFmtId="9" xfId="0" applyAlignment="1" applyBorder="1" applyFont="1" applyNumberFormat="1">
      <alignment shrinkToFit="0" vertical="bottom" wrapText="0"/>
    </xf>
    <xf borderId="1" fillId="0" fontId="5" numFmtId="49" xfId="0" applyAlignment="1" applyBorder="1" applyFont="1" applyNumberFormat="1">
      <alignment shrinkToFit="0" vertical="bottom" wrapText="0"/>
    </xf>
    <xf borderId="1" fillId="18" fontId="5" numFmtId="49" xfId="0" applyAlignment="1" applyBorder="1" applyFont="1" applyNumberFormat="1">
      <alignment shrinkToFit="0" vertical="bottom" wrapText="0"/>
    </xf>
    <xf borderId="1" fillId="0" fontId="5" numFmtId="0" xfId="0" applyAlignment="1" applyBorder="1" applyFont="1">
      <alignment shrinkToFit="0" vertical="bottom" wrapText="0"/>
    </xf>
    <xf borderId="1" fillId="0" fontId="5" numFmtId="0" xfId="0" applyAlignment="1" applyBorder="1" applyFont="1">
      <alignment shrinkToFit="0" vertical="bottom" wrapText="0"/>
    </xf>
    <xf borderId="1" fillId="18" fontId="5" numFmtId="0" xfId="0" applyAlignment="1" applyBorder="1" applyFont="1">
      <alignment shrinkToFit="0" vertical="bottom" wrapText="0"/>
    </xf>
    <xf borderId="3" fillId="0" fontId="11" numFmtId="0" xfId="0" applyAlignment="1" applyBorder="1" applyFont="1">
      <alignment horizontal="center" readingOrder="0" shrinkToFit="0" wrapText="0"/>
    </xf>
    <xf borderId="0" fillId="19" fontId="5" numFmtId="0" xfId="0" applyAlignment="1" applyFont="1">
      <alignment shrinkToFit="0" vertical="bottom" wrapText="0"/>
    </xf>
    <xf borderId="1" fillId="0" fontId="2" numFmtId="0" xfId="0" applyAlignment="1" applyBorder="1" applyFont="1">
      <alignment horizontal="center" shrinkToFit="0" vertical="bottom" wrapText="0"/>
    </xf>
    <xf borderId="1" fillId="0" fontId="12" numFmtId="0" xfId="0" applyAlignment="1" applyBorder="1" applyFont="1">
      <alignment readingOrder="0" shrinkToFit="0" vertical="bottom" wrapText="0"/>
    </xf>
    <xf borderId="1" fillId="0" fontId="13" numFmtId="49" xfId="0" applyAlignment="1" applyBorder="1" applyFont="1" applyNumberFormat="1">
      <alignment readingOrder="0" shrinkToFit="0" vertical="bottom" wrapText="0"/>
    </xf>
    <xf borderId="1" fillId="11" fontId="14" numFmtId="0" xfId="0" applyAlignment="1" applyBorder="1" applyFont="1">
      <alignment horizontal="center" shrinkToFit="0" vertical="bottom" wrapText="0"/>
    </xf>
    <xf borderId="1" fillId="0" fontId="15" numFmtId="0" xfId="0" applyAlignment="1" applyBorder="1" applyFont="1">
      <alignment readingOrder="0" shrinkToFit="0" vertical="bottom" wrapText="0"/>
    </xf>
    <xf borderId="3" fillId="0" fontId="11" numFmtId="0" xfId="0" applyAlignment="1" applyBorder="1" applyFont="1">
      <alignment horizontal="center" shrinkToFit="0" wrapText="0"/>
    </xf>
    <xf borderId="1" fillId="18" fontId="5" numFmtId="0" xfId="0" applyAlignment="1" applyBorder="1" applyFont="1">
      <alignment horizontal="right" shrinkToFit="0" vertical="bottom" wrapText="0"/>
    </xf>
    <xf quotePrefix="1" borderId="1" fillId="0" fontId="5" numFmtId="49" xfId="0" applyAlignment="1" applyBorder="1" applyFont="1" applyNumberFormat="1">
      <alignment horizontal="center" shrinkToFit="0" vertical="bottom" wrapText="0"/>
    </xf>
    <xf borderId="1" fillId="8" fontId="5" numFmtId="49" xfId="0" applyAlignment="1" applyBorder="1" applyFont="1" applyNumberFormat="1">
      <alignment horizontal="center" shrinkToFit="0" vertical="bottom" wrapText="0"/>
    </xf>
    <xf borderId="1" fillId="0" fontId="16" numFmtId="0" xfId="0" applyAlignment="1" applyBorder="1" applyFont="1">
      <alignment readingOrder="0" shrinkToFit="0" vertical="bottom" wrapText="0"/>
    </xf>
    <xf borderId="1" fillId="2" fontId="5" numFmtId="2" xfId="0" applyAlignment="1" applyBorder="1" applyFont="1" applyNumberFormat="1">
      <alignment shrinkToFit="0" vertical="bottom" wrapText="0"/>
    </xf>
    <xf borderId="1" fillId="0" fontId="17" numFmtId="2" xfId="0" applyAlignment="1" applyBorder="1" applyFont="1" applyNumberFormat="1">
      <alignment readingOrder="0" shrinkToFit="0" vertical="bottom" wrapText="0"/>
    </xf>
    <xf borderId="1" fillId="0" fontId="5" numFmtId="2" xfId="0" applyAlignment="1" applyBorder="1" applyFont="1" applyNumberFormat="1">
      <alignment shrinkToFit="0" vertical="bottom" wrapText="0"/>
    </xf>
    <xf borderId="1" fillId="18" fontId="5" numFmtId="2" xfId="0" applyAlignment="1" applyBorder="1" applyFont="1" applyNumberFormat="1">
      <alignment shrinkToFit="0" vertical="bottom" wrapText="0"/>
    </xf>
    <xf borderId="1" fillId="9" fontId="5" numFmtId="0" xfId="0" applyAlignment="1" applyBorder="1" applyFont="1">
      <alignment horizontal="center" shrinkToFit="0" vertical="bottom" wrapText="0"/>
    </xf>
    <xf borderId="1" fillId="21" fontId="5" numFmtId="0" xfId="0" applyAlignment="1" applyBorder="1" applyFill="1" applyFont="1">
      <alignment horizontal="center" shrinkToFit="0" vertical="bottom" wrapText="0"/>
    </xf>
    <xf borderId="1" fillId="0" fontId="3" numFmtId="0" xfId="0" applyAlignment="1" applyBorder="1" applyFont="1">
      <alignment shrinkToFit="0" vertical="bottom" wrapText="0"/>
    </xf>
    <xf borderId="1" fillId="0" fontId="18" numFmtId="0" xfId="0" applyAlignment="1" applyBorder="1" applyFont="1">
      <alignment shrinkToFit="0" vertical="bottom" wrapText="0"/>
    </xf>
    <xf borderId="1" fillId="11" fontId="5" numFmtId="0" xfId="0" applyAlignment="1" applyBorder="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20" fontId="5" numFmtId="0" xfId="0" applyAlignment="1" applyBorder="1" applyFont="1">
      <alignment readingOrder="0" shrinkToFit="0" vertical="bottom" wrapText="0"/>
    </xf>
    <xf borderId="1" fillId="19" fontId="5" numFmtId="0" xfId="0" applyAlignment="1" applyBorder="1" applyFont="1">
      <alignment readingOrder="0" shrinkToFit="0" vertical="bottom" wrapText="0"/>
    </xf>
    <xf borderId="1" fillId="18" fontId="5" numFmtId="0" xfId="0" applyAlignment="1" applyBorder="1" applyFont="1">
      <alignment readingOrder="0" shrinkToFit="0" vertical="bottom" wrapText="0"/>
    </xf>
    <xf borderId="1" fillId="2" fontId="5" numFmtId="0" xfId="0" applyAlignment="1" applyBorder="1" applyFont="1">
      <alignment readingOrder="0" shrinkToFit="0" vertical="bottom" wrapText="0"/>
    </xf>
    <xf quotePrefix="1" borderId="1" fillId="0" fontId="5" numFmtId="49" xfId="0" applyAlignment="1" applyBorder="1" applyFont="1" applyNumberFormat="1">
      <alignment horizontal="center" readingOrder="0" shrinkToFit="0" vertical="bottom" wrapText="0"/>
    </xf>
    <xf borderId="1" fillId="0" fontId="5" numFmtId="0" xfId="0" applyAlignment="1" applyBorder="1" applyFont="1">
      <alignment readingOrder="0" shrinkToFit="0" vertical="bottom" wrapText="0"/>
    </xf>
    <xf borderId="1" fillId="18" fontId="5" numFmtId="49" xfId="0" applyAlignment="1" applyBorder="1" applyFont="1" applyNumberFormat="1">
      <alignment readingOrder="0" shrinkToFit="0" vertical="bottom" wrapText="0"/>
    </xf>
    <xf borderId="1" fillId="8" fontId="5" numFmtId="49" xfId="0" applyAlignment="1" applyBorder="1" applyFont="1" applyNumberFormat="1">
      <alignment horizontal="center" readingOrder="0" shrinkToFit="0" vertical="bottom" wrapText="0"/>
    </xf>
    <xf borderId="1" fillId="0" fontId="14" numFmtId="0" xfId="0" applyAlignment="1" applyBorder="1" applyFont="1">
      <alignment horizontal="center" readingOrder="0" shrinkToFit="0" vertical="bottom" wrapText="0"/>
    </xf>
    <xf borderId="1" fillId="2" fontId="3" numFmtId="0" xfId="0" applyAlignment="1" applyBorder="1" applyFont="1">
      <alignment shrinkToFit="0" vertical="bottom" wrapText="0"/>
    </xf>
    <xf borderId="1" fillId="21" fontId="5" numFmtId="0" xfId="0" applyAlignment="1" applyBorder="1" applyFont="1">
      <alignment shrinkToFit="0" vertical="bottom" wrapText="0"/>
    </xf>
    <xf borderId="1" fillId="0" fontId="19" numFmtId="0" xfId="0" applyAlignment="1" applyBorder="1" applyFont="1">
      <alignment shrinkToFit="0" vertical="bottom" wrapText="0"/>
    </xf>
    <xf borderId="1" fillId="2" fontId="5" numFmtId="0" xfId="0" applyAlignment="1" applyBorder="1" applyFont="1">
      <alignment horizontal="right" shrinkToFit="0" vertical="bottom" wrapText="0"/>
    </xf>
    <xf borderId="1" fillId="0" fontId="20" numFmtId="2" xfId="0" applyAlignment="1" applyBorder="1" applyFont="1" applyNumberFormat="1">
      <alignment readingOrder="0" shrinkToFit="0" vertical="bottom" wrapText="0"/>
    </xf>
    <xf borderId="1" fillId="2" fontId="5" numFmtId="2" xfId="0" applyAlignment="1" applyBorder="1" applyFont="1" applyNumberFormat="1">
      <alignment readingOrder="0" shrinkToFit="0" vertical="bottom" wrapText="0"/>
    </xf>
    <xf borderId="1" fillId="18" fontId="5" numFmtId="2" xfId="0" applyAlignment="1" applyBorder="1" applyFont="1" applyNumberFormat="1">
      <alignment readingOrder="0" shrinkToFit="0" vertical="bottom" wrapText="0"/>
    </xf>
    <xf borderId="1" fillId="0" fontId="21" numFmtId="0" xfId="0" applyAlignment="1" applyBorder="1" applyFont="1">
      <alignment shrinkToFit="0" vertical="bottom" wrapText="0"/>
    </xf>
    <xf borderId="1" fillId="0" fontId="21" numFmtId="0" xfId="0" applyAlignment="1" applyBorder="1" applyFont="1">
      <alignment shrinkToFit="0" vertical="bottom" wrapText="0"/>
    </xf>
    <xf borderId="1" fillId="0" fontId="22" numFmtId="0" xfId="0" applyAlignment="1" applyBorder="1" applyFont="1">
      <alignment readingOrder="0" shrinkToFit="0" vertical="bottom" wrapText="0"/>
    </xf>
    <xf borderId="1" fillId="2" fontId="23" numFmtId="49" xfId="0" applyAlignment="1" applyBorder="1" applyFont="1" applyNumberFormat="1">
      <alignment readingOrder="0" shrinkToFit="0" vertical="bottom" wrapText="0"/>
    </xf>
    <xf borderId="1" fillId="0" fontId="21" numFmtId="0" xfId="0" applyAlignment="1" applyBorder="1" applyFont="1">
      <alignment readingOrder="0" shrinkToFit="0" vertical="bottom" wrapText="0"/>
    </xf>
    <xf borderId="0" fillId="0" fontId="24" numFmtId="0" xfId="0" applyAlignment="1" applyFont="1">
      <alignment readingOrder="0" shrinkToFit="0" wrapText="0"/>
    </xf>
    <xf borderId="1" fillId="9" fontId="5" numFmtId="0" xfId="0" applyAlignment="1" applyBorder="1" applyFont="1">
      <alignment horizontal="center" readingOrder="0" shrinkToFit="0" vertical="bottom" wrapText="0"/>
    </xf>
    <xf borderId="0" fillId="0" fontId="25" numFmtId="49" xfId="0" applyAlignment="1" applyFont="1" applyNumberFormat="1">
      <alignment readingOrder="0" shrinkToFit="0" wrapText="0"/>
    </xf>
    <xf borderId="0" fillId="2" fontId="26" numFmtId="49" xfId="0" applyAlignment="1" applyFont="1" applyNumberFormat="1">
      <alignment readingOrder="0" shrinkToFit="0" wrapText="0"/>
    </xf>
    <xf borderId="1" fillId="0" fontId="27" numFmtId="49" xfId="0" applyAlignment="1" applyBorder="1" applyFont="1" applyNumberFormat="1">
      <alignment readingOrder="0" shrinkToFit="0" vertical="bottom" wrapText="0"/>
    </xf>
    <xf borderId="1" fillId="0" fontId="5" numFmtId="49" xfId="0" applyAlignment="1" applyBorder="1" applyFont="1" applyNumberFormat="1">
      <alignment horizontal="center" readingOrder="0" shrinkToFit="0" vertical="bottom" wrapText="0"/>
    </xf>
    <xf borderId="1" fillId="18" fontId="14" numFmtId="2" xfId="0" applyAlignment="1" applyBorder="1" applyFont="1" applyNumberFormat="1">
      <alignment shrinkToFit="0" vertical="bottom" wrapText="0"/>
    </xf>
    <xf borderId="1" fillId="18" fontId="14" numFmtId="49" xfId="0" applyAlignment="1" applyBorder="1" applyFont="1" applyNumberFormat="1">
      <alignment shrinkToFit="0" vertical="bottom" wrapText="0"/>
    </xf>
    <xf borderId="1" fillId="0" fontId="14" numFmtId="49" xfId="0" applyAlignment="1" applyBorder="1" applyFont="1" applyNumberFormat="1">
      <alignment shrinkToFit="0" vertical="bottom" wrapText="0"/>
    </xf>
    <xf borderId="1" fillId="18" fontId="14" numFmtId="0" xfId="0" applyAlignment="1" applyBorder="1" applyFont="1">
      <alignment shrinkToFit="0" vertical="bottom" wrapText="0"/>
    </xf>
    <xf borderId="0" fillId="22" fontId="28" numFmtId="0" xfId="0" applyAlignment="1" applyFill="1" applyFont="1">
      <alignment readingOrder="0" shrinkToFit="0" wrapText="0"/>
    </xf>
    <xf borderId="1" fillId="23" fontId="5" numFmtId="0" xfId="0" applyAlignment="1" applyBorder="1" applyFill="1" applyFont="1">
      <alignment shrinkToFit="0" vertical="bottom" wrapText="0"/>
    </xf>
    <xf borderId="1" fillId="2" fontId="29" numFmtId="0" xfId="0" applyAlignment="1" applyBorder="1" applyFont="1">
      <alignment readingOrder="0" shrinkToFit="0" vertical="bottom" wrapText="0"/>
    </xf>
    <xf borderId="1" fillId="24" fontId="5" numFmtId="49" xfId="0" applyAlignment="1" applyBorder="1" applyFill="1" applyFont="1" applyNumberFormat="1">
      <alignment shrinkToFit="0" vertical="bottom" wrapText="0"/>
    </xf>
    <xf borderId="1" fillId="9" fontId="14" numFmtId="0" xfId="0" applyAlignment="1" applyBorder="1" applyFont="1">
      <alignment shrinkToFit="0" vertical="bottom" wrapText="0"/>
    </xf>
    <xf borderId="1" fillId="0" fontId="14" numFmtId="0" xfId="0" applyAlignment="1" applyBorder="1" applyFont="1">
      <alignment shrinkToFit="0" vertical="bottom" wrapText="0"/>
    </xf>
    <xf borderId="1" fillId="9" fontId="5" numFmtId="0" xfId="0" applyAlignment="1" applyBorder="1" applyFont="1">
      <alignment shrinkToFit="0" vertical="bottom" wrapText="0"/>
    </xf>
    <xf borderId="1" fillId="21" fontId="5" numFmtId="0" xfId="0" applyAlignment="1" applyBorder="1" applyFont="1">
      <alignment horizontal="center" shrinkToFit="0" vertical="bottom" wrapText="0"/>
    </xf>
    <xf borderId="1" fillId="24" fontId="14" numFmtId="49" xfId="0" applyAlignment="1" applyBorder="1" applyFont="1" applyNumberFormat="1">
      <alignment shrinkToFit="0" vertical="bottom" wrapText="0"/>
    </xf>
    <xf borderId="1" fillId="21" fontId="14" numFmtId="0" xfId="0" applyAlignment="1" applyBorder="1" applyFont="1">
      <alignment horizontal="center" shrinkToFit="0" vertical="bottom" wrapText="0"/>
    </xf>
    <xf borderId="0" fillId="25" fontId="25" numFmtId="0" xfId="0" applyAlignment="1" applyFill="1" applyFont="1">
      <alignment readingOrder="0"/>
    </xf>
    <xf borderId="1" fillId="0" fontId="14" numFmtId="49" xfId="0" applyAlignment="1" applyBorder="1" applyFont="1" applyNumberFormat="1">
      <alignment readingOrder="0" shrinkToFit="0" vertical="bottom" wrapText="0"/>
    </xf>
    <xf borderId="3" fillId="0" fontId="5" numFmtId="0" xfId="0" applyAlignment="1" applyBorder="1" applyFont="1">
      <alignment horizontal="center" shrinkToFit="0" wrapText="0"/>
    </xf>
    <xf borderId="3" fillId="0" fontId="5" numFmtId="0" xfId="0" applyAlignment="1" applyBorder="1" applyFont="1">
      <alignment horizontal="center" readingOrder="0" shrinkToFit="0" wrapText="0"/>
    </xf>
    <xf borderId="1" fillId="23" fontId="5" numFmtId="0" xfId="0" applyAlignment="1" applyBorder="1" applyFont="1">
      <alignment shrinkToFit="0" vertical="bottom" wrapText="0"/>
    </xf>
    <xf borderId="1" fillId="2" fontId="30" numFmtId="0" xfId="0" applyAlignment="1" applyBorder="1" applyFont="1">
      <alignment readingOrder="0" shrinkToFit="0" vertical="bottom" wrapText="0"/>
    </xf>
    <xf borderId="4" fillId="0" fontId="5" numFmtId="0" xfId="0" applyAlignment="1" applyBorder="1" applyFont="1">
      <alignment horizontal="center" shrinkToFit="0" wrapText="0"/>
    </xf>
    <xf borderId="1" fillId="0" fontId="11" numFmtId="0" xfId="0" applyAlignment="1" applyBorder="1" applyFont="1">
      <alignment horizontal="center" shrinkToFit="0" wrapText="0"/>
    </xf>
    <xf quotePrefix="1" borderId="1" fillId="2" fontId="5" numFmtId="49" xfId="0" applyAlignment="1" applyBorder="1" applyFont="1" applyNumberFormat="1">
      <alignment horizontal="center" shrinkToFit="0" vertical="bottom" wrapText="0"/>
    </xf>
    <xf borderId="1" fillId="0" fontId="11" numFmtId="0" xfId="0" applyAlignment="1" applyBorder="1" applyFont="1">
      <alignment horizontal="center" shrinkToFit="0" wrapText="0"/>
    </xf>
    <xf borderId="1" fillId="0" fontId="11" numFmtId="0" xfId="0" applyAlignment="1" applyBorder="1" applyFont="1">
      <alignment horizontal="center" readingOrder="0" shrinkToFit="0" wrapText="0"/>
    </xf>
    <xf borderId="1" fillId="18" fontId="31" numFmtId="0" xfId="0" applyAlignment="1" applyBorder="1" applyFont="1">
      <alignment shrinkToFit="0" vertical="bottom" wrapText="0"/>
    </xf>
    <xf borderId="1" fillId="2" fontId="32" numFmtId="49" xfId="0" applyAlignment="1" applyBorder="1" applyFont="1" applyNumberFormat="1">
      <alignment readingOrder="0" shrinkToFit="0" vertical="bottom" wrapText="0"/>
    </xf>
    <xf borderId="1" fillId="2" fontId="5" numFmtId="49" xfId="0" applyAlignment="1" applyBorder="1" applyFont="1" applyNumberFormat="1">
      <alignment horizontal="center" shrinkToFit="0" vertical="bottom" wrapText="0"/>
    </xf>
    <xf borderId="1" fillId="2" fontId="33" numFmtId="49" xfId="0" applyAlignment="1" applyBorder="1" applyFont="1" applyNumberFormat="1">
      <alignment readingOrder="0" shrinkToFit="0" vertical="bottom" wrapText="0"/>
    </xf>
    <xf borderId="0" fillId="0" fontId="19" numFmtId="0" xfId="0" applyAlignment="1" applyFont="1">
      <alignment readingOrder="0" shrinkToFit="0" wrapText="0"/>
    </xf>
    <xf borderId="1" fillId="18" fontId="14" numFmtId="0" xfId="0" applyAlignment="1" applyBorder="1" applyFont="1">
      <alignment readingOrder="0" shrinkToFit="0" vertical="bottom" wrapText="0"/>
    </xf>
    <xf borderId="1" fillId="2" fontId="5" numFmtId="49" xfId="0" applyAlignment="1" applyBorder="1" applyFont="1" applyNumberFormat="1">
      <alignment shrinkToFit="0" vertical="bottom" wrapText="0"/>
    </xf>
    <xf borderId="1" fillId="2" fontId="34" numFmtId="49" xfId="0" applyAlignment="1" applyBorder="1" applyFont="1" applyNumberFormat="1">
      <alignment readingOrder="0" shrinkToFit="0" vertical="bottom" wrapText="0"/>
    </xf>
    <xf borderId="1" fillId="0" fontId="35" numFmtId="49" xfId="0" applyAlignment="1" applyBorder="1" applyFont="1" applyNumberFormat="1">
      <alignment readingOrder="0" shrinkToFit="0" vertical="bottom" wrapText="0"/>
    </xf>
    <xf borderId="1" fillId="0" fontId="36" numFmtId="0" xfId="0" applyAlignment="1" applyBorder="1" applyFont="1">
      <alignment readingOrder="0" shrinkToFit="0" vertical="bottom" wrapText="0"/>
    </xf>
    <xf borderId="0" fillId="0" fontId="5" numFmtId="49" xfId="0" applyAlignment="1" applyFont="1" applyNumberFormat="1">
      <alignment shrinkToFit="0" vertical="bottom" wrapText="0"/>
    </xf>
    <xf borderId="1" fillId="0" fontId="5" numFmtId="0" xfId="0" applyAlignment="1" applyBorder="1" applyFont="1">
      <alignment horizontal="center" shrinkToFit="0" vertical="bottom" wrapText="0"/>
    </xf>
    <xf borderId="1" fillId="2" fontId="37" numFmtId="0" xfId="0" applyAlignment="1" applyBorder="1" applyFont="1">
      <alignment readingOrder="0" shrinkToFit="0" vertical="bottom" wrapText="0"/>
    </xf>
    <xf borderId="2" fillId="19" fontId="5" numFmtId="0" xfId="0" applyAlignment="1" applyBorder="1" applyFont="1">
      <alignment shrinkToFit="0" vertical="bottom" wrapText="0"/>
    </xf>
    <xf borderId="1" fillId="2" fontId="38" numFmtId="0" xfId="0" applyAlignment="1" applyBorder="1" applyFont="1">
      <alignment readingOrder="0" shrinkToFit="0" vertical="bottom" wrapText="0"/>
    </xf>
    <xf quotePrefix="1" borderId="1" fillId="2" fontId="5" numFmtId="49" xfId="0" applyAlignment="1" applyBorder="1" applyFont="1" applyNumberFormat="1">
      <alignment horizontal="center" readingOrder="0" shrinkToFit="0" vertical="bottom" wrapText="0"/>
    </xf>
    <xf borderId="1" fillId="18" fontId="5" numFmtId="0" xfId="0" applyAlignment="1" applyBorder="1" applyFont="1">
      <alignment shrinkToFit="0" wrapText="0"/>
    </xf>
    <xf borderId="1" fillId="0" fontId="5" numFmtId="0" xfId="0" applyAlignment="1" applyBorder="1" applyFont="1">
      <alignment shrinkToFit="0" wrapText="0"/>
    </xf>
    <xf borderId="1" fillId="0" fontId="39" numFmtId="0" xfId="0" applyAlignment="1" applyBorder="1" applyFont="1">
      <alignment readingOrder="0" shrinkToFit="0" wrapText="0"/>
    </xf>
    <xf borderId="1" fillId="0" fontId="40" numFmtId="49" xfId="0" applyAlignment="1" applyBorder="1" applyFont="1" applyNumberFormat="1">
      <alignment readingOrder="0" shrinkToFit="0" wrapText="0"/>
    </xf>
    <xf quotePrefix="1" borderId="1" fillId="0" fontId="5" numFmtId="49" xfId="0" applyAlignment="1" applyBorder="1" applyFont="1" applyNumberFormat="1">
      <alignment horizontal="center" readingOrder="0" shrinkToFit="0" wrapText="0"/>
    </xf>
    <xf borderId="1" fillId="26" fontId="5" numFmtId="0" xfId="0" applyAlignment="1" applyBorder="1" applyFill="1" applyFont="1">
      <alignment shrinkToFit="0" vertical="bottom" wrapText="0"/>
    </xf>
    <xf borderId="1" fillId="26" fontId="5" numFmtId="0" xfId="0" applyAlignment="1" applyBorder="1" applyFont="1">
      <alignment readingOrder="0" shrinkToFit="0" wrapText="0"/>
    </xf>
    <xf borderId="1" fillId="18" fontId="14" numFmtId="49" xfId="0" applyAlignment="1" applyBorder="1" applyFont="1" applyNumberFormat="1">
      <alignment readingOrder="0" shrinkToFit="0" vertical="bottom" wrapText="0"/>
    </xf>
    <xf borderId="1" fillId="0" fontId="5" numFmtId="49" xfId="0" applyAlignment="1" applyBorder="1" applyFont="1" applyNumberFormat="1">
      <alignment readingOrder="0" shrinkToFit="0" vertical="bottom" wrapText="0"/>
    </xf>
    <xf borderId="5" fillId="20" fontId="5" numFmtId="0" xfId="0" applyAlignment="1" applyBorder="1" applyFont="1">
      <alignment readingOrder="0" shrinkToFit="0" vertical="bottom" wrapText="0"/>
    </xf>
    <xf borderId="5" fillId="19" fontId="5" numFmtId="0" xfId="0" applyAlignment="1" applyBorder="1" applyFont="1">
      <alignment shrinkToFit="0" vertical="bottom" wrapText="0"/>
    </xf>
    <xf borderId="5" fillId="0" fontId="5" numFmtId="0" xfId="0" applyAlignment="1" applyBorder="1" applyFont="1">
      <alignment shrinkToFit="0" vertical="bottom" wrapText="0"/>
    </xf>
    <xf borderId="5" fillId="0" fontId="5" numFmtId="0" xfId="0" applyAlignment="1" applyBorder="1" applyFont="1">
      <alignment readingOrder="0" shrinkToFit="0" vertical="bottom" wrapText="0"/>
    </xf>
    <xf borderId="5" fillId="0" fontId="41" numFmtId="0" xfId="0" applyAlignment="1" applyBorder="1" applyFont="1">
      <alignment readingOrder="0" shrinkToFit="0" vertical="bottom" wrapText="0"/>
    </xf>
    <xf borderId="5" fillId="0" fontId="42" numFmtId="49" xfId="0" applyAlignment="1" applyBorder="1" applyFont="1" applyNumberFormat="1">
      <alignment readingOrder="0" shrinkToFit="0" vertical="bottom" wrapText="0"/>
    </xf>
    <xf borderId="5" fillId="2" fontId="14" numFmtId="0" xfId="0" applyAlignment="1" applyBorder="1" applyFont="1">
      <alignment readingOrder="0" shrinkToFit="0" vertical="bottom" wrapText="0"/>
    </xf>
    <xf borderId="5" fillId="2" fontId="14" numFmtId="49" xfId="0" applyAlignment="1" applyBorder="1" applyFont="1" applyNumberFormat="1">
      <alignment readingOrder="0" shrinkToFit="0" vertical="bottom" wrapText="0"/>
    </xf>
    <xf borderId="5" fillId="0" fontId="5" numFmtId="49" xfId="0" applyAlignment="1" applyBorder="1" applyFont="1" applyNumberFormat="1">
      <alignment readingOrder="0" shrinkToFit="0" vertical="bottom" wrapText="0"/>
    </xf>
    <xf borderId="5" fillId="0" fontId="5" numFmtId="0" xfId="0" applyAlignment="1" applyBorder="1" applyFont="1">
      <alignment shrinkToFit="0" vertical="bottom" wrapText="0"/>
    </xf>
    <xf borderId="5" fillId="2" fontId="5" numFmtId="0" xfId="0" applyAlignment="1" applyBorder="1" applyFont="1">
      <alignment shrinkToFit="0" vertical="bottom" wrapText="0"/>
    </xf>
    <xf borderId="5" fillId="20" fontId="5" numFmtId="0" xfId="0" applyAlignment="1" applyBorder="1" applyFont="1">
      <alignment shrinkToFit="0" vertical="bottom" wrapText="0"/>
    </xf>
    <xf borderId="5" fillId="19" fontId="5" numFmtId="0" xfId="0" applyAlignment="1" applyBorder="1" applyFont="1">
      <alignment shrinkToFit="0" vertical="bottom" wrapText="0"/>
    </xf>
    <xf borderId="5" fillId="19" fontId="5" numFmtId="2" xfId="0" applyAlignment="1" applyBorder="1" applyFont="1" applyNumberFormat="1">
      <alignment shrinkToFit="0" vertical="bottom" wrapText="0"/>
    </xf>
    <xf quotePrefix="1" borderId="5" fillId="0" fontId="5" numFmtId="49" xfId="0" applyAlignment="1" applyBorder="1" applyFont="1" applyNumberFormat="1">
      <alignment horizontal="center" shrinkToFit="0" vertical="bottom" wrapText="0"/>
    </xf>
    <xf borderId="5" fillId="0" fontId="43" numFmtId="0" xfId="0" applyAlignment="1" applyBorder="1" applyFont="1">
      <alignment shrinkToFit="0" vertical="bottom" wrapText="0"/>
    </xf>
    <xf borderId="5" fillId="2" fontId="14" numFmtId="0" xfId="0" applyAlignment="1" applyBorder="1" applyFont="1">
      <alignment shrinkToFit="0" vertical="bottom" wrapText="0"/>
    </xf>
    <xf borderId="5" fillId="2" fontId="14" numFmtId="49" xfId="0" applyAlignment="1" applyBorder="1" applyFont="1" applyNumberFormat="1">
      <alignment shrinkToFit="0" vertical="bottom" wrapText="0"/>
    </xf>
    <xf borderId="5" fillId="0" fontId="5" numFmtId="49" xfId="0" applyAlignment="1" applyBorder="1" applyFont="1" applyNumberFormat="1">
      <alignment shrinkToFit="0" vertical="bottom" wrapText="0"/>
    </xf>
    <xf borderId="5" fillId="0" fontId="5" numFmtId="0" xfId="0" applyAlignment="1" applyBorder="1" applyFont="1">
      <alignment horizontal="center" shrinkToFit="0" vertical="bottom" wrapText="0"/>
    </xf>
    <xf borderId="5" fillId="0" fontId="44" numFmtId="0" xfId="0" applyAlignment="1" applyBorder="1" applyFont="1">
      <alignment readingOrder="0" shrinkToFit="0" vertical="bottom" wrapText="0"/>
    </xf>
    <xf borderId="5" fillId="0" fontId="45" numFmtId="49" xfId="0" applyAlignment="1" applyBorder="1" applyFont="1" applyNumberFormat="1">
      <alignment readingOrder="0" shrinkToFit="0" vertical="bottom" wrapText="0"/>
    </xf>
    <xf borderId="1" fillId="0" fontId="46" numFmtId="0" xfId="0" applyAlignment="1" applyBorder="1" applyFont="1">
      <alignment readingOrder="0" shrinkToFit="0" wrapText="0"/>
    </xf>
    <xf borderId="1" fillId="0" fontId="47" numFmtId="49" xfId="0" applyAlignment="1" applyBorder="1" applyFont="1" applyNumberFormat="1">
      <alignment readingOrder="0" shrinkToFit="0" vertical="bottom" wrapText="0"/>
    </xf>
    <xf borderId="1" fillId="0" fontId="48" numFmtId="0" xfId="0" applyAlignment="1" applyBorder="1" applyFont="1">
      <alignment readingOrder="0" shrinkToFit="0" vertical="bottom" wrapText="0"/>
    </xf>
    <xf borderId="1" fillId="2" fontId="49" numFmtId="0" xfId="0" applyAlignment="1" applyBorder="1" applyFont="1">
      <alignment readingOrder="0" shrinkToFit="0" wrapText="0"/>
    </xf>
    <xf borderId="0" fillId="20" fontId="5" numFmtId="0" xfId="0" applyAlignment="1" applyFont="1">
      <alignment readingOrder="0" shrinkToFit="0" vertical="bottom" wrapText="0"/>
    </xf>
    <xf borderId="0" fillId="20" fontId="5" numFmtId="0" xfId="0" applyAlignment="1" applyFont="1">
      <alignment shrinkToFit="0" vertical="bottom" wrapText="0"/>
    </xf>
    <xf borderId="0" fillId="19" fontId="5" numFmtId="0" xfId="0" applyAlignment="1" applyFont="1">
      <alignment readingOrder="0" shrinkToFit="0" vertical="bottom" wrapText="0"/>
    </xf>
    <xf borderId="0" fillId="18" fontId="5" numFmtId="0" xfId="0" applyAlignment="1" applyFont="1">
      <alignment readingOrder="0" shrinkToFit="0" vertical="bottom" wrapText="0"/>
    </xf>
    <xf borderId="0" fillId="0" fontId="5" numFmtId="0" xfId="0" applyAlignment="1" applyFont="1">
      <alignment readingOrder="0" shrinkToFit="0" vertical="bottom" wrapText="0"/>
    </xf>
    <xf borderId="0" fillId="0" fontId="50" numFmtId="49" xfId="0" applyAlignment="1" applyFont="1" applyNumberFormat="1">
      <alignment readingOrder="0" shrinkToFit="0" vertical="bottom" wrapText="0"/>
    </xf>
    <xf quotePrefix="1" borderId="0" fillId="0" fontId="5" numFmtId="49" xfId="0" applyAlignment="1" applyFont="1" applyNumberFormat="1">
      <alignment horizontal="center" readingOrder="0" shrinkToFit="0" vertical="bottom" wrapText="0"/>
    </xf>
    <xf borderId="0" fillId="18" fontId="5"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18" fontId="5" numFmtId="0" xfId="0" applyAlignment="1" applyFont="1">
      <alignment shrinkToFit="0" vertical="bottom" wrapText="0"/>
    </xf>
    <xf borderId="0" fillId="2" fontId="5" numFmtId="0" xfId="0" applyAlignment="1" applyFont="1">
      <alignment shrinkToFit="0" vertical="bottom" wrapText="0"/>
    </xf>
    <xf borderId="5" fillId="2" fontId="3" numFmtId="49" xfId="0" applyAlignment="1" applyBorder="1" applyFont="1" applyNumberFormat="1">
      <alignment shrinkToFit="0" vertical="bottom" wrapText="0"/>
    </xf>
    <xf borderId="5" fillId="19" fontId="5" numFmtId="2" xfId="0" applyAlignment="1" applyBorder="1" applyFont="1" applyNumberFormat="1">
      <alignment readingOrder="0" shrinkToFit="0" vertical="bottom" wrapText="0"/>
    </xf>
    <xf borderId="6" fillId="2" fontId="5" numFmtId="0" xfId="0" applyAlignment="1" applyBorder="1" applyFont="1">
      <alignment shrinkToFit="0" vertical="bottom" wrapText="0"/>
    </xf>
    <xf borderId="6" fillId="2" fontId="51" numFmtId="0" xfId="0" applyAlignment="1" applyBorder="1" applyFont="1">
      <alignment readingOrder="0" shrinkToFit="0" vertical="bottom" wrapText="0"/>
    </xf>
    <xf borderId="5" fillId="2" fontId="52" numFmtId="49" xfId="0" applyAlignment="1" applyBorder="1" applyFont="1" applyNumberFormat="1">
      <alignment readingOrder="0" shrinkToFit="0" vertical="bottom" wrapText="0"/>
    </xf>
    <xf quotePrefix="1" borderId="5" fillId="0" fontId="5" numFmtId="49" xfId="0" applyAlignment="1" applyBorder="1" applyFont="1" applyNumberFormat="1">
      <alignment horizontal="center" readingOrder="0" shrinkToFit="0" vertical="bottom" wrapText="0"/>
    </xf>
    <xf borderId="5" fillId="0" fontId="5" numFmtId="9" xfId="0" applyAlignment="1" applyBorder="1" applyFont="1" applyNumberFormat="1">
      <alignment shrinkToFit="0" vertical="bottom" wrapText="0"/>
    </xf>
    <xf borderId="5" fillId="2" fontId="5" numFmtId="49" xfId="0" applyAlignment="1" applyBorder="1" applyFont="1" applyNumberFormat="1">
      <alignment shrinkToFit="0" vertical="bottom" wrapText="0"/>
    </xf>
    <xf borderId="5" fillId="0" fontId="5" numFmtId="49" xfId="0" applyAlignment="1" applyBorder="1" applyFont="1" applyNumberFormat="1">
      <alignment horizontal="center" shrinkToFit="0" vertical="bottom" wrapText="0"/>
    </xf>
    <xf borderId="5" fillId="18" fontId="5" numFmtId="0" xfId="0" applyAlignment="1" applyBorder="1" applyFont="1">
      <alignment shrinkToFit="0" vertical="bottom" wrapText="0"/>
    </xf>
    <xf borderId="3" fillId="19" fontId="5" numFmtId="0" xfId="0" applyAlignment="1" applyBorder="1" applyFont="1">
      <alignment shrinkToFit="0" vertical="bottom" wrapText="0"/>
    </xf>
    <xf borderId="4" fillId="2" fontId="3" numFmtId="49" xfId="0" applyAlignment="1" applyBorder="1" applyFont="1" applyNumberFormat="1">
      <alignment shrinkToFit="0" vertical="bottom" wrapText="0"/>
    </xf>
    <xf borderId="4" fillId="20" fontId="5" numFmtId="0" xfId="0" applyAlignment="1" applyBorder="1" applyFont="1">
      <alignment shrinkToFit="0" vertical="bottom" wrapText="0"/>
    </xf>
    <xf borderId="4" fillId="19" fontId="5" numFmtId="2" xfId="0" applyAlignment="1" applyBorder="1" applyFont="1" applyNumberFormat="1">
      <alignment readingOrder="0" shrinkToFit="0" vertical="bottom" wrapText="0"/>
    </xf>
    <xf borderId="4" fillId="2" fontId="5" numFmtId="0" xfId="0" applyAlignment="1" applyBorder="1" applyFont="1">
      <alignment shrinkToFit="0" vertical="bottom" wrapText="0"/>
    </xf>
    <xf borderId="7" fillId="2" fontId="5" numFmtId="0" xfId="0" applyAlignment="1" applyBorder="1" applyFont="1">
      <alignment shrinkToFit="0" vertical="bottom" wrapText="0"/>
    </xf>
    <xf borderId="7" fillId="2" fontId="53" numFmtId="0" xfId="0" applyAlignment="1" applyBorder="1" applyFont="1">
      <alignment readingOrder="0" shrinkToFit="0" vertical="bottom" wrapText="0"/>
    </xf>
    <xf borderId="4" fillId="2" fontId="54" numFmtId="49" xfId="0" applyAlignment="1" applyBorder="1" applyFont="1" applyNumberFormat="1">
      <alignment readingOrder="0" shrinkToFit="0" vertical="bottom" wrapText="0"/>
    </xf>
    <xf quotePrefix="1" borderId="4" fillId="0" fontId="5" numFmtId="49" xfId="0" applyAlignment="1" applyBorder="1" applyFont="1" applyNumberFormat="1">
      <alignment horizontal="center" readingOrder="0" shrinkToFit="0" vertical="bottom" wrapText="0"/>
    </xf>
    <xf borderId="4" fillId="0" fontId="5" numFmtId="9" xfId="0" applyAlignment="1" applyBorder="1" applyFont="1" applyNumberFormat="1">
      <alignment shrinkToFit="0" vertical="bottom" wrapText="0"/>
    </xf>
    <xf borderId="4" fillId="0" fontId="5" numFmtId="49" xfId="0" applyAlignment="1" applyBorder="1" applyFont="1" applyNumberFormat="1">
      <alignment shrinkToFit="0" vertical="bottom" wrapText="0"/>
    </xf>
    <xf borderId="4" fillId="2" fontId="5" numFmtId="49" xfId="0" applyAlignment="1" applyBorder="1" applyFont="1" applyNumberFormat="1">
      <alignment shrinkToFit="0" vertical="bottom" wrapText="0"/>
    </xf>
    <xf borderId="4" fillId="0" fontId="5" numFmtId="49" xfId="0" applyAlignment="1" applyBorder="1" applyFont="1" applyNumberFormat="1">
      <alignment horizontal="center" shrinkToFit="0" vertical="bottom" wrapText="0"/>
    </xf>
    <xf borderId="4" fillId="0" fontId="5" numFmtId="0" xfId="0" applyAlignment="1" applyBorder="1" applyFont="1">
      <alignment shrinkToFit="0" vertical="bottom" wrapText="0"/>
    </xf>
    <xf borderId="4" fillId="18" fontId="5" numFmtId="0" xfId="0" applyAlignment="1" applyBorder="1" applyFont="1">
      <alignment shrinkToFit="0" vertical="bottom" wrapText="0"/>
    </xf>
    <xf borderId="1" fillId="2" fontId="3" numFmtId="49" xfId="0" applyAlignment="1" applyBorder="1" applyFont="1" applyNumberFormat="1">
      <alignment shrinkToFit="0" vertical="bottom" wrapText="0"/>
    </xf>
    <xf borderId="0" fillId="0" fontId="55" numFmtId="0" xfId="0" applyAlignment="1" applyFont="1">
      <alignment readingOrder="0" shrinkToFit="0" vertical="bottom" wrapText="0"/>
    </xf>
    <xf borderId="5" fillId="0" fontId="11" numFmtId="0" xfId="0" applyAlignment="1" applyBorder="1" applyFont="1">
      <alignment readingOrder="0" shrinkToFit="0" vertical="bottom" wrapText="0"/>
    </xf>
    <xf borderId="5" fillId="2" fontId="11" numFmtId="0" xfId="0" applyAlignment="1" applyBorder="1" applyFont="1">
      <alignment readingOrder="0" shrinkToFit="0" vertical="bottom" wrapText="0"/>
    </xf>
    <xf borderId="5" fillId="2" fontId="56" numFmtId="0" xfId="0" applyAlignment="1" applyBorder="1" applyFont="1">
      <alignment readingOrder="0" shrinkToFit="0" vertical="bottom" wrapText="0"/>
    </xf>
    <xf borderId="5" fillId="2" fontId="57" numFmtId="49" xfId="0" applyAlignment="1" applyBorder="1" applyFont="1" applyNumberFormat="1">
      <alignment readingOrder="0" shrinkToFit="0" vertical="bottom" wrapText="0"/>
    </xf>
    <xf borderId="5" fillId="0" fontId="11" numFmtId="0" xfId="0" applyAlignment="1" applyBorder="1" applyFont="1">
      <alignment horizontal="left" readingOrder="0" shrinkToFit="0" vertical="bottom" wrapText="0"/>
    </xf>
    <xf borderId="5" fillId="2" fontId="11" numFmtId="49" xfId="0" applyAlignment="1" applyBorder="1" applyFont="1" applyNumberFormat="1">
      <alignment readingOrder="0" shrinkToFit="0" vertical="bottom" wrapText="0"/>
    </xf>
    <xf borderId="5" fillId="0" fontId="11" numFmtId="0" xfId="0" applyAlignment="1" applyBorder="1" applyFont="1">
      <alignment horizontal="center" shrinkToFit="0" vertical="bottom" wrapText="0"/>
    </xf>
    <xf borderId="5" fillId="0" fontId="11" numFmtId="0" xfId="0" applyAlignment="1" applyBorder="1" applyFont="1">
      <alignment shrinkToFit="0" vertical="bottom" wrapText="0"/>
    </xf>
    <xf borderId="5" fillId="2" fontId="11" numFmtId="0" xfId="0" applyAlignment="1" applyBorder="1" applyFont="1">
      <alignment shrinkToFit="0" vertical="bottom" wrapText="0"/>
    </xf>
    <xf borderId="8" fillId="19" fontId="5" numFmtId="0" xfId="0" applyAlignment="1" applyBorder="1" applyFont="1">
      <alignment shrinkToFit="0" vertical="bottom" wrapText="0"/>
    </xf>
    <xf borderId="1" fillId="0" fontId="58" numFmtId="0" xfId="0" applyAlignment="1" applyBorder="1" applyFont="1">
      <alignment readingOrder="0" shrinkToFit="0" vertical="bottom" wrapText="0"/>
    </xf>
    <xf borderId="1" fillId="0" fontId="59" numFmtId="49" xfId="0" applyAlignment="1" applyBorder="1" applyFont="1" applyNumberFormat="1">
      <alignment readingOrder="0" shrinkToFit="0" vertical="bottom" wrapText="0"/>
    </xf>
    <xf borderId="1" fillId="0" fontId="5" numFmtId="0" xfId="0" applyAlignment="1" applyBorder="1" applyFont="1">
      <alignment horizontal="center" readingOrder="0" shrinkToFit="0" vertical="bottom" wrapText="0"/>
    </xf>
    <xf borderId="1" fillId="2" fontId="3" numFmtId="49" xfId="0" applyAlignment="1" applyBorder="1" applyFont="1" applyNumberFormat="1">
      <alignment readingOrder="0" shrinkToFit="0" vertical="bottom" wrapText="0"/>
    </xf>
    <xf borderId="1" fillId="0" fontId="60" numFmtId="0" xfId="0" applyAlignment="1" applyBorder="1" applyFont="1">
      <alignment readingOrder="0" shrinkToFit="0" vertical="bottom" wrapText="0"/>
    </xf>
    <xf borderId="1" fillId="0" fontId="14" numFmtId="0" xfId="0" applyAlignment="1" applyBorder="1" applyFont="1">
      <alignment readingOrder="0" shrinkToFit="0" vertical="bottom" wrapText="0"/>
    </xf>
    <xf borderId="1" fillId="0" fontId="60" numFmtId="49" xfId="0" applyAlignment="1" applyBorder="1" applyFont="1" applyNumberFormat="1">
      <alignment readingOrder="0" shrinkToFit="0" vertical="bottom" wrapText="0"/>
    </xf>
    <xf borderId="1" fillId="0" fontId="60" numFmtId="0" xfId="0" applyAlignment="1" applyBorder="1" applyFont="1">
      <alignment horizontal="right" readingOrder="0" shrinkToFit="0" vertical="bottom" wrapText="0"/>
    </xf>
    <xf borderId="1" fillId="0" fontId="60" numFmtId="0" xfId="0" applyAlignment="1" applyBorder="1" applyFont="1">
      <alignment shrinkToFit="0" vertical="bottom" wrapText="0"/>
    </xf>
    <xf borderId="2" fillId="20" fontId="5" numFmtId="0" xfId="0" applyAlignment="1" applyBorder="1" applyFont="1">
      <alignment readingOrder="0" shrinkToFit="0" vertical="bottom" wrapText="0"/>
    </xf>
    <xf borderId="1" fillId="0" fontId="61" numFmtId="0" xfId="0" applyAlignment="1" applyBorder="1" applyFont="1">
      <alignment readingOrder="0" shrinkToFit="0" vertical="bottom" wrapText="0"/>
    </xf>
    <xf borderId="1" fillId="0" fontId="62" numFmtId="49" xfId="0" applyAlignment="1" applyBorder="1" applyFont="1" applyNumberFormat="1">
      <alignment readingOrder="0" shrinkToFit="0" vertical="bottom" wrapText="0"/>
    </xf>
    <xf quotePrefix="1" borderId="1" fillId="0" fontId="60" numFmtId="49" xfId="0" applyAlignment="1" applyBorder="1" applyFont="1" applyNumberFormat="1">
      <alignment readingOrder="0" shrinkToFit="0" vertical="bottom" wrapText="0"/>
    </xf>
    <xf borderId="5" fillId="0" fontId="2" numFmtId="0" xfId="0" applyAlignment="1" applyBorder="1" applyFont="1">
      <alignment horizontal="center" shrinkToFit="0" vertical="bottom" wrapText="0"/>
    </xf>
    <xf borderId="5" fillId="19" fontId="5" numFmtId="2" xfId="0" applyAlignment="1" applyBorder="1" applyFont="1" applyNumberFormat="1">
      <alignment horizontal="right" shrinkToFit="0" vertical="bottom" wrapText="0"/>
    </xf>
    <xf borderId="5" fillId="19" fontId="5" numFmtId="0" xfId="0" applyAlignment="1" applyBorder="1" applyFont="1">
      <alignment horizontal="right" readingOrder="0" shrinkToFit="0" vertical="bottom" wrapText="0"/>
    </xf>
    <xf borderId="5" fillId="0" fontId="14" numFmtId="0" xfId="0" applyAlignment="1" applyBorder="1" applyFont="1">
      <alignment shrinkToFit="0" vertical="bottom" wrapText="0"/>
    </xf>
    <xf borderId="5" fillId="0" fontId="63" numFmtId="49" xfId="0" applyAlignment="1" applyBorder="1" applyFont="1" applyNumberFormat="1">
      <alignment readingOrder="0" shrinkToFit="0" vertical="bottom" wrapText="0"/>
    </xf>
    <xf borderId="5" fillId="0" fontId="14" numFmtId="49" xfId="0" applyAlignment="1" applyBorder="1" applyFont="1" applyNumberFormat="1">
      <alignment shrinkToFit="0" vertical="bottom" wrapText="0"/>
    </xf>
    <xf borderId="5" fillId="27" fontId="5" numFmtId="0" xfId="0" applyAlignment="1" applyBorder="1" applyFill="1" applyFont="1">
      <alignment horizontal="center" shrinkToFit="0" vertical="bottom" wrapText="0"/>
    </xf>
    <xf borderId="5" fillId="2" fontId="64" numFmtId="49" xfId="0" applyAlignment="1" applyBorder="1" applyFont="1" applyNumberFormat="1">
      <alignment readingOrder="0" shrinkToFit="0" vertical="bottom" wrapText="0"/>
    </xf>
    <xf borderId="4" fillId="0" fontId="5" numFmtId="49" xfId="0" applyAlignment="1" applyBorder="1" applyFont="1" applyNumberFormat="1">
      <alignment horizontal="center" readingOrder="0" shrinkToFit="0" vertical="bottom" wrapText="0"/>
    </xf>
    <xf borderId="0" fillId="0" fontId="25" numFmtId="0" xfId="0" applyFont="1"/>
    <xf borderId="0" fillId="0" fontId="5" numFmtId="49" xfId="0" applyAlignment="1" applyFont="1" applyNumberFormat="1">
      <alignment vertical="bottom"/>
    </xf>
    <xf borderId="0" fillId="0" fontId="5" numFmtId="0" xfId="0" applyAlignment="1" applyFont="1">
      <alignment vertical="bottom"/>
    </xf>
    <xf quotePrefix="1" borderId="0" fillId="0" fontId="5" numFmtId="49" xfId="0" applyAlignment="1" applyFont="1" applyNumberFormat="1">
      <alignment vertical="bottom"/>
    </xf>
    <xf borderId="0" fillId="28" fontId="5" numFmtId="49" xfId="0" applyAlignment="1" applyFill="1" applyFont="1" applyNumberFormat="1">
      <alignment vertical="bottom"/>
    </xf>
    <xf borderId="0" fillId="0" fontId="5" numFmtId="0" xfId="0" applyAlignment="1" applyFont="1">
      <alignment vertical="bottom"/>
    </xf>
    <xf borderId="0" fillId="0" fontId="25" numFmtId="0" xfId="0" applyAlignment="1" applyFont="1">
      <alignment readingOrder="0"/>
    </xf>
    <xf quotePrefix="1" borderId="0" fillId="0" fontId="5" numFmtId="49" xfId="0" applyAlignment="1" applyFont="1" applyNumberFormat="1">
      <alignment readingOrder="0" vertical="bottom"/>
    </xf>
    <xf borderId="1" fillId="0" fontId="5" numFmtId="49" xfId="0" applyAlignment="1" applyBorder="1" applyFont="1" applyNumberFormat="1">
      <alignment readingOrder="0" shrinkToFit="0" vertical="bottom" wrapText="0"/>
    </xf>
    <xf borderId="0" fillId="0" fontId="5" numFmtId="49" xfId="0" applyAlignment="1" applyFont="1" applyNumberFormat="1">
      <alignment horizontal="center" shrinkToFit="0" vertical="bottom" wrapText="0"/>
    </xf>
    <xf borderId="0" fillId="18" fontId="5" numFmtId="49" xfId="0" applyAlignment="1" applyFont="1" applyNumberFormat="1">
      <alignment shrinkToFit="0" vertical="bottom" wrapText="0"/>
    </xf>
    <xf borderId="0" fillId="0" fontId="5" numFmtId="0" xfId="0" applyAlignment="1" applyFont="1">
      <alignment horizontal="center" shrinkToFit="0" vertical="bottom" wrapText="0"/>
    </xf>
    <xf borderId="0" fillId="0" fontId="5" numFmtId="0" xfId="0" applyAlignment="1" applyFont="1">
      <alignment shrinkToFit="0" vertical="bottom" wrapText="0"/>
    </xf>
    <xf borderId="0" fillId="29" fontId="65" numFmtId="0" xfId="0" applyAlignment="1" applyFill="1" applyFont="1">
      <alignment readingOrder="0" shrinkToFit="0" vertical="top" wrapText="1"/>
    </xf>
    <xf borderId="0" fillId="29" fontId="4" numFmtId="0" xfId="0" applyAlignment="1" applyFont="1">
      <alignment vertical="top"/>
    </xf>
    <xf borderId="0" fillId="29" fontId="65" numFmtId="0" xfId="0" applyAlignment="1" applyFont="1">
      <alignment shrinkToFit="0" vertical="top" wrapText="0"/>
    </xf>
    <xf borderId="0" fillId="29" fontId="65" numFmtId="0" xfId="0" applyAlignment="1" applyFont="1">
      <alignment shrinkToFit="0" vertical="top" wrapText="1"/>
    </xf>
    <xf borderId="0" fillId="0" fontId="66" numFmtId="0" xfId="0" applyAlignment="1" applyFont="1">
      <alignment readingOrder="0" shrinkToFit="0" vertical="top" wrapText="1"/>
    </xf>
    <xf borderId="0" fillId="0" fontId="5" numFmtId="0" xfId="0" applyAlignment="1" applyFont="1">
      <alignment readingOrder="0" shrinkToFit="0" vertical="top" wrapText="1"/>
    </xf>
    <xf borderId="0" fillId="0" fontId="25" numFmtId="0" xfId="0" applyAlignment="1" applyFont="1">
      <alignment readingOrder="0" vertical="top"/>
    </xf>
    <xf borderId="0" fillId="0" fontId="67" numFmtId="0" xfId="0" applyAlignment="1" applyFont="1">
      <alignment readingOrder="0" shrinkToFit="0" vertical="top" wrapText="1"/>
    </xf>
    <xf borderId="0" fillId="0" fontId="25" numFmtId="0" xfId="0" applyAlignment="1" applyFont="1">
      <alignment readingOrder="0" shrinkToFit="0" vertical="top" wrapText="1"/>
    </xf>
    <xf borderId="0" fillId="0" fontId="25" numFmtId="0" xfId="0" applyAlignment="1" applyFont="1">
      <alignment readingOrder="0" shrinkToFit="0" vertical="top" wrapText="1"/>
    </xf>
    <xf borderId="0" fillId="0" fontId="25" numFmtId="0" xfId="0" applyAlignment="1" applyFont="1">
      <alignment readingOrder="0" shrinkToFit="0" vertical="top" wrapText="1"/>
    </xf>
    <xf borderId="0" fillId="29" fontId="65" numFmtId="0" xfId="0" applyAlignment="1" applyFont="1">
      <alignment readingOrder="0" shrinkToFit="0" vertical="top" wrapText="0"/>
    </xf>
    <xf borderId="0" fillId="29" fontId="4" numFmtId="0" xfId="0" applyAlignment="1" applyFont="1">
      <alignment shrinkToFit="0" vertical="top" wrapText="1"/>
    </xf>
    <xf borderId="0" fillId="29" fontId="5" numFmtId="0" xfId="0" applyAlignment="1" applyFont="1">
      <alignment vertical="top"/>
    </xf>
    <xf borderId="0" fillId="0" fontId="5" numFmtId="0" xfId="0" applyAlignment="1" applyFont="1">
      <alignment shrinkToFit="0" vertical="top" wrapText="1"/>
    </xf>
    <xf borderId="0" fillId="0" fontId="5" numFmtId="0" xfId="0" applyAlignment="1" applyFont="1">
      <alignment readingOrder="0" shrinkToFit="0" vertical="top" wrapText="1"/>
    </xf>
    <xf borderId="0" fillId="18" fontId="68" numFmtId="0" xfId="0" applyFont="1"/>
    <xf borderId="9" fillId="5" fontId="25" numFmtId="0" xfId="0" applyBorder="1" applyFont="1"/>
    <xf borderId="10" fillId="0" fontId="25" numFmtId="0" xfId="0" applyAlignment="1" applyBorder="1" applyFont="1">
      <alignment readingOrder="0" shrinkToFit="0" vertical="center" wrapText="1"/>
    </xf>
    <xf borderId="11" fillId="0" fontId="69" numFmtId="0" xfId="0" applyBorder="1" applyFont="1"/>
    <xf borderId="12" fillId="0" fontId="69" numFmtId="0" xfId="0" applyBorder="1" applyFont="1"/>
    <xf borderId="0" fillId="2" fontId="70" numFmtId="0" xfId="0" applyAlignment="1" applyFont="1">
      <alignment readingOrder="0"/>
    </xf>
    <xf borderId="9" fillId="14" fontId="25" numFmtId="0" xfId="0" applyBorder="1" applyFont="1"/>
    <xf borderId="9" fillId="13" fontId="25" numFmtId="0" xfId="0" applyBorder="1" applyFont="1"/>
    <xf borderId="9" fillId="16" fontId="25" numFmtId="0" xfId="0" applyBorder="1" applyFont="1"/>
    <xf borderId="10" fillId="0" fontId="25" numFmtId="0" xfId="0" applyAlignment="1" applyBorder="1" applyFont="1">
      <alignment readingOrder="0" vertical="center"/>
    </xf>
    <xf borderId="0" fillId="0" fontId="25" numFmtId="0" xfId="0" applyAlignment="1" applyFont="1">
      <alignment horizontal="center" readingOrder="0" vertical="center"/>
    </xf>
    <xf borderId="1" fillId="19" fontId="5" numFmtId="0" xfId="0" applyAlignment="1" applyBorder="1" applyFont="1">
      <alignment vertical="bottom"/>
    </xf>
    <xf borderId="1" fillId="0" fontId="2" numFmtId="0" xfId="0" applyAlignment="1" applyBorder="1" applyFont="1">
      <alignment horizontal="center" readingOrder="0" shrinkToFit="0" vertical="bottom" wrapText="1"/>
    </xf>
    <xf borderId="1" fillId="0" fontId="3" numFmtId="0" xfId="0" applyAlignment="1" applyBorder="1" applyFont="1">
      <alignment vertical="bottom"/>
    </xf>
    <xf borderId="1" fillId="20" fontId="5" numFmtId="0" xfId="0" applyAlignment="1" applyBorder="1" applyFont="1">
      <alignment shrinkToFit="0" vertical="bottom" wrapText="1"/>
    </xf>
    <xf borderId="1" fillId="20" fontId="5" numFmtId="0" xfId="0" applyAlignment="1" applyBorder="1" applyFont="1">
      <alignment readingOrder="0" shrinkToFit="0" vertical="bottom" wrapText="1"/>
    </xf>
    <xf borderId="0" fillId="30" fontId="25" numFmtId="0" xfId="0" applyAlignment="1" applyFill="1" applyFont="1">
      <alignment readingOrder="0"/>
    </xf>
    <xf borderId="0" fillId="0" fontId="71" numFmtId="0" xfId="0" applyAlignment="1" applyFont="1">
      <alignment readingOrder="0"/>
    </xf>
    <xf borderId="0" fillId="31" fontId="3" numFmtId="0" xfId="0" applyAlignment="1" applyFill="1" applyFont="1">
      <alignment horizontal="center" readingOrder="0" vertical="center"/>
    </xf>
    <xf borderId="0" fillId="31" fontId="3" numFmtId="0" xfId="0" applyAlignment="1" applyFont="1">
      <alignment horizontal="center" vertical="center"/>
    </xf>
    <xf borderId="0" fillId="31" fontId="2" numFmtId="0" xfId="0" applyAlignment="1" applyFont="1">
      <alignment horizontal="center" readingOrder="0" shrinkToFit="0" vertical="center" wrapText="1"/>
    </xf>
    <xf borderId="0" fillId="31" fontId="3" numFmtId="0" xfId="0" applyAlignment="1" applyFont="1">
      <alignment horizontal="center" shrinkToFit="0" vertical="center" wrapText="1"/>
    </xf>
    <xf borderId="0" fillId="31" fontId="3" numFmtId="0" xfId="0" applyAlignment="1" applyFont="1">
      <alignment horizontal="center" shrinkToFit="0" vertical="center" wrapText="1"/>
    </xf>
    <xf borderId="0" fillId="31" fontId="3" numFmtId="0" xfId="0" applyAlignment="1" applyFont="1">
      <alignment horizontal="center" readingOrder="0" shrinkToFit="0" vertical="center" wrapText="1"/>
    </xf>
    <xf borderId="0" fillId="31" fontId="3" numFmtId="0" xfId="0" applyAlignment="1" applyFont="1">
      <alignment horizontal="center" shrinkToFit="0" vertical="center" wrapText="0"/>
    </xf>
    <xf borderId="0" fillId="31" fontId="3" numFmtId="2" xfId="0" applyAlignment="1" applyFont="1" applyNumberFormat="1">
      <alignment horizontal="center" shrinkToFit="0" vertical="center" wrapText="0"/>
    </xf>
    <xf borderId="0" fillId="31" fontId="3" numFmtId="0" xfId="0" applyAlignment="1" applyFont="1">
      <alignment horizontal="center" readingOrder="0" shrinkToFit="0" vertical="center" wrapText="0"/>
    </xf>
    <xf borderId="0" fillId="31" fontId="72" numFmtId="0" xfId="0" applyAlignment="1" applyFont="1">
      <alignment horizontal="center" readingOrder="0" shrinkToFit="0" vertical="center" wrapText="0"/>
    </xf>
    <xf borderId="0" fillId="31" fontId="3" numFmtId="49" xfId="0" applyAlignment="1" applyFont="1" applyNumberFormat="1">
      <alignment horizontal="center" shrinkToFit="0" vertical="center" wrapText="1"/>
    </xf>
    <xf borderId="0" fillId="31" fontId="21" numFmtId="0" xfId="0" applyAlignment="1" applyFont="1">
      <alignment horizontal="center" vertical="center"/>
    </xf>
    <xf borderId="0" fillId="18" fontId="5" numFmtId="0" xfId="0" applyAlignment="1" applyFont="1">
      <alignment readingOrder="0" vertical="bottom"/>
    </xf>
    <xf borderId="1" fillId="0" fontId="2" numFmtId="0" xfId="0" applyAlignment="1" applyBorder="1" applyFont="1">
      <alignment horizontal="center" shrinkToFit="0" wrapText="1"/>
    </xf>
    <xf borderId="1" fillId="0" fontId="3" numFmtId="0" xfId="0" applyAlignment="1" applyBorder="1" applyFont="1">
      <alignment shrinkToFit="0" wrapText="1"/>
    </xf>
    <xf borderId="1" fillId="20" fontId="5" numFmtId="0" xfId="0" applyAlignment="1" applyBorder="1" applyFont="1">
      <alignment shrinkToFit="0" vertical="bottom" wrapText="1"/>
    </xf>
    <xf borderId="1" fillId="19" fontId="5" numFmtId="0" xfId="0" applyAlignment="1" applyBorder="1" applyFont="1">
      <alignment readingOrder="0" shrinkToFit="0" vertical="bottom" wrapText="1"/>
    </xf>
    <xf borderId="1" fillId="20" fontId="5" numFmtId="0" xfId="0" applyAlignment="1" applyBorder="1" applyFont="1">
      <alignment vertical="bottom"/>
    </xf>
    <xf borderId="1" fillId="19" fontId="5" numFmtId="0" xfId="0" applyAlignment="1" applyBorder="1" applyFont="1">
      <alignment shrinkToFit="0" wrapText="0"/>
    </xf>
    <xf borderId="1" fillId="19" fontId="5" numFmtId="2" xfId="0" applyAlignment="1" applyBorder="1" applyFont="1" applyNumberFormat="1">
      <alignment shrinkToFit="0" wrapText="0"/>
    </xf>
    <xf borderId="1" fillId="32" fontId="5" numFmtId="0" xfId="0" applyAlignment="1" applyBorder="1" applyFill="1" applyFont="1">
      <alignment shrinkToFit="0" wrapText="0"/>
    </xf>
    <xf borderId="1" fillId="32" fontId="5" numFmtId="0" xfId="0" applyAlignment="1" applyBorder="1" applyFont="1">
      <alignment vertical="bottom"/>
    </xf>
    <xf borderId="1" fillId="32" fontId="5" numFmtId="0" xfId="0" applyAlignment="1" applyBorder="1" applyFont="1">
      <alignment readingOrder="0" vertical="bottom"/>
    </xf>
    <xf borderId="1" fillId="33" fontId="5" numFmtId="0" xfId="0" applyAlignment="1" applyBorder="1" applyFill="1" applyFont="1">
      <alignment readingOrder="0" shrinkToFit="0" vertical="bottom" wrapText="0"/>
    </xf>
    <xf borderId="0" fillId="33" fontId="5" numFmtId="0" xfId="0" applyAlignment="1" applyFont="1">
      <alignment readingOrder="0" shrinkToFit="0" vertical="bottom" wrapText="0"/>
    </xf>
    <xf borderId="1" fillId="18" fontId="5" numFmtId="0" xfId="0" applyAlignment="1" applyBorder="1" applyFont="1">
      <alignment shrinkToFit="0" vertical="bottom" wrapText="1"/>
    </xf>
    <xf borderId="1" fillId="23" fontId="5" numFmtId="0" xfId="0" applyAlignment="1" applyBorder="1" applyFont="1">
      <alignment shrinkToFit="0" wrapText="1"/>
    </xf>
    <xf borderId="1" fillId="18" fontId="5" numFmtId="0" xfId="0" applyAlignment="1" applyBorder="1" applyFont="1">
      <alignment vertical="bottom"/>
    </xf>
    <xf borderId="0" fillId="0" fontId="60" numFmtId="0" xfId="0" applyAlignment="1" applyFont="1">
      <alignment readingOrder="0" shrinkToFit="0" wrapText="0"/>
    </xf>
    <xf borderId="0" fillId="0" fontId="60" numFmtId="0" xfId="0" applyAlignment="1" applyFont="1">
      <alignment readingOrder="0" shrinkToFit="0" vertical="bottom" wrapText="0"/>
    </xf>
    <xf borderId="1" fillId="0" fontId="5" numFmtId="49" xfId="0" applyAlignment="1" applyBorder="1" applyFont="1" applyNumberFormat="1">
      <alignment horizontal="right" shrinkToFit="0" vertical="bottom" wrapText="1"/>
    </xf>
    <xf borderId="1" fillId="0" fontId="5" numFmtId="0" xfId="0" applyAlignment="1" applyBorder="1" applyFont="1">
      <alignment shrinkToFit="0" vertical="bottom" wrapText="1"/>
    </xf>
    <xf borderId="1" fillId="0" fontId="5" numFmtId="0" xfId="0" applyAlignment="1" applyBorder="1" applyFont="1">
      <alignment shrinkToFit="0" wrapText="1"/>
    </xf>
    <xf borderId="1" fillId="31" fontId="5" numFmtId="0" xfId="0" applyAlignment="1" applyBorder="1" applyFont="1">
      <alignment shrinkToFit="0" wrapText="1"/>
    </xf>
    <xf borderId="1" fillId="0" fontId="5" numFmtId="0" xfId="0" applyAlignment="1" applyBorder="1" applyFont="1">
      <alignment horizontal="center" shrinkToFit="0" wrapText="1"/>
    </xf>
    <xf borderId="1" fillId="0" fontId="14" numFmtId="0" xfId="0" applyBorder="1" applyFont="1"/>
    <xf borderId="0" fillId="0" fontId="14" numFmtId="0" xfId="0" applyFont="1"/>
    <xf borderId="0" fillId="18" fontId="25" numFmtId="0" xfId="0" applyAlignment="1" applyFont="1">
      <alignment readingOrder="0" shrinkToFit="0" wrapText="0"/>
    </xf>
    <xf borderId="1" fillId="19" fontId="25" numFmtId="0" xfId="0" applyAlignment="1" applyBorder="1" applyFont="1">
      <alignment shrinkToFit="0" wrapText="0"/>
    </xf>
    <xf borderId="5" fillId="0" fontId="8" numFmtId="0" xfId="0" applyAlignment="1" applyBorder="1" applyFont="1">
      <alignment readingOrder="0"/>
    </xf>
    <xf borderId="1" fillId="18" fontId="11" numFmtId="0" xfId="0" applyAlignment="1" applyBorder="1" applyFont="1">
      <alignment readingOrder="0"/>
    </xf>
    <xf borderId="1" fillId="18" fontId="11" numFmtId="0" xfId="0" applyAlignment="1" applyBorder="1" applyFont="1">
      <alignment horizontal="left" readingOrder="0" shrinkToFit="0" wrapText="1"/>
    </xf>
    <xf borderId="1" fillId="0" fontId="11" numFmtId="0" xfId="0" applyAlignment="1" applyBorder="1" applyFont="1">
      <alignment readingOrder="0"/>
    </xf>
    <xf borderId="1" fillId="18" fontId="11" numFmtId="0" xfId="0" applyAlignment="1" applyBorder="1" applyFont="1">
      <alignment readingOrder="0" shrinkToFit="0" wrapText="1"/>
    </xf>
    <xf borderId="1" fillId="32" fontId="25" numFmtId="0" xfId="0" applyAlignment="1" applyBorder="1" applyFont="1">
      <alignment readingOrder="0" shrinkToFit="0" wrapText="0"/>
    </xf>
    <xf borderId="1" fillId="33" fontId="25" numFmtId="0" xfId="0" applyAlignment="1" applyBorder="1" applyFont="1">
      <alignment shrinkToFit="0" wrapText="0"/>
    </xf>
    <xf borderId="1" fillId="18" fontId="25" numFmtId="0" xfId="0" applyAlignment="1" applyBorder="1" applyFont="1">
      <alignment shrinkToFit="0" wrapText="1"/>
    </xf>
    <xf borderId="3" fillId="23" fontId="11" numFmtId="0" xfId="0" applyAlignment="1" applyBorder="1" applyFont="1">
      <alignment readingOrder="0" shrinkToFit="0" wrapText="1"/>
    </xf>
    <xf borderId="3" fillId="23" fontId="11" numFmtId="0" xfId="0" applyAlignment="1" applyBorder="1" applyFont="1">
      <alignment readingOrder="0"/>
    </xf>
    <xf borderId="1" fillId="11" fontId="60" numFmtId="0" xfId="0" applyAlignment="1" applyBorder="1" applyFont="1">
      <alignment readingOrder="0" vertical="bottom"/>
    </xf>
    <xf borderId="3" fillId="11" fontId="60" numFmtId="0" xfId="0" applyAlignment="1" applyBorder="1" applyFont="1">
      <alignment readingOrder="0" vertical="bottom"/>
    </xf>
    <xf quotePrefix="1" borderId="1" fillId="0" fontId="5" numFmtId="49" xfId="0" applyAlignment="1" applyBorder="1" applyFont="1" applyNumberFormat="1">
      <alignment horizontal="right" shrinkToFit="0" vertical="bottom" wrapText="1"/>
    </xf>
    <xf borderId="1" fillId="0" fontId="5" numFmtId="0" xfId="0" applyAlignment="1" applyBorder="1" applyFont="1">
      <alignment readingOrder="0" shrinkToFit="0" vertical="bottom" wrapText="1"/>
    </xf>
    <xf borderId="4" fillId="0" fontId="11" numFmtId="0" xfId="0" applyAlignment="1" applyBorder="1" applyFont="1">
      <alignment readingOrder="0" shrinkToFit="0" wrapText="1"/>
    </xf>
    <xf borderId="3" fillId="23" fontId="60" numFmtId="0" xfId="0" applyAlignment="1" applyBorder="1" applyFont="1">
      <alignment readingOrder="0" shrinkToFit="0" wrapText="1"/>
    </xf>
    <xf borderId="4" fillId="31" fontId="60" numFmtId="0" xfId="0" applyAlignment="1" applyBorder="1" applyFont="1">
      <alignment readingOrder="0" shrinkToFit="0" wrapText="1"/>
    </xf>
    <xf borderId="1" fillId="0" fontId="60" numFmtId="0" xfId="0" applyAlignment="1" applyBorder="1" applyFont="1">
      <alignment readingOrder="0"/>
    </xf>
    <xf borderId="1" fillId="0" fontId="60" numFmtId="0" xfId="0" applyAlignment="1" applyBorder="1" applyFont="1">
      <alignment shrinkToFit="0" wrapText="1"/>
    </xf>
    <xf borderId="1" fillId="0" fontId="60" numFmtId="0" xfId="0" applyBorder="1" applyFont="1"/>
    <xf borderId="1" fillId="0" fontId="60" numFmtId="0" xfId="0" applyAlignment="1" applyBorder="1" applyFont="1">
      <alignment horizontal="center"/>
    </xf>
    <xf borderId="1" fillId="23" fontId="14" numFmtId="0" xfId="0" applyBorder="1" applyFont="1"/>
    <xf borderId="1" fillId="31" fontId="14" numFmtId="0" xfId="0" applyBorder="1" applyFont="1"/>
    <xf borderId="0" fillId="18" fontId="25" numFmtId="0" xfId="0" applyAlignment="1" applyFont="1">
      <alignment readingOrder="0"/>
    </xf>
    <xf borderId="1" fillId="0" fontId="2" numFmtId="0" xfId="0" applyAlignment="1" applyBorder="1" applyFont="1">
      <alignment horizontal="center" shrinkToFit="0" vertical="bottom" wrapText="1"/>
    </xf>
    <xf borderId="1" fillId="0" fontId="3" numFmtId="0" xfId="0" applyAlignment="1" applyBorder="1" applyFont="1">
      <alignment shrinkToFit="0" vertical="bottom" wrapText="1"/>
    </xf>
    <xf borderId="1" fillId="19" fontId="5" numFmtId="0" xfId="0" applyAlignment="1" applyBorder="1" applyFont="1">
      <alignment shrinkToFit="0" vertical="bottom" wrapText="1"/>
    </xf>
    <xf borderId="1" fillId="19" fontId="5" numFmtId="2" xfId="0" applyAlignment="1" applyBorder="1" applyFont="1" applyNumberFormat="1">
      <alignment vertical="bottom"/>
    </xf>
    <xf borderId="1" fillId="19" fontId="5" numFmtId="2" xfId="0" applyAlignment="1" applyBorder="1" applyFont="1" applyNumberFormat="1">
      <alignment horizontal="right" vertical="bottom"/>
    </xf>
    <xf borderId="1" fillId="32" fontId="5" numFmtId="0" xfId="0" applyAlignment="1" applyBorder="1" applyFont="1">
      <alignment horizontal="right" readingOrder="0" vertical="bottom"/>
    </xf>
    <xf borderId="1" fillId="18" fontId="5" numFmtId="0" xfId="0" applyAlignment="1" applyBorder="1" applyFont="1">
      <alignment vertical="bottom"/>
    </xf>
    <xf borderId="1" fillId="2" fontId="5" numFmtId="2" xfId="0" applyAlignment="1" applyBorder="1" applyFont="1" applyNumberFormat="1">
      <alignment vertical="bottom"/>
    </xf>
    <xf borderId="1" fillId="0" fontId="73" numFmtId="2" xfId="0" applyAlignment="1" applyBorder="1" applyFont="1" applyNumberFormat="1">
      <alignment readingOrder="0" shrinkToFit="0" vertical="bottom" wrapText="1"/>
    </xf>
    <xf borderId="1" fillId="0" fontId="74" numFmtId="49" xfId="0" applyAlignment="1" applyBorder="1" applyFont="1" applyNumberFormat="1">
      <alignment readingOrder="0" shrinkToFit="0" vertical="bottom" wrapText="1"/>
    </xf>
    <xf borderId="1" fillId="0" fontId="5" numFmtId="2" xfId="0" applyAlignment="1" applyBorder="1" applyFont="1" applyNumberFormat="1">
      <alignment shrinkToFit="0" vertical="bottom" wrapText="1"/>
    </xf>
    <xf borderId="1" fillId="18" fontId="5" numFmtId="2" xfId="0" applyAlignment="1" applyBorder="1" applyFont="1" applyNumberFormat="1">
      <alignment vertical="bottom"/>
    </xf>
    <xf borderId="1" fillId="18" fontId="5" numFmtId="49" xfId="0" applyAlignment="1" applyBorder="1" applyFont="1" applyNumberFormat="1">
      <alignment vertical="bottom"/>
    </xf>
    <xf borderId="1" fillId="0" fontId="5" numFmtId="49" xfId="0" applyAlignment="1" applyBorder="1" applyFont="1" applyNumberFormat="1">
      <alignment vertical="bottom"/>
    </xf>
    <xf borderId="1" fillId="0" fontId="5" numFmtId="0" xfId="0" applyAlignment="1" applyBorder="1" applyFont="1">
      <alignment vertical="bottom"/>
    </xf>
    <xf borderId="1" fillId="2" fontId="5" numFmtId="0" xfId="0" applyAlignment="1" applyBorder="1" applyFont="1">
      <alignment vertical="bottom"/>
    </xf>
    <xf borderId="3" fillId="0" fontId="11" numFmtId="0" xfId="0" applyAlignment="1" applyBorder="1" applyFont="1">
      <alignment horizontal="center" readingOrder="0"/>
    </xf>
    <xf borderId="0" fillId="19" fontId="5" numFmtId="0" xfId="0" applyAlignment="1" applyFont="1">
      <alignment shrinkToFit="0" vertical="bottom" wrapText="1"/>
    </xf>
    <xf borderId="5" fillId="0" fontId="2" numFmtId="0" xfId="0" applyAlignment="1" applyBorder="1" applyFont="1">
      <alignment horizontal="center" shrinkToFit="0" vertical="bottom" wrapText="1"/>
    </xf>
    <xf borderId="5" fillId="0" fontId="3" numFmtId="0" xfId="0" applyAlignment="1" applyBorder="1" applyFont="1">
      <alignment shrinkToFit="0" vertical="bottom" wrapText="1"/>
    </xf>
    <xf borderId="5" fillId="20" fontId="5" numFmtId="0" xfId="0" applyAlignment="1" applyBorder="1" applyFont="1">
      <alignment shrinkToFit="0" vertical="bottom" wrapText="1"/>
    </xf>
    <xf borderId="5" fillId="19" fontId="5" numFmtId="0" xfId="0" applyAlignment="1" applyBorder="1" applyFont="1">
      <alignment shrinkToFit="0" vertical="bottom" wrapText="1"/>
    </xf>
    <xf borderId="5" fillId="20" fontId="5" numFmtId="0" xfId="0" applyAlignment="1" applyBorder="1" applyFont="1">
      <alignment vertical="bottom"/>
    </xf>
    <xf borderId="5" fillId="19" fontId="5" numFmtId="0" xfId="0" applyAlignment="1" applyBorder="1" applyFont="1">
      <alignment vertical="bottom"/>
    </xf>
    <xf borderId="5" fillId="19" fontId="5" numFmtId="2" xfId="0" applyAlignment="1" applyBorder="1" applyFont="1" applyNumberFormat="1">
      <alignment vertical="bottom"/>
    </xf>
    <xf borderId="5" fillId="19" fontId="5" numFmtId="2" xfId="0" applyAlignment="1" applyBorder="1" applyFont="1" applyNumberFormat="1">
      <alignment horizontal="right" vertical="bottom"/>
    </xf>
    <xf borderId="5" fillId="19" fontId="5" numFmtId="0" xfId="0" applyAlignment="1" applyBorder="1" applyFont="1">
      <alignment horizontal="right" vertical="bottom"/>
    </xf>
    <xf borderId="5" fillId="2" fontId="5" numFmtId="2" xfId="0" applyAlignment="1" applyBorder="1" applyFont="1" applyNumberFormat="1">
      <alignment vertical="bottom"/>
    </xf>
    <xf borderId="5" fillId="0" fontId="75" numFmtId="2" xfId="0" applyAlignment="1" applyBorder="1" applyFont="1" applyNumberFormat="1">
      <alignment readingOrder="0" shrinkToFit="0" vertical="bottom" wrapText="1"/>
    </xf>
    <xf borderId="5" fillId="0" fontId="76" numFmtId="49" xfId="0" applyAlignment="1" applyBorder="1" applyFont="1" applyNumberFormat="1">
      <alignment readingOrder="0" shrinkToFit="0" vertical="bottom" wrapText="1"/>
    </xf>
    <xf quotePrefix="1" borderId="5" fillId="0" fontId="5" numFmtId="49" xfId="0" applyAlignment="1" applyBorder="1" applyFont="1" applyNumberFormat="1">
      <alignment horizontal="right" shrinkToFit="0" vertical="bottom" wrapText="1"/>
    </xf>
    <xf borderId="5" fillId="0" fontId="5" numFmtId="0" xfId="0" applyAlignment="1" applyBorder="1" applyFont="1">
      <alignment shrinkToFit="0" vertical="bottom" wrapText="1"/>
    </xf>
    <xf borderId="5" fillId="0" fontId="5" numFmtId="2" xfId="0" applyAlignment="1" applyBorder="1" applyFont="1" applyNumberFormat="1">
      <alignment shrinkToFit="0" vertical="bottom" wrapText="1"/>
    </xf>
    <xf borderId="5" fillId="2" fontId="5" numFmtId="49" xfId="0" applyAlignment="1" applyBorder="1" applyFont="1" applyNumberFormat="1">
      <alignment vertical="bottom"/>
    </xf>
    <xf borderId="5" fillId="0" fontId="5" numFmtId="49" xfId="0" applyAlignment="1" applyBorder="1" applyFont="1" applyNumberFormat="1">
      <alignment vertical="bottom"/>
    </xf>
    <xf borderId="5" fillId="0" fontId="5" numFmtId="0" xfId="0" applyAlignment="1" applyBorder="1" applyFont="1">
      <alignment vertical="bottom"/>
    </xf>
    <xf borderId="5" fillId="2" fontId="5" numFmtId="0" xfId="0" applyAlignment="1" applyBorder="1" applyFont="1">
      <alignment vertical="bottom"/>
    </xf>
    <xf borderId="5" fillId="27" fontId="5" numFmtId="0" xfId="0" applyAlignment="1" applyBorder="1" applyFont="1">
      <alignment horizontal="center" vertical="bottom"/>
    </xf>
    <xf borderId="1" fillId="23" fontId="5" numFmtId="0" xfId="0" applyAlignment="1" applyBorder="1" applyFont="1">
      <alignment vertical="bottom"/>
    </xf>
    <xf borderId="1" fillId="2" fontId="77" numFmtId="0" xfId="0" applyAlignment="1" applyBorder="1" applyFont="1">
      <alignment readingOrder="0" shrinkToFit="0" vertical="bottom" wrapText="1"/>
    </xf>
    <xf borderId="1" fillId="2" fontId="78" numFmtId="49" xfId="0" applyAlignment="1" applyBorder="1" applyFont="1" applyNumberFormat="1">
      <alignment readingOrder="0" shrinkToFit="0" vertical="bottom" wrapText="1"/>
    </xf>
    <xf borderId="1" fillId="0" fontId="5" numFmtId="0" xfId="0" applyAlignment="1" applyBorder="1" applyFont="1">
      <alignment shrinkToFit="0" vertical="bottom" wrapText="1"/>
    </xf>
    <xf borderId="1" fillId="18" fontId="14" numFmtId="0" xfId="0" applyAlignment="1" applyBorder="1" applyFont="1">
      <alignment shrinkToFit="0" vertical="bottom" wrapText="1"/>
    </xf>
    <xf borderId="1" fillId="18" fontId="14" numFmtId="49" xfId="0" applyAlignment="1" applyBorder="1" applyFont="1" applyNumberFormat="1">
      <alignment shrinkToFit="0" vertical="bottom" wrapText="1"/>
    </xf>
    <xf borderId="1" fillId="0" fontId="14" numFmtId="49" xfId="0" applyAlignment="1" applyBorder="1" applyFont="1" applyNumberFormat="1">
      <alignment vertical="bottom"/>
    </xf>
    <xf borderId="1" fillId="0" fontId="5" numFmtId="0" xfId="0" applyAlignment="1" applyBorder="1" applyFont="1">
      <alignment vertical="bottom"/>
    </xf>
    <xf borderId="3" fillId="0" fontId="11" numFmtId="0" xfId="0" applyAlignment="1" applyBorder="1" applyFont="1">
      <alignment horizontal="center"/>
    </xf>
    <xf borderId="1" fillId="2" fontId="79" numFmtId="0" xfId="0" applyAlignment="1" applyBorder="1" applyFont="1">
      <alignment readingOrder="0" shrinkToFit="0" vertical="bottom" wrapText="1"/>
    </xf>
    <xf borderId="1" fillId="2" fontId="80" numFmtId="49" xfId="0" applyAlignment="1" applyBorder="1" applyFont="1" applyNumberFormat="1">
      <alignment readingOrder="0" shrinkToFit="0" vertical="bottom" wrapText="1"/>
    </xf>
    <xf quotePrefix="1" borderId="1" fillId="0" fontId="5" numFmtId="49" xfId="0" applyAlignment="1" applyBorder="1" applyFont="1" applyNumberFormat="1">
      <alignment shrinkToFit="0" vertical="bottom" wrapText="1"/>
    </xf>
    <xf borderId="5" fillId="0" fontId="2" numFmtId="0" xfId="0" applyAlignment="1" applyBorder="1" applyFont="1">
      <alignment horizontal="center" shrinkToFit="0" vertical="bottom" wrapText="0"/>
    </xf>
    <xf borderId="5" fillId="0" fontId="3" numFmtId="0" xfId="0" applyAlignment="1" applyBorder="1" applyFont="1">
      <alignment shrinkToFit="0" vertical="bottom" wrapText="0"/>
    </xf>
    <xf borderId="5" fillId="19" fontId="5" numFmtId="0" xfId="0" applyAlignment="1" applyBorder="1" applyFont="1">
      <alignment horizontal="right" shrinkToFit="0" vertical="bottom" wrapText="0"/>
    </xf>
    <xf borderId="5" fillId="23" fontId="5" numFmtId="0" xfId="0" applyAlignment="1" applyBorder="1" applyFont="1">
      <alignment shrinkToFit="0" vertical="bottom" wrapText="0"/>
    </xf>
    <xf borderId="5" fillId="2" fontId="81" numFmtId="0" xfId="0" applyAlignment="1" applyBorder="1" applyFont="1">
      <alignment readingOrder="0" shrinkToFit="0" vertical="bottom" wrapText="0"/>
    </xf>
    <xf borderId="5" fillId="2" fontId="82" numFmtId="49" xfId="0" applyAlignment="1" applyBorder="1" applyFont="1" applyNumberFormat="1">
      <alignment readingOrder="0" shrinkToFit="0" vertical="bottom" wrapText="0"/>
    </xf>
    <xf quotePrefix="1" borderId="5" fillId="2" fontId="5" numFmtId="49" xfId="0" applyAlignment="1" applyBorder="1" applyFont="1" applyNumberFormat="1">
      <alignment shrinkToFit="0" vertical="bottom" wrapText="0"/>
    </xf>
    <xf quotePrefix="1" borderId="1" fillId="0" fontId="5" numFmtId="49" xfId="0" applyAlignment="1" applyBorder="1" applyFont="1" applyNumberFormat="1">
      <alignment horizontal="right" shrinkToFit="0" vertical="bottom" wrapText="0"/>
    </xf>
    <xf borderId="1" fillId="0" fontId="14" numFmtId="49" xfId="0" applyAlignment="1" applyBorder="1" applyFont="1" applyNumberFormat="1">
      <alignment shrinkToFit="0" vertical="bottom" wrapText="1"/>
    </xf>
    <xf borderId="1" fillId="18" fontId="5" numFmtId="0" xfId="0" applyAlignment="1" applyBorder="1" applyFont="1">
      <alignment shrinkToFit="0" vertical="bottom" wrapText="1"/>
    </xf>
    <xf quotePrefix="1" borderId="0" fillId="0" fontId="25" numFmtId="0" xfId="0" applyFont="1"/>
    <xf borderId="1" fillId="0" fontId="5" numFmtId="49" xfId="0" applyAlignment="1" applyBorder="1" applyFont="1" applyNumberFormat="1">
      <alignment horizontal="right" shrinkToFit="0" vertical="bottom" wrapText="0"/>
    </xf>
    <xf borderId="1" fillId="0" fontId="5" numFmtId="49" xfId="0" applyAlignment="1" applyBorder="1" applyFont="1" applyNumberFormat="1">
      <alignment shrinkToFit="0" vertical="bottom" wrapText="1"/>
    </xf>
    <xf borderId="5" fillId="2" fontId="3" numFmtId="0" xfId="0" applyAlignment="1" applyBorder="1" applyFont="1">
      <alignment shrinkToFit="0" vertical="bottom" wrapText="0"/>
    </xf>
    <xf borderId="5" fillId="0" fontId="83" numFmtId="0" xfId="0" applyAlignment="1" applyBorder="1" applyFont="1">
      <alignment readingOrder="0" shrinkToFit="0" vertical="bottom" wrapText="0"/>
    </xf>
    <xf borderId="5" fillId="0" fontId="84" numFmtId="49" xfId="0" applyAlignment="1" applyBorder="1" applyFont="1" applyNumberFormat="1">
      <alignment readingOrder="0" shrinkToFit="0" vertical="bottom" wrapText="0"/>
    </xf>
    <xf borderId="5" fillId="0" fontId="5" numFmtId="49" xfId="0" applyAlignment="1" applyBorder="1" applyFont="1" applyNumberFormat="1">
      <alignment horizontal="right" shrinkToFit="0" vertical="bottom" wrapText="0"/>
    </xf>
    <xf borderId="5" fillId="0" fontId="5" numFmtId="49" xfId="0" applyAlignment="1" applyBorder="1" applyFont="1" applyNumberFormat="1">
      <alignment shrinkToFit="0" vertical="bottom" wrapText="1"/>
    </xf>
    <xf borderId="0" fillId="18" fontId="25" numFmtId="0" xfId="0" applyFont="1"/>
    <xf borderId="1" fillId="2" fontId="5" numFmtId="0" xfId="0" applyAlignment="1" applyBorder="1" applyFont="1">
      <alignment shrinkToFit="0" vertical="bottom" wrapText="1"/>
    </xf>
    <xf borderId="1" fillId="0" fontId="60" numFmtId="2" xfId="0" applyAlignment="1" applyBorder="1" applyFont="1" applyNumberFormat="1">
      <alignment readingOrder="0" shrinkToFit="0" vertical="bottom" wrapText="0"/>
    </xf>
    <xf borderId="1" fillId="0" fontId="5" numFmtId="0" xfId="0" applyAlignment="1" applyBorder="1" applyFont="1">
      <alignment horizontal="center" shrinkToFit="0" wrapText="0"/>
    </xf>
    <xf borderId="1" fillId="2" fontId="85" numFmtId="0" xfId="0" applyAlignment="1" applyBorder="1" applyFont="1">
      <alignment readingOrder="0" shrinkToFit="0" vertical="bottom" wrapText="0"/>
    </xf>
    <xf borderId="1" fillId="0" fontId="5" numFmtId="49" xfId="0" applyAlignment="1" applyBorder="1" applyFont="1" applyNumberFormat="1">
      <alignment readingOrder="0" shrinkToFit="0" vertical="bottom" wrapText="1"/>
    </xf>
    <xf borderId="1" fillId="8" fontId="5" numFmtId="49" xfId="0" applyAlignment="1" applyBorder="1" applyFont="1" applyNumberFormat="1">
      <alignment horizontal="center" shrinkToFit="0" vertical="bottom" wrapText="1"/>
    </xf>
    <xf borderId="1" fillId="0" fontId="86" numFmtId="2" xfId="0" applyAlignment="1" applyBorder="1" applyFont="1" applyNumberFormat="1">
      <alignment readingOrder="0" shrinkToFit="0" vertical="bottom" wrapText="0"/>
    </xf>
    <xf borderId="1" fillId="2" fontId="87" numFmtId="0" xfId="0" applyAlignment="1" applyBorder="1" applyFont="1">
      <alignment readingOrder="0" shrinkToFit="0" vertical="bottom" wrapText="0"/>
    </xf>
    <xf borderId="1" fillId="19" fontId="5" numFmtId="0" xfId="0" applyAlignment="1" applyBorder="1" applyFont="1">
      <alignment horizontal="right" shrinkToFit="0" vertical="bottom" wrapText="0"/>
    </xf>
    <xf borderId="1" fillId="2" fontId="88" numFmtId="0" xfId="0" applyAlignment="1" applyBorder="1" applyFont="1">
      <alignment shrinkToFit="0" vertical="bottom" wrapText="0"/>
    </xf>
    <xf borderId="1" fillId="2" fontId="89" numFmtId="49" xfId="0" applyAlignment="1" applyBorder="1" applyFont="1" applyNumberFormat="1">
      <alignment shrinkToFit="0" vertical="bottom" wrapText="0"/>
    </xf>
    <xf borderId="1" fillId="2" fontId="14" numFmtId="0" xfId="0" applyAlignment="1" applyBorder="1" applyFont="1">
      <alignment shrinkToFit="0" vertical="bottom" wrapText="0"/>
    </xf>
    <xf borderId="1" fillId="2" fontId="14" numFmtId="49" xfId="0" applyAlignment="1" applyBorder="1" applyFont="1" applyNumberFormat="1">
      <alignment shrinkToFit="0" vertical="bottom" wrapText="0"/>
    </xf>
    <xf borderId="3" fillId="0" fontId="5" numFmtId="0" xfId="0" applyAlignment="1" applyBorder="1" applyFont="1">
      <alignment vertical="bottom"/>
    </xf>
    <xf borderId="0" fillId="0" fontId="90" numFmtId="0" xfId="0" applyAlignment="1" applyFont="1">
      <alignment readingOrder="0" shrinkToFit="0" vertical="bottom" wrapText="0"/>
    </xf>
    <xf borderId="0" fillId="0" fontId="91" numFmtId="49" xfId="0" applyAlignment="1" applyFont="1" applyNumberFormat="1">
      <alignment readingOrder="0" shrinkToFit="0" vertical="bottom" wrapText="0"/>
    </xf>
    <xf borderId="0" fillId="0" fontId="5" numFmtId="49" xfId="0" applyAlignment="1" applyFont="1" applyNumberFormat="1">
      <alignment shrinkToFit="0" vertical="bottom" wrapText="1"/>
    </xf>
    <xf borderId="5" fillId="0" fontId="5" numFmtId="49" xfId="0" applyAlignment="1" applyBorder="1" applyFont="1" applyNumberFormat="1">
      <alignment readingOrder="0" shrinkToFit="0" vertical="bottom" wrapText="1"/>
    </xf>
    <xf borderId="5" fillId="2" fontId="5" numFmtId="0" xfId="0" applyAlignment="1" applyBorder="1" applyFont="1">
      <alignment shrinkToFit="0" vertical="bottom" wrapText="1"/>
    </xf>
    <xf borderId="1" fillId="0" fontId="5" numFmtId="0" xfId="0" applyAlignment="1" applyBorder="1" applyFont="1">
      <alignment readingOrder="0" shrinkToFit="0" wrapText="0"/>
    </xf>
    <xf borderId="1" fillId="7" fontId="3" numFmtId="0" xfId="0" applyAlignment="1" applyBorder="1" applyFont="1">
      <alignment horizontal="center" readingOrder="0" shrinkToFit="0" vertical="bottom" wrapText="1"/>
    </xf>
    <xf borderId="5" fillId="2" fontId="11" numFmtId="49" xfId="0" applyAlignment="1" applyBorder="1" applyFont="1" applyNumberFormat="1">
      <alignment readingOrder="0" vertical="bottom"/>
    </xf>
    <xf borderId="1" fillId="0" fontId="60" numFmtId="49" xfId="0" applyAlignment="1" applyBorder="1" applyFont="1" applyNumberFormat="1">
      <alignment readingOrder="0" shrinkToFit="0" vertical="bottom" wrapText="0"/>
    </xf>
    <xf borderId="5" fillId="0" fontId="14" numFmtId="49" xfId="0" applyAlignment="1" applyBorder="1" applyFont="1" applyNumberFormat="1">
      <alignment vertical="bottom"/>
    </xf>
  </cellXfs>
  <cellStyles count="1">
    <cellStyle xfId="0" name="Normal" builtinId="0"/>
  </cellStyles>
  <dxfs count="9">
    <dxf>
      <font>
        <color rgb="FF000000"/>
      </font>
      <fill>
        <patternFill patternType="solid">
          <fgColor rgb="FFFF99FF"/>
          <bgColor rgb="FFFF99FF"/>
        </patternFill>
      </fill>
      <border/>
    </dxf>
    <dxf>
      <font>
        <color rgb="FF000000"/>
      </font>
      <fill>
        <patternFill patternType="solid">
          <fgColor theme="6"/>
          <bgColor theme="6"/>
        </patternFill>
      </fill>
      <border/>
    </dxf>
    <dxf>
      <font/>
      <fill>
        <patternFill patternType="solid">
          <fgColor rgb="FFFFC000"/>
          <bgColor rgb="FFFFC000"/>
        </patternFill>
      </fill>
      <border/>
    </dxf>
    <dxf>
      <font/>
      <fill>
        <patternFill patternType="solid">
          <fgColor rgb="FFD9EAD3"/>
          <bgColor rgb="FFD9EAD3"/>
        </patternFill>
      </fill>
      <border/>
    </dxf>
    <dxf>
      <font/>
      <fill>
        <patternFill patternType="solid">
          <fgColor rgb="FFE2EFDA"/>
          <bgColor rgb="FFE2EFDA"/>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F99FF"/>
          <bgColor rgb="FFFF99FF"/>
        </patternFill>
      </fill>
      <border/>
    </dxf>
    <dxf>
      <font/>
      <fill>
        <patternFill patternType="solid">
          <fgColor theme="6"/>
          <bgColor theme="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katalogsp.sk/lubivka-s-r-o/" TargetMode="External"/><Relationship Id="rId194" Type="http://schemas.openxmlformats.org/officeDocument/2006/relationships/hyperlink" Target="https://katalogsp.sk/darcekovo-erika-s-r-o/" TargetMode="External"/><Relationship Id="rId193" Type="http://schemas.openxmlformats.org/officeDocument/2006/relationships/hyperlink" Target="https://katalogsp.sk/wp-content/uploads/2021/12/darcekovo-erika-logo-1.png" TargetMode="External"/><Relationship Id="rId192" Type="http://schemas.openxmlformats.org/officeDocument/2006/relationships/hyperlink" Target="https://katalogsp.sk/bobgrass-s-r-o/" TargetMode="External"/><Relationship Id="rId191" Type="http://schemas.openxmlformats.org/officeDocument/2006/relationships/hyperlink" Target="https://katalogsp.sk/wp-content/uploads/2021/12/Bobgass-4.jpg" TargetMode="External"/><Relationship Id="rId187" Type="http://schemas.openxmlformats.org/officeDocument/2006/relationships/hyperlink" Target="https://katalogsp.sk/wp-content/uploads/2021/12/OZ-Integrujeme-main1.jpg" TargetMode="External"/><Relationship Id="rId186" Type="http://schemas.openxmlformats.org/officeDocument/2006/relationships/hyperlink" Target="https://katalogsp.sk/bariak-s-r-o/" TargetMode="External"/><Relationship Id="rId185" Type="http://schemas.openxmlformats.org/officeDocument/2006/relationships/hyperlink" Target="https://katalogsp.sk/wp-content/uploads/2021/12/Bariak-2.jpg" TargetMode="External"/><Relationship Id="rId184" Type="http://schemas.openxmlformats.org/officeDocument/2006/relationships/hyperlink" Target="https://katalogsp.sk/allegria-kosice-isp-s-r-o/" TargetMode="External"/><Relationship Id="rId189" Type="http://schemas.openxmlformats.org/officeDocument/2006/relationships/hyperlink" Target="https://katalogsp.sk/wp-content/uploads/2021/12/Lubivka-main2.jpg" TargetMode="External"/><Relationship Id="rId188" Type="http://schemas.openxmlformats.org/officeDocument/2006/relationships/hyperlink" Target="https://katalogsp.sk/obcianske-zdruzenie-integrujeme/" TargetMode="External"/><Relationship Id="rId183" Type="http://schemas.openxmlformats.org/officeDocument/2006/relationships/hyperlink" Target="https://katalogsp.sk/wp-content/uploads/2021/12/Allegria-3.jpg" TargetMode="External"/><Relationship Id="rId182" Type="http://schemas.openxmlformats.org/officeDocument/2006/relationships/hyperlink" Target="https://katalogsp.sk/o-z-detske-dopravne-ihrisko-sobrance/" TargetMode="External"/><Relationship Id="rId181" Type="http://schemas.openxmlformats.org/officeDocument/2006/relationships/hyperlink" Target="https://katalogsp.sk/wp-content/uploads/2022/01/Detske-dopravne-ihrisko-Sobrance-main.jpg" TargetMode="External"/><Relationship Id="rId180" Type="http://schemas.openxmlformats.org/officeDocument/2006/relationships/hyperlink" Target="https://katalogsp.sk/cernan-s-r-o/" TargetMode="External"/><Relationship Id="rId176" Type="http://schemas.openxmlformats.org/officeDocument/2006/relationships/hyperlink" Target="https://katalogsp.sk/obecne-sluzby-domanovce-s-r-o-r-s-p/" TargetMode="External"/><Relationship Id="rId297" Type="http://schemas.openxmlformats.org/officeDocument/2006/relationships/hyperlink" Target="https://katalogsp.sk/zedko-s-r-o/" TargetMode="External"/><Relationship Id="rId175" Type="http://schemas.openxmlformats.org/officeDocument/2006/relationships/hyperlink" Target="https://katalogsp.sk/wp-content/uploads/2022/01/ekatalog_podnikanie-so-srdcomRSP.jpg" TargetMode="External"/><Relationship Id="rId296" Type="http://schemas.openxmlformats.org/officeDocument/2006/relationships/hyperlink" Target="https://katalogsp.sk/wp-content/uploads/2021/12/ZEDKO-s.r.o.-logo1-E-katalog-RSP.jpg" TargetMode="External"/><Relationship Id="rId174" Type="http://schemas.openxmlformats.org/officeDocument/2006/relationships/hyperlink" Target="https://katalogsp.sk/abalstav-spol-s-r-o/" TargetMode="External"/><Relationship Id="rId295" Type="http://schemas.openxmlformats.org/officeDocument/2006/relationships/hyperlink" Target="https://katalogsp.sk/komunitne-centrum-kompas/" TargetMode="External"/><Relationship Id="rId173" Type="http://schemas.openxmlformats.org/officeDocument/2006/relationships/hyperlink" Target="https://katalogsp.sk/wp-content/uploads/2022/01/ekatalog_podnikanie-so-srdcomRSP.jpg" TargetMode="External"/><Relationship Id="rId294" Type="http://schemas.openxmlformats.org/officeDocument/2006/relationships/hyperlink" Target="https://katalogsp.sk/wp-content/uploads/2021/12/Komunitne-centrum-Kompas-logo1-E-katalog-RSP.jpg" TargetMode="External"/><Relationship Id="rId179" Type="http://schemas.openxmlformats.org/officeDocument/2006/relationships/hyperlink" Target="https://katalogsp.sk/wp-content/uploads/2022/01/ekatalog_podnikanie-so-srdcomRSP.jpg" TargetMode="External"/><Relationship Id="rId178" Type="http://schemas.openxmlformats.org/officeDocument/2006/relationships/hyperlink" Target="https://katalogsp.sk/rozkvitnes-s-r-o/" TargetMode="External"/><Relationship Id="rId299" Type="http://schemas.openxmlformats.org/officeDocument/2006/relationships/hyperlink" Target="https://katalogsp.sk/obecne-sluzby-rybnik-s-r-o/" TargetMode="External"/><Relationship Id="rId177" Type="http://schemas.openxmlformats.org/officeDocument/2006/relationships/hyperlink" Target="https://katalogsp.sk/wp-content/uploads/2021/12/Rozkvitnes-5.jpg" TargetMode="External"/><Relationship Id="rId298" Type="http://schemas.openxmlformats.org/officeDocument/2006/relationships/hyperlink" Target="https://katalogsp.sk/wp-content/uploads/2021/12/Obecne-sluzby-Rybnik-s.r.o.-banner1-E-katalog-RSP.jpg" TargetMode="External"/><Relationship Id="rId198" Type="http://schemas.openxmlformats.org/officeDocument/2006/relationships/hyperlink" Target="https://katalogsp.sk/c-b-one-s-r-o/" TargetMode="External"/><Relationship Id="rId197" Type="http://schemas.openxmlformats.org/officeDocument/2006/relationships/hyperlink" Target="https://katalogsp.sk/wp-content/uploads/2022/01/ekatalog_podnikanie-so-srdcomRSP.jpg" TargetMode="External"/><Relationship Id="rId196" Type="http://schemas.openxmlformats.org/officeDocument/2006/relationships/hyperlink" Target="https://katalogsp.sk/ihla-s-r-o-registrovany-socialny-podnik/" TargetMode="External"/><Relationship Id="rId195" Type="http://schemas.openxmlformats.org/officeDocument/2006/relationships/hyperlink" Target="https://katalogsp.sk/wp-content/uploads/2022/01/ekatalog_podnikanie-so-srdcomRSP.jpg" TargetMode="External"/><Relationship Id="rId199" Type="http://schemas.openxmlformats.org/officeDocument/2006/relationships/hyperlink" Target="https://katalogsp.sk/wp-content/uploads/2022/01/ekatalog_podnikanie-so-srdcomRSP.jpg" TargetMode="External"/><Relationship Id="rId150" Type="http://schemas.openxmlformats.org/officeDocument/2006/relationships/hyperlink" Target="https://katalogsp.sk/peter-vernicek/" TargetMode="External"/><Relationship Id="rId271" Type="http://schemas.openxmlformats.org/officeDocument/2006/relationships/hyperlink" Target="https://katalogsp.sk/zzpobo-s-r-o/" TargetMode="External"/><Relationship Id="rId392" Type="http://schemas.openxmlformats.org/officeDocument/2006/relationships/hyperlink" Target="https://katalogsp.sk/wp-content/uploads/2022/01/Podnik-medzitrhu-prace-banner-4-E-katalogRSP.jpg" TargetMode="External"/><Relationship Id="rId270" Type="http://schemas.openxmlformats.org/officeDocument/2006/relationships/hyperlink" Target="https://katalogsp.sk/wp-content/uploads/2021/12/ZZPOBO-Praca-pri-pasovom-dopravniku3.jpg" TargetMode="External"/><Relationship Id="rId391" Type="http://schemas.openxmlformats.org/officeDocument/2006/relationships/hyperlink" Target="https://katalogsp.sk/villa-ursi-s-r-o/" TargetMode="External"/><Relationship Id="rId390" Type="http://schemas.openxmlformats.org/officeDocument/2006/relationships/hyperlink" Target="https://katalogsp.sk/wp-content/uploads/2022/01/ekatalog_podnikanie-so-srdcomRSP.jpg" TargetMode="External"/><Relationship Id="rId1" Type="http://schemas.openxmlformats.org/officeDocument/2006/relationships/hyperlink" Target="https://katalogsp.gov.sk/wp-content/uploads/2021/12/Pomahaj-a-chran-banner1-E-katalog-RSP.jpg" TargetMode="External"/><Relationship Id="rId2" Type="http://schemas.openxmlformats.org/officeDocument/2006/relationships/hyperlink" Target="https://katalogsp.sk/pomahaj-a-chran-obcianske-zdruzenie/" TargetMode="External"/><Relationship Id="rId3" Type="http://schemas.openxmlformats.org/officeDocument/2006/relationships/hyperlink" Target="https://katalogsp.sk/wp-content/uploads/2022/06/KRASPLAST-3-KatalogSP.jpg" TargetMode="External"/><Relationship Id="rId149" Type="http://schemas.openxmlformats.org/officeDocument/2006/relationships/hyperlink" Target="https://katalogsp.sk/wp-content/uploads/2022/01/ekatalog_podnikanie-so-srdcomRSP.jpg" TargetMode="External"/><Relationship Id="rId4" Type="http://schemas.openxmlformats.org/officeDocument/2006/relationships/hyperlink" Target="https://katalogsp.sk/krasplast-spol-s-r-o/" TargetMode="External"/><Relationship Id="rId148" Type="http://schemas.openxmlformats.org/officeDocument/2006/relationships/hyperlink" Target="https://katalogsp.sk/mayo-tech-s-r-o/" TargetMode="External"/><Relationship Id="rId269" Type="http://schemas.openxmlformats.org/officeDocument/2006/relationships/hyperlink" Target="https://katalogsp.sk/pekaren-u-boriakov-s-r-o/" TargetMode="External"/><Relationship Id="rId9" Type="http://schemas.openxmlformats.org/officeDocument/2006/relationships/hyperlink" Target="https://katalogsp.sk/wp-content/uploads/2022/01/ekatalog_podnikanie-so-srdcomRSP.jpg" TargetMode="External"/><Relationship Id="rId143" Type="http://schemas.openxmlformats.org/officeDocument/2006/relationships/hyperlink" Target="https://katalogsp.sk/wp-content/uploads/2021/12/Bellus-Labor-logo1-E-katalog-RSP.jpg" TargetMode="External"/><Relationship Id="rId264" Type="http://schemas.openxmlformats.org/officeDocument/2006/relationships/hyperlink" Target="https://katalogsp.sk/wp-content/uploads/2021/12/VPP-Stara-Lubovna-2.jpg" TargetMode="External"/><Relationship Id="rId385" Type="http://schemas.openxmlformats.org/officeDocument/2006/relationships/hyperlink" Target="https://katalogsp.sk/advisona-s-r-o/" TargetMode="External"/><Relationship Id="rId142" Type="http://schemas.openxmlformats.org/officeDocument/2006/relationships/hyperlink" Target="https://katalogsp.sk/selcianske-s-r-o/" TargetMode="External"/><Relationship Id="rId263" Type="http://schemas.openxmlformats.org/officeDocument/2006/relationships/hyperlink" Target="https://katalogsp.sk/rejdovka-s-r-o/" TargetMode="External"/><Relationship Id="rId384" Type="http://schemas.openxmlformats.org/officeDocument/2006/relationships/hyperlink" Target="https://katalogsp.sk/wp-content/uploads/2022/01/Advisona-E-katalogRSP-banner-1.jpg" TargetMode="External"/><Relationship Id="rId141" Type="http://schemas.openxmlformats.org/officeDocument/2006/relationships/hyperlink" Target="https://katalogsp.sk/wp-content/uploads/2022/01/ekatalog_podnikanie-so-srdcomRSP.jpg" TargetMode="External"/><Relationship Id="rId262" Type="http://schemas.openxmlformats.org/officeDocument/2006/relationships/hyperlink" Target="https://katalogsp.sk/wp-content/uploads/2021/12/Rejdovka-main1.jpg" TargetMode="External"/><Relationship Id="rId383" Type="http://schemas.openxmlformats.org/officeDocument/2006/relationships/hyperlink" Target="https://katalogsp.sk/obcianske-zdruzenie-sv-rafaela/" TargetMode="External"/><Relationship Id="rId140" Type="http://schemas.openxmlformats.org/officeDocument/2006/relationships/hyperlink" Target="https://katalogsp.sk/obecny-socialny-podnik-kendy-s-r-o-r-s-p/" TargetMode="External"/><Relationship Id="rId261" Type="http://schemas.openxmlformats.org/officeDocument/2006/relationships/hyperlink" Target="https://katalogsp.sk/batovske-sluzby-s-r-o/" TargetMode="External"/><Relationship Id="rId382" Type="http://schemas.openxmlformats.org/officeDocument/2006/relationships/hyperlink" Target="https://katalogsp.sk/wp-content/uploads/2022/01/RSP-2-Rafael-Ubytovanie-E-katalogRSP.jpg" TargetMode="External"/><Relationship Id="rId5" Type="http://schemas.openxmlformats.org/officeDocument/2006/relationships/hyperlink" Target="https://katalogsp.sk/wp-content/uploads/2022/01/ekatalog_podnikanie-so-srdcomRSP.jpg" TargetMode="External"/><Relationship Id="rId147" Type="http://schemas.openxmlformats.org/officeDocument/2006/relationships/hyperlink" Target="https://katalogsp.sk/wp-content/uploads/2021/12/Mayo-tech-logo1-E-katalog-RSP.jpg" TargetMode="External"/><Relationship Id="rId268" Type="http://schemas.openxmlformats.org/officeDocument/2006/relationships/hyperlink" Target="https://katalogsp.sk/wp-content/uploads/2022/01/ekatalog_podnikanie-so-srdcomRSP.jpg" TargetMode="External"/><Relationship Id="rId389" Type="http://schemas.openxmlformats.org/officeDocument/2006/relationships/hyperlink" Target="https://katalogsp.sk/strane-invest-rsp-s-r-o/" TargetMode="External"/><Relationship Id="rId6" Type="http://schemas.openxmlformats.org/officeDocument/2006/relationships/hyperlink" Target="https://katalogsp.sk/cncteam-s-r-o/" TargetMode="External"/><Relationship Id="rId146" Type="http://schemas.openxmlformats.org/officeDocument/2006/relationships/hyperlink" Target="https://katalogsp.sk/obecne-sluzby-kocurany-s-r-o/" TargetMode="External"/><Relationship Id="rId267" Type="http://schemas.openxmlformats.org/officeDocument/2006/relationships/hyperlink" Target="https://katalogsp.sk/alfageo-s-r-o/" TargetMode="External"/><Relationship Id="rId388" Type="http://schemas.openxmlformats.org/officeDocument/2006/relationships/hyperlink" Target="https://katalogsp.sk/wp-content/uploads/2022/01/ekatalog_podnikanie-so-srdcomRSP.jpg" TargetMode="External"/><Relationship Id="rId7" Type="http://schemas.openxmlformats.org/officeDocument/2006/relationships/hyperlink" Target="https://katalogsp.sk/wp-content/uploads/2021/12/LP-logo1-E-katalog-RSP.jpg" TargetMode="External"/><Relationship Id="rId145" Type="http://schemas.openxmlformats.org/officeDocument/2006/relationships/hyperlink" Target="https://katalogsp.sk/wp-content/uploads/2022/01/ekatalog_podnikanie-so-srdcomRSP.jpg" TargetMode="External"/><Relationship Id="rId266" Type="http://schemas.openxmlformats.org/officeDocument/2006/relationships/hyperlink" Target="https://katalogsp.sk/wp-content/uploads/2022/01/ekatalog_podnikanie-so-srdcomRSP.jpg" TargetMode="External"/><Relationship Id="rId387" Type="http://schemas.openxmlformats.org/officeDocument/2006/relationships/hyperlink" Target="https://katalogsp.sk/cernik-servis-s-r-o/" TargetMode="External"/><Relationship Id="rId8" Type="http://schemas.openxmlformats.org/officeDocument/2006/relationships/hyperlink" Target="https://katalogsp.sk/law-political-science-agency-s-r-o-r-s-p-skratka-lp-s-r-o-r-s-p/" TargetMode="External"/><Relationship Id="rId144" Type="http://schemas.openxmlformats.org/officeDocument/2006/relationships/hyperlink" Target="https://katalogsp.sk/bellus-labor-o-z/" TargetMode="External"/><Relationship Id="rId265" Type="http://schemas.openxmlformats.org/officeDocument/2006/relationships/hyperlink" Target="https://katalogsp.sk/verejnoprospesne-sluzby-stara-lubovna-s-r-o/" TargetMode="External"/><Relationship Id="rId386" Type="http://schemas.openxmlformats.org/officeDocument/2006/relationships/hyperlink" Target="https://katalogsp.sk/wp-content/uploads/2022/01/ekatalog_podnikanie-so-srdcomRSP.jpg" TargetMode="External"/><Relationship Id="rId260" Type="http://schemas.openxmlformats.org/officeDocument/2006/relationships/hyperlink" Target="https://katalogsp.sk/wp-content/uploads/2022/01/ekatalog_podnikanie-so-srdcomRSP.jpg" TargetMode="External"/><Relationship Id="rId381" Type="http://schemas.openxmlformats.org/officeDocument/2006/relationships/hyperlink" Target="https://katalogsp.sk/atasof-s-r-o/" TargetMode="External"/><Relationship Id="rId380" Type="http://schemas.openxmlformats.org/officeDocument/2006/relationships/hyperlink" Target="https://katalogsp.sk/wp-content/uploads/2022/01/ekatalog_podnikanie-so-srdcomRSP.jpg" TargetMode="External"/><Relationship Id="rId139" Type="http://schemas.openxmlformats.org/officeDocument/2006/relationships/hyperlink" Target="https://katalogsp.sk/wp-content/uploads/2022/01/ekatalog_podnikanie-so-srdcomRSP.jpg" TargetMode="External"/><Relationship Id="rId138" Type="http://schemas.openxmlformats.org/officeDocument/2006/relationships/hyperlink" Target="https://katalogsp.sk/js-engineering-s-r-o/" TargetMode="External"/><Relationship Id="rId259" Type="http://schemas.openxmlformats.org/officeDocument/2006/relationships/hyperlink" Target="https://katalogsp.sk/tehlan-s-r-o/" TargetMode="External"/><Relationship Id="rId137" Type="http://schemas.openxmlformats.org/officeDocument/2006/relationships/hyperlink" Target="https://katalogsp.sk/wp-content/uploads/2021/12/JS-ENGINEERING-banner1-E-katalog-RSP.jpg" TargetMode="External"/><Relationship Id="rId258" Type="http://schemas.openxmlformats.org/officeDocument/2006/relationships/hyperlink" Target="https://katalogsp.sk/wp-content/uploads/2021/12/Tehlan-main1.jpg" TargetMode="External"/><Relationship Id="rId379" Type="http://schemas.openxmlformats.org/officeDocument/2006/relationships/hyperlink" Target="https://katalogsp.sk/psml-s-r-o/" TargetMode="External"/><Relationship Id="rId132" Type="http://schemas.openxmlformats.org/officeDocument/2006/relationships/hyperlink" Target="https://katalogsp.sk/laboprofilak-rsp-s-r-o/" TargetMode="External"/><Relationship Id="rId253" Type="http://schemas.openxmlformats.org/officeDocument/2006/relationships/hyperlink" Target="https://katalogsp.sk/fajnoty-s-r-o-r-s-p/" TargetMode="External"/><Relationship Id="rId374" Type="http://schemas.openxmlformats.org/officeDocument/2006/relationships/hyperlink" Target="https://katalogsp.sk/wp-content/uploads/2022/01/ekatalog_podnikanie-so-srdcomRSP.jpg" TargetMode="External"/><Relationship Id="rId495" Type="http://schemas.openxmlformats.org/officeDocument/2006/relationships/hyperlink" Target="https://katalogsp.sk/l-metal-s-r-o/" TargetMode="External"/><Relationship Id="rId131" Type="http://schemas.openxmlformats.org/officeDocument/2006/relationships/hyperlink" Target="https://katalogsp.sk/wp-content/uploads/2021/12/Laboprofilak-banner2-E-katalog-RSP.jpg" TargetMode="External"/><Relationship Id="rId252" Type="http://schemas.openxmlformats.org/officeDocument/2006/relationships/hyperlink" Target="https://katalogsp.sk/wp-content/uploads/2022/01/ekatalog_podnikanie-so-srdcomRSP.jpg" TargetMode="External"/><Relationship Id="rId373" Type="http://schemas.openxmlformats.org/officeDocument/2006/relationships/hyperlink" Target="https://katalogsp.sk/dekor-garden-socialne-druzstvo-r-s-p/" TargetMode="External"/><Relationship Id="rId494" Type="http://schemas.openxmlformats.org/officeDocument/2006/relationships/hyperlink" Target="https://katalogsp.sk/wp-content/uploads/2022/01/ekatalog_podnikanie-so-srdcomRSP.jpg" TargetMode="External"/><Relationship Id="rId130" Type="http://schemas.openxmlformats.org/officeDocument/2006/relationships/hyperlink" Target="https://katalogsp.sk/sunrise-group-s-r-o/" TargetMode="External"/><Relationship Id="rId251" Type="http://schemas.openxmlformats.org/officeDocument/2006/relationships/hyperlink" Target="https://katalogsp.sk/labore-n-o-registrovany-socialny-podnik/" TargetMode="External"/><Relationship Id="rId372" Type="http://schemas.openxmlformats.org/officeDocument/2006/relationships/hyperlink" Target="https://katalogsp.sk/wp-content/uploads/2022/01/ekatalog_podnikanie-so-srdcomRSP.jpg" TargetMode="External"/><Relationship Id="rId493" Type="http://schemas.openxmlformats.org/officeDocument/2006/relationships/hyperlink" Target="https://katalogsp.sk/coupe-invest-s-r-o/" TargetMode="External"/><Relationship Id="rId250" Type="http://schemas.openxmlformats.org/officeDocument/2006/relationships/hyperlink" Target="https://katalogsp.sk/wp-content/uploads/2021/12/Labore-2.jpg" TargetMode="External"/><Relationship Id="rId371" Type="http://schemas.openxmlformats.org/officeDocument/2006/relationships/hyperlink" Target="https://katalogsp.sk/socialny-podnik-mesta-gelnica-s-r-o/" TargetMode="External"/><Relationship Id="rId492" Type="http://schemas.openxmlformats.org/officeDocument/2006/relationships/hyperlink" Target="https://katalogsp.sk/wp-content/uploads/2022/01/Coupe-Invest-logo2-E-katalogRSP.jpg" TargetMode="External"/><Relationship Id="rId136" Type="http://schemas.openxmlformats.org/officeDocument/2006/relationships/hyperlink" Target="https://katalogsp.sk/antal-shoes-s-r-o/" TargetMode="External"/><Relationship Id="rId257" Type="http://schemas.openxmlformats.org/officeDocument/2006/relationships/hyperlink" Target="https://katalogsp.sk/integracia-s-r-o/" TargetMode="External"/><Relationship Id="rId378" Type="http://schemas.openxmlformats.org/officeDocument/2006/relationships/hyperlink" Target="https://katalogsp.sk/wp-content/uploads/2022/01/ekatalog_podnikanie-so-srdcomRSP.jpg" TargetMode="External"/><Relationship Id="rId499" Type="http://schemas.openxmlformats.org/officeDocument/2006/relationships/hyperlink" Target="https://katalogsp.sk/adventim-n-o/" TargetMode="External"/><Relationship Id="rId135" Type="http://schemas.openxmlformats.org/officeDocument/2006/relationships/hyperlink" Target="https://katalogsp.sk/wp-content/uploads/2022/01/ekatalog_podnikanie-so-srdcomRSP.jpg" TargetMode="External"/><Relationship Id="rId256" Type="http://schemas.openxmlformats.org/officeDocument/2006/relationships/hyperlink" Target="https://katalogsp.sk/wp-content/uploads/2022/01/ekatalog_podnikanie-so-srdcomRSP.jpg" TargetMode="External"/><Relationship Id="rId377" Type="http://schemas.openxmlformats.org/officeDocument/2006/relationships/hyperlink" Target="https://katalogsp.sk/rozvojove-sluzby-bbsk-s-r-o-registrovany-socialny-podnik/" TargetMode="External"/><Relationship Id="rId498" Type="http://schemas.openxmlformats.org/officeDocument/2006/relationships/hyperlink" Target="https://katalogsp.sk/wp-content/uploads/2022/01/ekatalog_podnikanie-so-srdcomRSP.jpg" TargetMode="External"/><Relationship Id="rId134" Type="http://schemas.openxmlformats.org/officeDocument/2006/relationships/hyperlink" Target="https://katalogsp.sk/cshop-sk-s-r-o-r-s-p/" TargetMode="External"/><Relationship Id="rId255" Type="http://schemas.openxmlformats.org/officeDocument/2006/relationships/hyperlink" Target="https://katalogsp.sk/stavebny-socialny-podnik-s-r-o/" TargetMode="External"/><Relationship Id="rId376" Type="http://schemas.openxmlformats.org/officeDocument/2006/relationships/hyperlink" Target="https://katalogsp.sk/wp-content/uploads/2022/01/ekatalog_podnikanie-so-srdcomRSP.jpg" TargetMode="External"/><Relationship Id="rId497" Type="http://schemas.openxmlformats.org/officeDocument/2006/relationships/hyperlink" Target="https://katalogsp.sk/j-j-m-t-s-r-o/" TargetMode="External"/><Relationship Id="rId133" Type="http://schemas.openxmlformats.org/officeDocument/2006/relationships/hyperlink" Target="https://katalogsp.sk/wp-content/uploads/2023/11/CcShop-Sk.png" TargetMode="External"/><Relationship Id="rId254" Type="http://schemas.openxmlformats.org/officeDocument/2006/relationships/hyperlink" Target="https://katalogsp.sk/wp-content/uploads/2021/12/Stavebny-socialny.podnik-main1.jpg" TargetMode="External"/><Relationship Id="rId375" Type="http://schemas.openxmlformats.org/officeDocument/2006/relationships/hyperlink" Target="https://katalogsp.sk/slovensky-ustav-vystavby-a-rozvoja-byvania-s-r-o/" TargetMode="External"/><Relationship Id="rId496" Type="http://schemas.openxmlformats.org/officeDocument/2006/relationships/hyperlink" Target="https://katalogsp.sk/wp-content/uploads/2022/01/ekatalog_podnikanie-so-srdcomRSP.jpg" TargetMode="External"/><Relationship Id="rId172" Type="http://schemas.openxmlformats.org/officeDocument/2006/relationships/hyperlink" Target="https://katalogsp.sk/chdmi-s-r-o/" TargetMode="External"/><Relationship Id="rId293" Type="http://schemas.openxmlformats.org/officeDocument/2006/relationships/hyperlink" Target="https://katalogsp.sk/masaze-s-r-o/" TargetMode="External"/><Relationship Id="rId171" Type="http://schemas.openxmlformats.org/officeDocument/2006/relationships/hyperlink" Target="https://katalogsp.sk/wp-content/uploads/2022/01/ekatalog_podnikanie-so-srdcomRSP.jpg" TargetMode="External"/><Relationship Id="rId292" Type="http://schemas.openxmlformats.org/officeDocument/2006/relationships/hyperlink" Target="https://katalogsp.sk/wp-content/uploads/2022/01/ekatalog_podnikanie-so-srdcomRSP.jpg" TargetMode="External"/><Relationship Id="rId170" Type="http://schemas.openxmlformats.org/officeDocument/2006/relationships/hyperlink" Target="https://katalogsp.sk/craft-production-s-r-o/" TargetMode="External"/><Relationship Id="rId291" Type="http://schemas.openxmlformats.org/officeDocument/2006/relationships/hyperlink" Target="https://katalogsp.sk/obecny-podnik-sluzieb-betliar-s-r-o-registrovany-socialny-podnik/" TargetMode="External"/><Relationship Id="rId290" Type="http://schemas.openxmlformats.org/officeDocument/2006/relationships/hyperlink" Target="https://katalogsp.sk/wp-content/uploads/2021/12/Betliar-3.jpg" TargetMode="External"/><Relationship Id="rId165" Type="http://schemas.openxmlformats.org/officeDocument/2006/relationships/hyperlink" Target="https://katalogsp.sk/wp-content/uploads/2022/01/ekatalog_podnikanie-so-srdcomRSP.jpg" TargetMode="External"/><Relationship Id="rId286" Type="http://schemas.openxmlformats.org/officeDocument/2006/relationships/hyperlink" Target="https://katalogsp.sk/wp-content/uploads/2021/12/LIPA-logo-banner1.jpg" TargetMode="External"/><Relationship Id="rId164" Type="http://schemas.openxmlformats.org/officeDocument/2006/relationships/hyperlink" Target="https://katalogsp.sk/patricius-sk-s-r-o/" TargetMode="External"/><Relationship Id="rId285" Type="http://schemas.openxmlformats.org/officeDocument/2006/relationships/hyperlink" Target="https://katalogsp.sk/agrofarma-krskany-s-r-o/" TargetMode="External"/><Relationship Id="rId163" Type="http://schemas.openxmlformats.org/officeDocument/2006/relationships/hyperlink" Target="https://katalogsp.sk/wp-content/uploads/2021/12/Patricius-main1.jpg" TargetMode="External"/><Relationship Id="rId284" Type="http://schemas.openxmlformats.org/officeDocument/2006/relationships/hyperlink" Target="https://katalogsp.sk/wp-content/uploads/2022/01/ekatalog_podnikanie-so-srdcomRSP.jpg" TargetMode="External"/><Relationship Id="rId162" Type="http://schemas.openxmlformats.org/officeDocument/2006/relationships/hyperlink" Target="https://katalogsp.sk/obecny-podnik-pribis-s-r-o/" TargetMode="External"/><Relationship Id="rId283" Type="http://schemas.openxmlformats.org/officeDocument/2006/relationships/hyperlink" Target="https://katalogsp.sk/socialny-podnik-mesta-martin-s-r-o/" TargetMode="External"/><Relationship Id="rId169" Type="http://schemas.openxmlformats.org/officeDocument/2006/relationships/hyperlink" Target="https://katalogsp.sk/wp-content/uploads/2021/12/kamenne-kvetinace-1.jpg" TargetMode="External"/><Relationship Id="rId168" Type="http://schemas.openxmlformats.org/officeDocument/2006/relationships/hyperlink" Target="https://katalogsp.sk/budimirske-sluzby-s-r-o-registrovany-socialny-podnik/" TargetMode="External"/><Relationship Id="rId289" Type="http://schemas.openxmlformats.org/officeDocument/2006/relationships/hyperlink" Target="https://katalogsp.sk/m-hand-s-r-o/" TargetMode="External"/><Relationship Id="rId167" Type="http://schemas.openxmlformats.org/officeDocument/2006/relationships/hyperlink" Target="https://katalogsp.sk/wp-content/uploads/2022/01/ekatalog_podnikanie-so-srdcomRSP.jpg" TargetMode="External"/><Relationship Id="rId288" Type="http://schemas.openxmlformats.org/officeDocument/2006/relationships/hyperlink" Target="https://katalogsp.sk/wp-content/uploads/2022/01/ekatalog_podnikanie-so-srdcomRSP.jpg" TargetMode="External"/><Relationship Id="rId166" Type="http://schemas.openxmlformats.org/officeDocument/2006/relationships/hyperlink" Target="https://katalogsp.sk/izones-s-r-o/" TargetMode="External"/><Relationship Id="rId287" Type="http://schemas.openxmlformats.org/officeDocument/2006/relationships/hyperlink" Target="https://katalogsp.sk/lipa-s-r-o/" TargetMode="External"/><Relationship Id="rId161" Type="http://schemas.openxmlformats.org/officeDocument/2006/relationships/hyperlink" Target="https://katalogsp.sk/wp-content/uploads/2021/12/Obecny-podnik-Pribis-banner1-E-katalog-RSP.jpg" TargetMode="External"/><Relationship Id="rId282" Type="http://schemas.openxmlformats.org/officeDocument/2006/relationships/hyperlink" Target="https://katalogsp.sk/wp-content/uploads/2021/12/Soc-podnik-Martin-logo-banner1.jpg" TargetMode="External"/><Relationship Id="rId160" Type="http://schemas.openxmlformats.org/officeDocument/2006/relationships/hyperlink" Target="https://katalogsp.sk/jubasa-s-r-o/" TargetMode="External"/><Relationship Id="rId281" Type="http://schemas.openxmlformats.org/officeDocument/2006/relationships/hyperlink" Target="https://katalogsp.sk/lasy-s-r-o/" TargetMode="External"/><Relationship Id="rId280" Type="http://schemas.openxmlformats.org/officeDocument/2006/relationships/hyperlink" Target="https://katalogsp.sk/wp-content/uploads/2022/01/ekatalog_podnikanie-so-srdcomRSP.jpg" TargetMode="External"/><Relationship Id="rId159" Type="http://schemas.openxmlformats.org/officeDocument/2006/relationships/hyperlink" Target="https://katalogsp.sk/wp-content/uploads/2022/01/ekatalog_podnikanie-so-srdcomRSP.jpg" TargetMode="External"/><Relationship Id="rId154" Type="http://schemas.openxmlformats.org/officeDocument/2006/relationships/hyperlink" Target="https://katalogsp.sk/nestor-sluzby-s-r-o/" TargetMode="External"/><Relationship Id="rId275" Type="http://schemas.openxmlformats.org/officeDocument/2006/relationships/hyperlink" Target="https://katalogsp.sk/haslox-s-r-o/" TargetMode="External"/><Relationship Id="rId396" Type="http://schemas.openxmlformats.org/officeDocument/2006/relationships/hyperlink" Target="https://katalogsp.sk/wp-content/uploads/2021/12/Matky-v-praci-banner1.jpg" TargetMode="External"/><Relationship Id="rId153" Type="http://schemas.openxmlformats.org/officeDocument/2006/relationships/hyperlink" Target="https://katalogsp.sk/wp-content/uploads/2022/01/ekatalog_podnikanie-so-srdcomRSP.jpg" TargetMode="External"/><Relationship Id="rId274" Type="http://schemas.openxmlformats.org/officeDocument/2006/relationships/hyperlink" Target="https://katalogsp.sk/wp-content/uploads/2022/01/ekatalog_podnikanie-so-srdcomRSP.jpg" TargetMode="External"/><Relationship Id="rId395" Type="http://schemas.openxmlformats.org/officeDocument/2006/relationships/hyperlink" Target="https://katalogsp.sk/kondor-sp-s-r-o/" TargetMode="External"/><Relationship Id="rId152" Type="http://schemas.openxmlformats.org/officeDocument/2006/relationships/hyperlink" Target="https://katalogsp.sk/s-j-group-s-r-o/" TargetMode="External"/><Relationship Id="rId273" Type="http://schemas.openxmlformats.org/officeDocument/2006/relationships/hyperlink" Target="https://katalogsp.sk/bogo-bus-s-r-o/" TargetMode="External"/><Relationship Id="rId394" Type="http://schemas.openxmlformats.org/officeDocument/2006/relationships/hyperlink" Target="https://katalogsp.sk/wp-content/uploads/2022/01/ekatalog_podnikanie-so-srdcomRSP.jpg" TargetMode="External"/><Relationship Id="rId151" Type="http://schemas.openxmlformats.org/officeDocument/2006/relationships/hyperlink" Target="https://katalogsp.sk/wp-content/uploads/2021/12/SaJ-Group-4.jpg" TargetMode="External"/><Relationship Id="rId272" Type="http://schemas.openxmlformats.org/officeDocument/2006/relationships/hyperlink" Target="https://katalogsp.sk/wp-content/uploads/2021/12/BoGoBus-main1.jpg" TargetMode="External"/><Relationship Id="rId393" Type="http://schemas.openxmlformats.org/officeDocument/2006/relationships/hyperlink" Target="https://katalogsp.sk/podnik-medzitrhu-prace-n-o-r-s-p/" TargetMode="External"/><Relationship Id="rId158" Type="http://schemas.openxmlformats.org/officeDocument/2006/relationships/hyperlink" Target="https://katalogsp.sk/doza-vyrobne-druzstvo/" TargetMode="External"/><Relationship Id="rId279" Type="http://schemas.openxmlformats.org/officeDocument/2006/relationships/hyperlink" Target="https://katalogsp.sk/pe-bonum-s-r-o/" TargetMode="External"/><Relationship Id="rId157" Type="http://schemas.openxmlformats.org/officeDocument/2006/relationships/hyperlink" Target="https://katalogsp.sk/wp-content/uploads/2022/01/ekatalog_podnikanie-so-srdcomRSP.jpg" TargetMode="External"/><Relationship Id="rId278" Type="http://schemas.openxmlformats.org/officeDocument/2006/relationships/hyperlink" Target="https://katalogsp.sk/wp-content/uploads/2022/01/ekatalog_podnikanie-so-srdcomRSP.jpg" TargetMode="External"/><Relationship Id="rId399" Type="http://schemas.openxmlformats.org/officeDocument/2006/relationships/hyperlink" Target="https://katalogsp.sk/zakamenske-sluzby-s-r-o/" TargetMode="External"/><Relationship Id="rId156" Type="http://schemas.openxmlformats.org/officeDocument/2006/relationships/hyperlink" Target="https://katalogsp.sk/pekna-zahrada-spol-s-r-o/" TargetMode="External"/><Relationship Id="rId277" Type="http://schemas.openxmlformats.org/officeDocument/2006/relationships/hyperlink" Target="https://katalogsp.sk/obecne-sluzby-spisska-teplica-s-r-o/" TargetMode="External"/><Relationship Id="rId398" Type="http://schemas.openxmlformats.org/officeDocument/2006/relationships/hyperlink" Target="https://katalogsp.sk/wp-content/uploads/2022/01/Zakamenske-sluzby-s.-r.-o.-Oplotenie-cintorin-II.-E-katalogRSP.jpg" TargetMode="External"/><Relationship Id="rId155" Type="http://schemas.openxmlformats.org/officeDocument/2006/relationships/hyperlink" Target="https://katalogsp.sk/wp-content/uploads/2021/12/Pekna-zahrada-banner1-E-katalog-RSP.jpg" TargetMode="External"/><Relationship Id="rId276" Type="http://schemas.openxmlformats.org/officeDocument/2006/relationships/hyperlink" Target="https://katalogsp.sk/wp-content/uploads/2021/12/Spiska-teplica-3.jpg" TargetMode="External"/><Relationship Id="rId397" Type="http://schemas.openxmlformats.org/officeDocument/2006/relationships/hyperlink" Target="https://katalogsp.sk/matky-v-praci-s-r-o/" TargetMode="External"/><Relationship Id="rId40" Type="http://schemas.openxmlformats.org/officeDocument/2006/relationships/hyperlink" Target="https://katalogsp.sk/zbor-stav-s-r-o/" TargetMode="External"/><Relationship Id="rId42" Type="http://schemas.openxmlformats.org/officeDocument/2006/relationships/hyperlink" Target="https://katalogsp.sk/ziva-zahrada-s-r-o/" TargetMode="External"/><Relationship Id="rId41" Type="http://schemas.openxmlformats.org/officeDocument/2006/relationships/hyperlink" Target="https://katalogsp.sk/wp-content/uploads/2021/12/Ziva-zahrada-banner31-E-katalog-RSP.jpg" TargetMode="External"/><Relationship Id="rId44" Type="http://schemas.openxmlformats.org/officeDocument/2006/relationships/hyperlink" Target="https://katalogsp.sk/kasprof-security-agency-s-r-o-r-s-p/" TargetMode="External"/><Relationship Id="rId43" Type="http://schemas.openxmlformats.org/officeDocument/2006/relationships/hyperlink" Target="https://katalogsp.sk/wp-content/uploads/2021/12/KASprof-SECURITY-agency-banner4-E-katalog-RSP.jpg" TargetMode="External"/><Relationship Id="rId46" Type="http://schemas.openxmlformats.org/officeDocument/2006/relationships/hyperlink" Target="https://katalogsp.sk/slovenska-chranena-dielna-s-r-o/" TargetMode="External"/><Relationship Id="rId45" Type="http://schemas.openxmlformats.org/officeDocument/2006/relationships/hyperlink" Target="https://katalogsp.sk/wp-content/uploads/2021/12/SCHD_rsp_21-doklady-schd.jpg" TargetMode="External"/><Relationship Id="rId509" Type="http://schemas.openxmlformats.org/officeDocument/2006/relationships/hyperlink" Target="https://katalogsp.sk/regio-plus-s-r-o/" TargetMode="External"/><Relationship Id="rId508" Type="http://schemas.openxmlformats.org/officeDocument/2006/relationships/hyperlink" Target="https://katalogsp.sk/wp-content/uploads/2022/01/ekatalog_podnikanie-so-srdcomRSP.jpg" TargetMode="External"/><Relationship Id="rId629" Type="http://schemas.openxmlformats.org/officeDocument/2006/relationships/hyperlink" Target="https://katalogsp.sk/wp-content/uploads/2022/01/ekatalog_podnikanie-so-srdcomRSP.jpg" TargetMode="External"/><Relationship Id="rId503" Type="http://schemas.openxmlformats.org/officeDocument/2006/relationships/hyperlink" Target="https://katalogsp.sk/sp-detva-s-r-o/" TargetMode="External"/><Relationship Id="rId624" Type="http://schemas.openxmlformats.org/officeDocument/2006/relationships/hyperlink" Target="https://katalogsp.sk/baby-plavanie-s-r-o-2/" TargetMode="External"/><Relationship Id="rId502" Type="http://schemas.openxmlformats.org/officeDocument/2006/relationships/hyperlink" Target="https://katalogsp.sk/wp-content/uploads/2022/01/ekatalog_podnikanie-so-srdcomRSP.jpg" TargetMode="External"/><Relationship Id="rId623" Type="http://schemas.openxmlformats.org/officeDocument/2006/relationships/hyperlink" Target="https://katalogsp.sk/wp-content/uploads/2022/01/ekatalog_podnikanie-so-srdcomRSP.jpg" TargetMode="External"/><Relationship Id="rId501" Type="http://schemas.openxmlformats.org/officeDocument/2006/relationships/hyperlink" Target="https://katalogsp.sk/obecny-podnik-zborov-nad-bystricou-s-r-o/" TargetMode="External"/><Relationship Id="rId622" Type="http://schemas.openxmlformats.org/officeDocument/2006/relationships/hyperlink" Target="https://katalogsp.sk/evenit-s-r-o/" TargetMode="External"/><Relationship Id="rId500" Type="http://schemas.openxmlformats.org/officeDocument/2006/relationships/hyperlink" Target="https://katalogsp.sk/wp-content/uploads/2022/01/Obecny-podnik-Zborov-nad-Bystricou1.jpg" TargetMode="External"/><Relationship Id="rId621" Type="http://schemas.openxmlformats.org/officeDocument/2006/relationships/hyperlink" Target="https://katalogsp.sk/wp-content/uploads/2022/01/ekatalog_podnikanie-so-srdcomRSP.jpg" TargetMode="External"/><Relationship Id="rId507" Type="http://schemas.openxmlformats.org/officeDocument/2006/relationships/hyperlink" Target="https://katalogsp.sk/edenal-s-r-o/" TargetMode="External"/><Relationship Id="rId628" Type="http://schemas.openxmlformats.org/officeDocument/2006/relationships/hyperlink" Target="https://katalogsp.sk/cobak-s-r-o/" TargetMode="External"/><Relationship Id="rId506" Type="http://schemas.openxmlformats.org/officeDocument/2006/relationships/hyperlink" Target="https://katalogsp.sk/wp-content/uploads/2022/01/ekatalog_podnikanie-so-srdcomRSP.jpg" TargetMode="External"/><Relationship Id="rId627" Type="http://schemas.openxmlformats.org/officeDocument/2006/relationships/hyperlink" Target="https://katalogsp.sk/wp-content/uploads/2023/03/COBAK_jahoda_coko.jpg" TargetMode="External"/><Relationship Id="rId505" Type="http://schemas.openxmlformats.org/officeDocument/2006/relationships/hyperlink" Target="https://katalogsp.sk/sweet-revelation-s-r-o-r-s-p/" TargetMode="External"/><Relationship Id="rId626" Type="http://schemas.openxmlformats.org/officeDocument/2006/relationships/hyperlink" Target="https://katalogsp.sk/hydro-real-group-s-r-o/" TargetMode="External"/><Relationship Id="rId504" Type="http://schemas.openxmlformats.org/officeDocument/2006/relationships/hyperlink" Target="https://katalogsp.sk/wp-content/uploads/2022/01/Sweetrevelation2.jpg" TargetMode="External"/><Relationship Id="rId625" Type="http://schemas.openxmlformats.org/officeDocument/2006/relationships/hyperlink" Target="https://katalogsp.sk/wp-content/uploads/2022/01/ekatalog_podnikanie-so-srdcomRSP.jpg" TargetMode="External"/><Relationship Id="rId48" Type="http://schemas.openxmlformats.org/officeDocument/2006/relationships/hyperlink" Target="https://katalogsp.sk/mepos-snv-s-r-o/" TargetMode="External"/><Relationship Id="rId47" Type="http://schemas.openxmlformats.org/officeDocument/2006/relationships/hyperlink" Target="https://katalogsp.sk/wp-content/uploads/2021/12/Mepos-logo-E-katalog-RSP-1.jpg" TargetMode="External"/><Relationship Id="rId49" Type="http://schemas.openxmlformats.org/officeDocument/2006/relationships/hyperlink" Target="https://katalogsp.sk/wp-content/uploads/2021/12/Goel-main1.jpg" TargetMode="External"/><Relationship Id="rId620" Type="http://schemas.openxmlformats.org/officeDocument/2006/relationships/hyperlink" Target="https://katalogsp.sk/millhill-s-r-o/" TargetMode="External"/><Relationship Id="rId31" Type="http://schemas.openxmlformats.org/officeDocument/2006/relationships/hyperlink" Target="https://katalogsp.sk/wp-content/uploads/2022/01/ekatalog_podnikanie-so-srdcomRSP.jpg" TargetMode="External"/><Relationship Id="rId30" Type="http://schemas.openxmlformats.org/officeDocument/2006/relationships/hyperlink" Target="https://katalogsp.sk/admix-s-r-o-r-s-p/" TargetMode="External"/><Relationship Id="rId33" Type="http://schemas.openxmlformats.org/officeDocument/2006/relationships/hyperlink" Target="https://katalogsp.sk/wp-content/uploads/2021/12/Vegaodevy-banner21-E-katalog-RSP-1.jpg" TargetMode="External"/><Relationship Id="rId32" Type="http://schemas.openxmlformats.org/officeDocument/2006/relationships/hyperlink" Target="https://katalogsp.sk/liana-blahova/" TargetMode="External"/><Relationship Id="rId35" Type="http://schemas.openxmlformats.org/officeDocument/2006/relationships/hyperlink" Target="https://katalogsp.sk/wp-content/uploads/2022/01/ekatalog_podnikanie-so-srdcomRSP.jpg" TargetMode="External"/><Relationship Id="rId34" Type="http://schemas.openxmlformats.org/officeDocument/2006/relationships/hyperlink" Target="https://katalogsp.sk/vegaodevy-s-r-o/" TargetMode="External"/><Relationship Id="rId619" Type="http://schemas.openxmlformats.org/officeDocument/2006/relationships/hyperlink" Target="https://katalogsp.sk/wp-content/uploads/2022/12/RSP_4-millhill-s.r.o.-scaled.jpg" TargetMode="External"/><Relationship Id="rId618" Type="http://schemas.openxmlformats.org/officeDocument/2006/relationships/hyperlink" Target="https://katalogsp.gov.sk/go-ok-o-z-hendikup/" TargetMode="External"/><Relationship Id="rId613" Type="http://schemas.openxmlformats.org/officeDocument/2006/relationships/hyperlink" Target="https://katalogsp.sk/wp-content/uploads/2022/01/ekatalog_podnikanie-so-srdcomRSP.jpg" TargetMode="External"/><Relationship Id="rId612" Type="http://schemas.openxmlformats.org/officeDocument/2006/relationships/hyperlink" Target="https://katalogsp.sk/tzv-s-r-o/" TargetMode="External"/><Relationship Id="rId611" Type="http://schemas.openxmlformats.org/officeDocument/2006/relationships/hyperlink" Target="https://katalogsp.sk/wp-content/uploads/2022/10/02_TZV-s.r.o.r.s.p.-Maria-Macugova.jpg" TargetMode="External"/><Relationship Id="rId610" Type="http://schemas.openxmlformats.org/officeDocument/2006/relationships/hyperlink" Target="http://www.pmconstructa.sk" TargetMode="External"/><Relationship Id="rId617" Type="http://schemas.openxmlformats.org/officeDocument/2006/relationships/hyperlink" Target="https://katalogsp.sk/wp-content/uploads/2022/11/onas5-1200x1000-HendiKup-e1667923009766.jpg" TargetMode="External"/><Relationship Id="rId616" Type="http://schemas.openxmlformats.org/officeDocument/2006/relationships/hyperlink" Target="https://katalogsp.sk/arekont-s-r-o/" TargetMode="External"/><Relationship Id="rId615" Type="http://schemas.openxmlformats.org/officeDocument/2006/relationships/hyperlink" Target="https://katalogsp.sk/wp-content/uploads/2022/11/AreKont_Logo.png" TargetMode="External"/><Relationship Id="rId614" Type="http://schemas.openxmlformats.org/officeDocument/2006/relationships/hyperlink" Target="https://katalogsp.sk/la-casa-s-r-o/" TargetMode="External"/><Relationship Id="rId37" Type="http://schemas.openxmlformats.org/officeDocument/2006/relationships/hyperlink" Target="https://katalogsp.sk/wp-content/uploads/2021/12/Sluzby-Kalna-main1.jpg" TargetMode="External"/><Relationship Id="rId36" Type="http://schemas.openxmlformats.org/officeDocument/2006/relationships/hyperlink" Target="https://katalogsp.sk/obcianske-zdruzenie-jasenska-dolina/" TargetMode="External"/><Relationship Id="rId39" Type="http://schemas.openxmlformats.org/officeDocument/2006/relationships/hyperlink" Target="https://katalogsp.sk/wp-content/uploads/2022/01/ekatalog_podnikanie-so-srdcomRSP.jpg" TargetMode="External"/><Relationship Id="rId38" Type="http://schemas.openxmlformats.org/officeDocument/2006/relationships/hyperlink" Target="https://katalogsp.sk/sluzby-kalna-s-r-o-r-s-p/" TargetMode="External"/><Relationship Id="rId20" Type="http://schemas.openxmlformats.org/officeDocument/2006/relationships/hyperlink" Target="https://katalogsp.sk/obecne-sluzby-raslavice-s-r-o/" TargetMode="External"/><Relationship Id="rId22" Type="http://schemas.openxmlformats.org/officeDocument/2006/relationships/hyperlink" Target="https://katalogsp.sk/knk-nako-vyrobne-druzstvo/" TargetMode="External"/><Relationship Id="rId21" Type="http://schemas.openxmlformats.org/officeDocument/2006/relationships/hyperlink" Target="https://katalogsp.gov.sk/wp-content/uploads/2023/03/KNK-interier-scaled.jpg" TargetMode="External"/><Relationship Id="rId24" Type="http://schemas.openxmlformats.org/officeDocument/2006/relationships/hyperlink" Target="https://katalogsp.sk/afb-slovakia-s-r-o/" TargetMode="External"/><Relationship Id="rId23" Type="http://schemas.openxmlformats.org/officeDocument/2006/relationships/hyperlink" Target="https://katalogsp.sk/wp-content/uploads/2021/12/AfB-Slovakia-banner2-E-katalog-RSP.jpg" TargetMode="External"/><Relationship Id="rId409" Type="http://schemas.openxmlformats.org/officeDocument/2006/relationships/hyperlink" Target="https://katalogsp.sk/unicarback-slovakia-s-r-o/" TargetMode="External"/><Relationship Id="rId404" Type="http://schemas.openxmlformats.org/officeDocument/2006/relationships/hyperlink" Target="https://katalogsp.sk/wp-content/uploads/2022/01/ekatalog_podnikanie-so-srdcomRSP.jpg" TargetMode="External"/><Relationship Id="rId525" Type="http://schemas.openxmlformats.org/officeDocument/2006/relationships/hyperlink" Target="https://katalogsp.sk/palatinos-s-r-o/" TargetMode="External"/><Relationship Id="rId646" Type="http://schemas.openxmlformats.org/officeDocument/2006/relationships/hyperlink" Target="https://katalogsp.sk/fair-facility-sk-s-r-o/" TargetMode="External"/><Relationship Id="rId403" Type="http://schemas.openxmlformats.org/officeDocument/2006/relationships/hyperlink" Target="https://katalogsp.sk/gazdovske-speciality-bystriansky-s-r-o/" TargetMode="External"/><Relationship Id="rId524" Type="http://schemas.openxmlformats.org/officeDocument/2006/relationships/hyperlink" Target="https://katalogsp.sk/wp-content/uploads/2022/01/ekatalog_podnikanie-so-srdcomRSP.jpg" TargetMode="External"/><Relationship Id="rId645" Type="http://schemas.openxmlformats.org/officeDocument/2006/relationships/hyperlink" Target="https://katalogsp.sk/wp-content/uploads/2023/06/Fair-facility.png" TargetMode="External"/><Relationship Id="rId402" Type="http://schemas.openxmlformats.org/officeDocument/2006/relationships/hyperlink" Target="https://katalogsp.sk/wp-content/uploads/2022/01/GAZDOVSKE-SPECIALITY-Bystriansky-E-katalog-RSP-1.jpg" TargetMode="External"/><Relationship Id="rId523" Type="http://schemas.openxmlformats.org/officeDocument/2006/relationships/hyperlink" Target="https://katalogsp.sk/dojc-ops-s-r-o/" TargetMode="External"/><Relationship Id="rId644" Type="http://schemas.openxmlformats.org/officeDocument/2006/relationships/hyperlink" Target="https://katalogsp.sk/ekoposs-s-r-o/" TargetMode="External"/><Relationship Id="rId401" Type="http://schemas.openxmlformats.org/officeDocument/2006/relationships/hyperlink" Target="https://katalogsp.sk/aquaunion-s-r-o-r-s-p/" TargetMode="External"/><Relationship Id="rId522" Type="http://schemas.openxmlformats.org/officeDocument/2006/relationships/hyperlink" Target="https://katalogsp.sk/wp-content/uploads/2022/01/Dojc-OPS-logo.png" TargetMode="External"/><Relationship Id="rId643" Type="http://schemas.openxmlformats.org/officeDocument/2006/relationships/hyperlink" Target="https://katalogsp.sk/wp-content/uploads/2022/01/ekatalog_podnikanie-so-srdcomRSP.jpg" TargetMode="External"/><Relationship Id="rId408" Type="http://schemas.openxmlformats.org/officeDocument/2006/relationships/hyperlink" Target="https://katalogsp.sk/wp-content/uploads/2022/01/Unicarback-banner-EkatalogRSP1.jpg" TargetMode="External"/><Relationship Id="rId529" Type="http://schemas.openxmlformats.org/officeDocument/2006/relationships/hyperlink" Target="https://katalogsp.sk/obecna-prevadzkaren-s-r-o-jablonov-r-s-p/" TargetMode="External"/><Relationship Id="rId407" Type="http://schemas.openxmlformats.org/officeDocument/2006/relationships/hyperlink" Target="https://katalogsp.sk/ligado-s-r-o/" TargetMode="External"/><Relationship Id="rId528" Type="http://schemas.openxmlformats.org/officeDocument/2006/relationships/hyperlink" Target="https://katalogsp.sk/wp-content/uploads/2022/01/ekatalog_podnikanie-so-srdcomRSP.jpg" TargetMode="External"/><Relationship Id="rId649" Type="http://schemas.openxmlformats.org/officeDocument/2006/relationships/hyperlink" Target="https://katalogsp.gov.sk/wp-content/uploads/2023/08/3.-Tahane-strudle-Viera-Holakova-rotated.jpg" TargetMode="External"/><Relationship Id="rId406" Type="http://schemas.openxmlformats.org/officeDocument/2006/relationships/hyperlink" Target="https://katalogsp.sk/wp-content/uploads/2022/01/ekatalog_podnikanie-so-srdcomRSP.jpg" TargetMode="External"/><Relationship Id="rId527" Type="http://schemas.openxmlformats.org/officeDocument/2006/relationships/hyperlink" Target="https://katalogsp.sk/margaret-s-r-o/" TargetMode="External"/><Relationship Id="rId648" Type="http://schemas.openxmlformats.org/officeDocument/2006/relationships/hyperlink" Target="https://katalogsp.sk/civa-s-r-o/" TargetMode="External"/><Relationship Id="rId405" Type="http://schemas.openxmlformats.org/officeDocument/2006/relationships/hyperlink" Target="https://katalogsp.sk/trebaxx-s-r-o/" TargetMode="External"/><Relationship Id="rId526" Type="http://schemas.openxmlformats.org/officeDocument/2006/relationships/hyperlink" Target="https://katalogsp.sk/wp-content/uploads/2022/01/ekatalog_podnikanie-so-srdcomRSP.jpg" TargetMode="External"/><Relationship Id="rId647" Type="http://schemas.openxmlformats.org/officeDocument/2006/relationships/hyperlink" Target="https://katalogsp.sk/wp-content/uploads/2023/08/Civa_vianocne-dekoracie1.jpg" TargetMode="External"/><Relationship Id="rId26" Type="http://schemas.openxmlformats.org/officeDocument/2006/relationships/hyperlink" Target="https://katalogsp.sk/zdruzenie-na-pomoc-ludom-s-mentalnym-postihnutim-v-slovenskej-republike/" TargetMode="External"/><Relationship Id="rId25" Type="http://schemas.openxmlformats.org/officeDocument/2006/relationships/hyperlink" Target="https://katalogsp.sk/wp-content/uploads/2021/12/Bivio-logo1-E-katalog-RSP.jpg" TargetMode="External"/><Relationship Id="rId28" Type="http://schemas.openxmlformats.org/officeDocument/2006/relationships/hyperlink" Target="https://katalogsp.sk/centrum-pointe-n-o/" TargetMode="External"/><Relationship Id="rId27" Type="http://schemas.openxmlformats.org/officeDocument/2006/relationships/hyperlink" Target="https://katalogsp.sk/wp-content/uploads/2022/01/ekatalog_podnikanie-so-srdcomRSP.jpg" TargetMode="External"/><Relationship Id="rId400" Type="http://schemas.openxmlformats.org/officeDocument/2006/relationships/hyperlink" Target="https://katalogsp.sk/wp-content/uploads/2022/01/ekatalog_podnikanie-so-srdcomRSP.jpg" TargetMode="External"/><Relationship Id="rId521" Type="http://schemas.openxmlformats.org/officeDocument/2006/relationships/hyperlink" Target="https://katalogsp.sk/obecny-podnik-sap-s-r-o/" TargetMode="External"/><Relationship Id="rId642" Type="http://schemas.openxmlformats.org/officeDocument/2006/relationships/hyperlink" Target="https://katalogsp.sk/medovnikovy-domcek-s-r-o-registrovany-socialny-podnik/" TargetMode="External"/><Relationship Id="rId29" Type="http://schemas.openxmlformats.org/officeDocument/2006/relationships/hyperlink" Target="https://katalogsp.sk/wp-content/uploads/2022/01/ekatalog_podnikanie-so-srdcomRSP.jpg" TargetMode="External"/><Relationship Id="rId520" Type="http://schemas.openxmlformats.org/officeDocument/2006/relationships/hyperlink" Target="https://katalogsp.sk/wp-content/uploads/2022/01/OP-SAP-logo2.jpg" TargetMode="External"/><Relationship Id="rId641" Type="http://schemas.openxmlformats.org/officeDocument/2006/relationships/hyperlink" Target="https://katalogsp.sk/wp-content/uploads/2023/05/drevene-logo-Medovnikovy-domcek.jpg" TargetMode="External"/><Relationship Id="rId640" Type="http://schemas.openxmlformats.org/officeDocument/2006/relationships/hyperlink" Target="https://katalogsp.sk/slovensky-integracny-podnik-o-z/" TargetMode="External"/><Relationship Id="rId11" Type="http://schemas.openxmlformats.org/officeDocument/2006/relationships/hyperlink" Target="https://katalogsp.sk/wp-content/uploads/2021/12/SVDM-banner61-E-katalog-RSP.jpg" TargetMode="External"/><Relationship Id="rId10" Type="http://schemas.openxmlformats.org/officeDocument/2006/relationships/hyperlink" Target="https://katalogsp.sk/lesnica-tradicia-pienin-s-r-o-r-s-p/" TargetMode="External"/><Relationship Id="rId13" Type="http://schemas.openxmlformats.org/officeDocument/2006/relationships/hyperlink" Target="https://katalogsp.sk/wp-content/uploads/2022/01/ekatalog_podnikanie-so-srdcomRSP.jpg" TargetMode="External"/><Relationship Id="rId12" Type="http://schemas.openxmlformats.org/officeDocument/2006/relationships/hyperlink" Target="https://katalogsp.sk/svdm-s-r-o/" TargetMode="External"/><Relationship Id="rId519" Type="http://schemas.openxmlformats.org/officeDocument/2006/relationships/hyperlink" Target="https://katalogsp.sk/obecny-podnik-obchodu-a-sluzieb-ulany-nad-zitavou-s-r-o/" TargetMode="External"/><Relationship Id="rId514" Type="http://schemas.openxmlformats.org/officeDocument/2006/relationships/hyperlink" Target="https://katalogsp.sk/wp-content/uploads/2022/01/ekatalog_podnikanie-so-srdcomRSP.jpg" TargetMode="External"/><Relationship Id="rId635" Type="http://schemas.openxmlformats.org/officeDocument/2006/relationships/hyperlink" Target="https://katalogsp.sk/wp-content/uploads/2022/01/ekatalog_podnikanie-so-srdcomRSP.jpg" TargetMode="External"/><Relationship Id="rId513" Type="http://schemas.openxmlformats.org/officeDocument/2006/relationships/hyperlink" Target="https://katalogsp.sk/solcom-media-s-r-o/" TargetMode="External"/><Relationship Id="rId634" Type="http://schemas.openxmlformats.org/officeDocument/2006/relationships/hyperlink" Target="https://katalogsp.sk/festikovo-dl-s-r-o/" TargetMode="External"/><Relationship Id="rId512" Type="http://schemas.openxmlformats.org/officeDocument/2006/relationships/hyperlink" Target="https://katalogsp.sk/wp-content/uploads/2022/01/ekatalog_podnikanie-so-srdcomRSP.jpg" TargetMode="External"/><Relationship Id="rId633" Type="http://schemas.openxmlformats.org/officeDocument/2006/relationships/hyperlink" Target="https://katalogsp.sk/wp-content/uploads/2022/01/ekatalog_podnikanie-so-srdcomRSP.jpg" TargetMode="External"/><Relationship Id="rId511" Type="http://schemas.openxmlformats.org/officeDocument/2006/relationships/hyperlink" Target="https://katalogsp.sk/papuca-vk-s-r-o/" TargetMode="External"/><Relationship Id="rId632" Type="http://schemas.openxmlformats.org/officeDocument/2006/relationships/hyperlink" Target="https://katalogsp.sk/haspo-tex-s-r-o-r-s-p/" TargetMode="External"/><Relationship Id="rId518" Type="http://schemas.openxmlformats.org/officeDocument/2006/relationships/hyperlink" Target="https://katalogsp.sk/wp-content/uploads/2022/01/ekatalog_podnikanie-so-srdcomRSP.jpg" TargetMode="External"/><Relationship Id="rId639" Type="http://schemas.openxmlformats.org/officeDocument/2006/relationships/hyperlink" Target="https://katalogsp.sk/wp-content/uploads/2022/01/ekatalog_podnikanie-so-srdcomRSP.jpg" TargetMode="External"/><Relationship Id="rId517" Type="http://schemas.openxmlformats.org/officeDocument/2006/relationships/hyperlink" Target="https://katalogsp.sk/obecne-sluzby-dobra-niva-s-r-o/" TargetMode="External"/><Relationship Id="rId638" Type="http://schemas.openxmlformats.org/officeDocument/2006/relationships/hyperlink" Target="https://katalogsp.sk/mestsky-podnik-spisska-stara-ves-s-r-o/" TargetMode="External"/><Relationship Id="rId516" Type="http://schemas.openxmlformats.org/officeDocument/2006/relationships/hyperlink" Target="https://katalogsp.sk/wp-content/uploads/2022/01/OS-Dobra-Niva-2.jpg" TargetMode="External"/><Relationship Id="rId637" Type="http://schemas.openxmlformats.org/officeDocument/2006/relationships/hyperlink" Target="https://katalogsp.sk/wp-content/uploads/2022/01/ekatalog_podnikanie-so-srdcomRSP.jpg" TargetMode="External"/><Relationship Id="rId515" Type="http://schemas.openxmlformats.org/officeDocument/2006/relationships/hyperlink" Target="https://katalogsp.sk/dekora-group-s-r-o/" TargetMode="External"/><Relationship Id="rId636" Type="http://schemas.openxmlformats.org/officeDocument/2006/relationships/hyperlink" Target="https://katalogsp.sk/peron-slovakia-s-r-o/" TargetMode="External"/><Relationship Id="rId15" Type="http://schemas.openxmlformats.org/officeDocument/2006/relationships/hyperlink" Target="https://katalogsp.sk/wp-content/uploads/2022/01/ekatalog_podnikanie-so-srdcomRSP.jpg" TargetMode="External"/><Relationship Id="rId14" Type="http://schemas.openxmlformats.org/officeDocument/2006/relationships/hyperlink" Target="https://katalogsp.sk/obecne-sluzby-nova-bosaca-s-r-o/" TargetMode="External"/><Relationship Id="rId17" Type="http://schemas.openxmlformats.org/officeDocument/2006/relationships/hyperlink" Target="https://katalogsp.sk/wp-content/uploads/2021/12/MiniFARMA-banner11-E-katalog-RSP.jpg" TargetMode="External"/><Relationship Id="rId16" Type="http://schemas.openxmlformats.org/officeDocument/2006/relationships/hyperlink" Target="https://katalogsp.sk/mh-asist-s-r-o/" TargetMode="External"/><Relationship Id="rId19" Type="http://schemas.openxmlformats.org/officeDocument/2006/relationships/hyperlink" Target="https://katalogsp.sk/wp-content/uploads/2022/01/ekatalog_podnikanie-so-srdcomRSP.jpg" TargetMode="External"/><Relationship Id="rId510" Type="http://schemas.openxmlformats.org/officeDocument/2006/relationships/hyperlink" Target="https://katalogsp.sk/wp-content/uploads/2022/01/ekatalog_podnikanie-so-srdcomRSP.jpg" TargetMode="External"/><Relationship Id="rId631" Type="http://schemas.openxmlformats.org/officeDocument/2006/relationships/hyperlink" Target="https://katalogsp.sk/wp-content/uploads/2022/01/ekatalog_podnikanie-so-srdcomRSP.jpg" TargetMode="External"/><Relationship Id="rId18" Type="http://schemas.openxmlformats.org/officeDocument/2006/relationships/hyperlink" Target="https://katalogsp.sk/minifarma-s-r-o/" TargetMode="External"/><Relationship Id="rId630" Type="http://schemas.openxmlformats.org/officeDocument/2006/relationships/hyperlink" Target="https://katalogsp.sk/sluzby-obce-durcina-s-r-o/" TargetMode="External"/><Relationship Id="rId84" Type="http://schemas.openxmlformats.org/officeDocument/2006/relationships/hyperlink" Target="https://katalogsp.sk/sluzby-obce-poproc-s-r-o-r-s-p/" TargetMode="External"/><Relationship Id="rId83" Type="http://schemas.openxmlformats.org/officeDocument/2006/relationships/hyperlink" Target="https://katalogsp.sk/wp-content/uploads/2021/12/Sluzby-obce-Poproc-logo1-E-katalog-RSP.jpg" TargetMode="External"/><Relationship Id="rId86" Type="http://schemas.openxmlformats.org/officeDocument/2006/relationships/hyperlink" Target="https://katalogsp.sk/abb-group-spol-s-r-o/" TargetMode="External"/><Relationship Id="rId85" Type="http://schemas.openxmlformats.org/officeDocument/2006/relationships/hyperlink" Target="https://katalogsp.sk/wp-content/uploads/2022/01/ekatalog_podnikanie-so-srdcomRSP.jpg" TargetMode="External"/><Relationship Id="rId88" Type="http://schemas.openxmlformats.org/officeDocument/2006/relationships/hyperlink" Target="https://katalogsp.sk/marion-zm-s-r-o/" TargetMode="External"/><Relationship Id="rId87" Type="http://schemas.openxmlformats.org/officeDocument/2006/relationships/hyperlink" Target="https://katalogsp.sk/wp-content/uploads/2022/01/ekatalog_podnikanie-so-srdcomRSP.jpg" TargetMode="External"/><Relationship Id="rId89" Type="http://schemas.openxmlformats.org/officeDocument/2006/relationships/hyperlink" Target="https://katalogsp.sk/wp-content/uploads/2022/01/ekatalog_podnikanie-so-srdcomRSP.jpg" TargetMode="External"/><Relationship Id="rId706" Type="http://schemas.openxmlformats.org/officeDocument/2006/relationships/drawing" Target="../drawings/drawing1.xml"/><Relationship Id="rId80" Type="http://schemas.openxmlformats.org/officeDocument/2006/relationships/hyperlink" Target="https://katalogsp.sk/cacaofe-s-r-o/" TargetMode="External"/><Relationship Id="rId82" Type="http://schemas.openxmlformats.org/officeDocument/2006/relationships/hyperlink" Target="https://katalogsp.sk/cevas-s-r-o/" TargetMode="External"/><Relationship Id="rId81" Type="http://schemas.openxmlformats.org/officeDocument/2006/relationships/hyperlink" Target="https://katalogsp.sk/wp-content/uploads/2021/12/Cevas-main2.jpg" TargetMode="External"/><Relationship Id="rId701" Type="http://schemas.openxmlformats.org/officeDocument/2006/relationships/hyperlink" Target="https://katalogsp.gov.sk/wp-content/uploads/2025/08/IMG_2754-Abtex-Shop-1-rotated.jpg" TargetMode="External"/><Relationship Id="rId700" Type="http://schemas.openxmlformats.org/officeDocument/2006/relationships/hyperlink" Target="https://katalogsp.gov.sk/obecny-podnik-liptovsky-ondrej-s-r-o/" TargetMode="External"/><Relationship Id="rId705" Type="http://schemas.openxmlformats.org/officeDocument/2006/relationships/hyperlink" Target="https://katalogsp.gov.sk/wp-content/uploads/2022/01/ekatalog_podnikanie-so-srdcomRSP.jpg" TargetMode="External"/><Relationship Id="rId704" Type="http://schemas.openxmlformats.org/officeDocument/2006/relationships/hyperlink" Target="https://katalogsp.gov.sk/izab-s-r-o/" TargetMode="External"/><Relationship Id="rId703" Type="http://schemas.openxmlformats.org/officeDocument/2006/relationships/hyperlink" Target="https://katalogsp.gov.sk/wp-content/uploads/2022/01/ekatalog_podnikanie-so-srdcomRSP.jpg" TargetMode="External"/><Relationship Id="rId702" Type="http://schemas.openxmlformats.org/officeDocument/2006/relationships/hyperlink" Target="https://katalogsp.gov.sk/abtex-s-r-o/" TargetMode="External"/><Relationship Id="rId73" Type="http://schemas.openxmlformats.org/officeDocument/2006/relationships/hyperlink" Target="https://katalogsp.sk/wp-content/uploads/2022/01/ekatalog_podnikanie-so-srdcomRSP.jpg" TargetMode="External"/><Relationship Id="rId72" Type="http://schemas.openxmlformats.org/officeDocument/2006/relationships/hyperlink" Target="https://katalogsp.sk/wms-s-r-o/" TargetMode="External"/><Relationship Id="rId75" Type="http://schemas.openxmlformats.org/officeDocument/2006/relationships/hyperlink" Target="https://katalogsp.sk/wp-content/uploads/2022/01/ekatalog_podnikanie-so-srdcomRSP.jpg" TargetMode="External"/><Relationship Id="rId74" Type="http://schemas.openxmlformats.org/officeDocument/2006/relationships/hyperlink" Target="https://katalogsp.sk/sino-o-z-r-s-p/" TargetMode="External"/><Relationship Id="rId77" Type="http://schemas.openxmlformats.org/officeDocument/2006/relationships/hyperlink" Target="https://katalogsp.sk/wp-content/uploads/2021/12/Slovenske-ludove-umenie-banner1-E-katalog-RSP.jpg" TargetMode="External"/><Relationship Id="rId76" Type="http://schemas.openxmlformats.org/officeDocument/2006/relationships/hyperlink" Target="https://katalogsp.sk/faustulus-s-r-o-r-s-p/" TargetMode="External"/><Relationship Id="rId79" Type="http://schemas.openxmlformats.org/officeDocument/2006/relationships/hyperlink" Target="https://katalogsp.sk/wp-content/uploads/2021/12/Cacaofe-banner21-E-katalog-RSP.jpg" TargetMode="External"/><Relationship Id="rId78" Type="http://schemas.openxmlformats.org/officeDocument/2006/relationships/hyperlink" Target="https://katalogsp.sk/slovenske-ludove-umenie-helena-fekiacova-s-r-o/" TargetMode="External"/><Relationship Id="rId71" Type="http://schemas.openxmlformats.org/officeDocument/2006/relationships/hyperlink" Target="https://katalogsp.sk/wp-content/uploads/2022/01/ekatalog_podnikanie-so-srdcomRSP.jpg" TargetMode="External"/><Relationship Id="rId70" Type="http://schemas.openxmlformats.org/officeDocument/2006/relationships/hyperlink" Target="https://katalogsp.sk/naburalsom-s-r-o/" TargetMode="External"/><Relationship Id="rId62" Type="http://schemas.openxmlformats.org/officeDocument/2006/relationships/hyperlink" Target="https://katalogsp.sk/upcycle-s-r-o/" TargetMode="External"/><Relationship Id="rId61" Type="http://schemas.openxmlformats.org/officeDocument/2006/relationships/hyperlink" Target="https://katalogsp.sk/wp-content/uploads/2022/01/ekatalog_podnikanie-so-srdcomRSP.jpg" TargetMode="External"/><Relationship Id="rId64" Type="http://schemas.openxmlformats.org/officeDocument/2006/relationships/hyperlink" Target="https://katalogsp.sk/t-servis-teplicka-s-r-o/" TargetMode="External"/><Relationship Id="rId63" Type="http://schemas.openxmlformats.org/officeDocument/2006/relationships/hyperlink" Target="https://katalogsp.sk/wp-content/uploads/2022/01/ekatalog_podnikanie-so-srdcomRSP.jpg" TargetMode="External"/><Relationship Id="rId66" Type="http://schemas.openxmlformats.org/officeDocument/2006/relationships/hyperlink" Target="https://katalogsp.sk/pavel-malec-s-r-o-registrovany-socialny-podnik/" TargetMode="External"/><Relationship Id="rId65" Type="http://schemas.openxmlformats.org/officeDocument/2006/relationships/hyperlink" Target="https://katalogsp.sk/wp-content/uploads/2022/01/ekatalog_podnikanie-so-srdcomRSP.jpg" TargetMode="External"/><Relationship Id="rId68" Type="http://schemas.openxmlformats.org/officeDocument/2006/relationships/hyperlink" Target="https://katalogsp.sk/harikoe-s-r-o/" TargetMode="External"/><Relationship Id="rId67" Type="http://schemas.openxmlformats.org/officeDocument/2006/relationships/hyperlink" Target="https://katalogsp.sk/wp-content/uploads/2021/12/HARIKOE-banner3-E-katalog-RSP.jpg" TargetMode="External"/><Relationship Id="rId609" Type="http://schemas.openxmlformats.org/officeDocument/2006/relationships/hyperlink" Target="https://katalogsp.sk/pm-constructa-s-r-o/" TargetMode="External"/><Relationship Id="rId608" Type="http://schemas.openxmlformats.org/officeDocument/2006/relationships/hyperlink" Target="https://katalogsp.sk/wp-content/uploads/2022/10/PM-CONSTRUCTA_2.jpg" TargetMode="External"/><Relationship Id="rId607" Type="http://schemas.openxmlformats.org/officeDocument/2006/relationships/hyperlink" Target="https://katalogsp.sk/localhand-s-r-o/" TargetMode="External"/><Relationship Id="rId60" Type="http://schemas.openxmlformats.org/officeDocument/2006/relationships/hyperlink" Target="https://katalogsp.sk/mestsky-podnik-snina-s-r-o/" TargetMode="External"/><Relationship Id="rId602" Type="http://schemas.openxmlformats.org/officeDocument/2006/relationships/hyperlink" Target="https://katalogsp.sk/wp-content/uploads/2022/01/ekatalog_podnikanie-so-srdcomRSP.jpg" TargetMode="External"/><Relationship Id="rId601" Type="http://schemas.openxmlformats.org/officeDocument/2006/relationships/hyperlink" Target="https://katalogsp.sk/radio-bojnice-s-r-o" TargetMode="External"/><Relationship Id="rId600" Type="http://schemas.openxmlformats.org/officeDocument/2006/relationships/hyperlink" Target="https://katalogsp.sk/wp-content/uploads/2022/01/ekatalog_podnikanie-so-srdcomRSP.jpg" TargetMode="External"/><Relationship Id="rId606" Type="http://schemas.openxmlformats.org/officeDocument/2006/relationships/hyperlink" Target="https://katalogsp.sk/wp-content/uploads/2022/10/localhand1.png" TargetMode="External"/><Relationship Id="rId605" Type="http://schemas.openxmlformats.org/officeDocument/2006/relationships/hyperlink" Target="https://katalogsp.sk/viana-art-o-z/" TargetMode="External"/><Relationship Id="rId604" Type="http://schemas.openxmlformats.org/officeDocument/2006/relationships/hyperlink" Target="https://katalogsp.sk/wp-content/uploads/2022/10/Viana-Art.jpg" TargetMode="External"/><Relationship Id="rId603" Type="http://schemas.openxmlformats.org/officeDocument/2006/relationships/hyperlink" Target="https://katalogsp.sk/kvk-design-s-r-o" TargetMode="External"/><Relationship Id="rId69" Type="http://schemas.openxmlformats.org/officeDocument/2006/relationships/hyperlink" Target="https://katalogsp.sk/wp-content/uploads/2021/12/Nabural-com-logo1-E-katalog-RSP.jpg" TargetMode="External"/><Relationship Id="rId51" Type="http://schemas.openxmlformats.org/officeDocument/2006/relationships/hyperlink" Target="https://katalogsp.sk/wp-content/uploads/2021/12/Majolika-R-banner4-E-katalog-RSP.jpg" TargetMode="External"/><Relationship Id="rId50" Type="http://schemas.openxmlformats.org/officeDocument/2006/relationships/hyperlink" Target="https://katalogsp.sk/goel-media-s-r-o/" TargetMode="External"/><Relationship Id="rId53" Type="http://schemas.openxmlformats.org/officeDocument/2006/relationships/hyperlink" Target="https://katalogsp.sk/wp-content/uploads/2022/01/ekatalog_podnikanie-so-srdcomRSP.jpg" TargetMode="External"/><Relationship Id="rId52" Type="http://schemas.openxmlformats.org/officeDocument/2006/relationships/hyperlink" Target="https://katalogsp.sk/majolika-r-s-r-o/" TargetMode="External"/><Relationship Id="rId55" Type="http://schemas.openxmlformats.org/officeDocument/2006/relationships/hyperlink" Target="https://katalogsp.sk/wp-content/uploads/2022/01/ekatalog_podnikanie-so-srdcomRSP.jpg" TargetMode="External"/><Relationship Id="rId54" Type="http://schemas.openxmlformats.org/officeDocument/2006/relationships/hyperlink" Target="https://katalogsp.sk/unicol-s-r-o-r-s-p/" TargetMode="External"/><Relationship Id="rId57" Type="http://schemas.openxmlformats.org/officeDocument/2006/relationships/hyperlink" Target="https://katalogsp.sk/wp-content/uploads/2021/12/Dreveno-Koliesko-2.jpg" TargetMode="External"/><Relationship Id="rId56" Type="http://schemas.openxmlformats.org/officeDocument/2006/relationships/hyperlink" Target="https://katalogsp.sk/agro-drevinovy-ekosystem-bbsk-s-r-o-registrovany-socialny-podnik/" TargetMode="External"/><Relationship Id="rId59" Type="http://schemas.openxmlformats.org/officeDocument/2006/relationships/hyperlink" Target="https://katalogsp.sk/wp-content/uploads/2022/01/ekatalog_podnikanie-so-srdcomRSP.jpg" TargetMode="External"/><Relationship Id="rId58" Type="http://schemas.openxmlformats.org/officeDocument/2006/relationships/hyperlink" Target="https://katalogsp.sk/dreveno-koliesko-s-r-o/" TargetMode="External"/><Relationship Id="rId590" Type="http://schemas.openxmlformats.org/officeDocument/2006/relationships/hyperlink" Target="https://katalogsp.gov.sk/wp-content/uploads/2022/08/KM-Equipment_kmi-heater.jpg" TargetMode="External"/><Relationship Id="rId107" Type="http://schemas.openxmlformats.org/officeDocument/2006/relationships/hyperlink" Target="https://katalogsp.sk/wp-content/uploads/2022/01/ekatalog_podnikanie-so-srdcomRSP.jpg" TargetMode="External"/><Relationship Id="rId228" Type="http://schemas.openxmlformats.org/officeDocument/2006/relationships/hyperlink" Target="https://katalogsp.sk/wp-content/uploads/2021/12/Conti-eco1.jpg" TargetMode="External"/><Relationship Id="rId349" Type="http://schemas.openxmlformats.org/officeDocument/2006/relationships/hyperlink" Target="https://katalogsp.sk/rozvoj-a-spolupraca-s-r-o/" TargetMode="External"/><Relationship Id="rId106" Type="http://schemas.openxmlformats.org/officeDocument/2006/relationships/hyperlink" Target="https://katalogsp.sk/error-s-r-o/" TargetMode="External"/><Relationship Id="rId227" Type="http://schemas.openxmlformats.org/officeDocument/2006/relationships/hyperlink" Target="https://katalogsp.sk/socialny-podnik-toporec-s-r-o/" TargetMode="External"/><Relationship Id="rId348" Type="http://schemas.openxmlformats.org/officeDocument/2006/relationships/hyperlink" Target="https://katalogsp.sk/wp-content/uploads/2021/12/Rozvoj-a-spolupraca-banner5.jpg" TargetMode="External"/><Relationship Id="rId469" Type="http://schemas.openxmlformats.org/officeDocument/2006/relationships/hyperlink" Target="https://katalogsp.sk/ra-design-s-r-o/" TargetMode="External"/><Relationship Id="rId105" Type="http://schemas.openxmlformats.org/officeDocument/2006/relationships/hyperlink" Target="https://katalogsp.sk/wp-content/uploads/2021/12/Error-banner1-E-katalog-RSP.jpg" TargetMode="External"/><Relationship Id="rId226" Type="http://schemas.openxmlformats.org/officeDocument/2006/relationships/hyperlink" Target="https://katalogsp.sk/wp-content/uploads/2022/01/ekatalog_podnikanie-so-srdcomRSP.jpg" TargetMode="External"/><Relationship Id="rId347" Type="http://schemas.openxmlformats.org/officeDocument/2006/relationships/hyperlink" Target="https://katalogsp.sk/vyskum-a-inovacie-s-r-o/" TargetMode="External"/><Relationship Id="rId468" Type="http://schemas.openxmlformats.org/officeDocument/2006/relationships/hyperlink" Target="https://katalogsp.sk/wp-content/uploads/2022/01/ekatalog_podnikanie-so-srdcomRSP.jpg" TargetMode="External"/><Relationship Id="rId589" Type="http://schemas.openxmlformats.org/officeDocument/2006/relationships/hyperlink" Target="https://katalogsp.sk/tsm-dubnica-nad-vahom-s-r-o/" TargetMode="External"/><Relationship Id="rId104" Type="http://schemas.openxmlformats.org/officeDocument/2006/relationships/hyperlink" Target="https://katalogsp.sk/jas-bardejov-s-r-o/" TargetMode="External"/><Relationship Id="rId225" Type="http://schemas.openxmlformats.org/officeDocument/2006/relationships/hyperlink" Target="https://katalogsp.sk/socialno-ekonomicky-podnik-zsk-s-r-o-r-s-p/" TargetMode="External"/><Relationship Id="rId346" Type="http://schemas.openxmlformats.org/officeDocument/2006/relationships/hyperlink" Target="https://katalogsp.sk/wp-content/uploads/2022/01/ekatalog_podnikanie-so-srdcomRSP.jpg" TargetMode="External"/><Relationship Id="rId467" Type="http://schemas.openxmlformats.org/officeDocument/2006/relationships/hyperlink" Target="https://katalogsp.sk/fandime-slovensku-obcianske-zdruzenie/" TargetMode="External"/><Relationship Id="rId588" Type="http://schemas.openxmlformats.org/officeDocument/2006/relationships/hyperlink" Target="https://katalogsp.sk/wp-content/uploads/2022/08/TSM-1-RSP-KatalogSP.jpg" TargetMode="External"/><Relationship Id="rId109" Type="http://schemas.openxmlformats.org/officeDocument/2006/relationships/hyperlink" Target="https://katalogsp.sk/wp-content/uploads/2021/12/Flowie-banner2-E-katalog-RSP.jpg" TargetMode="External"/><Relationship Id="rId108" Type="http://schemas.openxmlformats.org/officeDocument/2006/relationships/hyperlink" Target="https://katalogsp.sk/porubske-sluzby-s-r-o/" TargetMode="External"/><Relationship Id="rId229" Type="http://schemas.openxmlformats.org/officeDocument/2006/relationships/hyperlink" Target="https://katalogsp.sk/conti-eco-s-r-o/" TargetMode="External"/><Relationship Id="rId220" Type="http://schemas.openxmlformats.org/officeDocument/2006/relationships/hyperlink" Target="https://katalogsp.sk/wp-content/uploads/2021/12/Multihouse-2.jpg" TargetMode="External"/><Relationship Id="rId341" Type="http://schemas.openxmlformats.org/officeDocument/2006/relationships/hyperlink" Target="https://katalogsp.sk/erwel-s-r-o/" TargetMode="External"/><Relationship Id="rId462" Type="http://schemas.openxmlformats.org/officeDocument/2006/relationships/hyperlink" Target="https://katalogsp.sk/wp-content/uploads/2022/01/M_PROMEX_foto3.jpg" TargetMode="External"/><Relationship Id="rId583" Type="http://schemas.openxmlformats.org/officeDocument/2006/relationships/hyperlink" Target="https://katalogsp.sk/centrala-s-r-o/" TargetMode="External"/><Relationship Id="rId340" Type="http://schemas.openxmlformats.org/officeDocument/2006/relationships/hyperlink" Target="https://katalogsp.sk/wp-content/uploads/2021/12/ERWEL-s.r.o-2.jpg" TargetMode="External"/><Relationship Id="rId461" Type="http://schemas.openxmlformats.org/officeDocument/2006/relationships/hyperlink" Target="https://katalogsp.sk/slunce-s-r-o/" TargetMode="External"/><Relationship Id="rId582" Type="http://schemas.openxmlformats.org/officeDocument/2006/relationships/hyperlink" Target="https://katalogsp.sk/wp-content/uploads/2022/01/ekatalog_podnikanie-so-srdcomRSP.jpg" TargetMode="External"/><Relationship Id="rId460" Type="http://schemas.openxmlformats.org/officeDocument/2006/relationships/hyperlink" Target="https://katalogsp.sk/wp-content/uploads/2022/01/RSP-Slunce-4.jpg" TargetMode="External"/><Relationship Id="rId581" Type="http://schemas.openxmlformats.org/officeDocument/2006/relationships/hyperlink" Target="https://katalogsp.sk/octan-plus-s-r-o/" TargetMode="External"/><Relationship Id="rId580" Type="http://schemas.openxmlformats.org/officeDocument/2006/relationships/hyperlink" Target="https://katalogsp.sk/wp-content/uploads/2022/01/ekatalog_podnikanie-so-srdcomRSP.jpg" TargetMode="External"/><Relationship Id="rId103" Type="http://schemas.openxmlformats.org/officeDocument/2006/relationships/hyperlink" Target="https://katalogsp.sk/wp-content/uploads/2021/12/JAS-Bardejov-logo1-E-katalog-RSP.jpg" TargetMode="External"/><Relationship Id="rId224" Type="http://schemas.openxmlformats.org/officeDocument/2006/relationships/hyperlink" Target="https://katalogsp.sk/wp-content/uploads/2021/12/Socialno-ekonomicky-podnik-3.jpg" TargetMode="External"/><Relationship Id="rId345" Type="http://schemas.openxmlformats.org/officeDocument/2006/relationships/hyperlink" Target="https://katalogsp.sk/rimgal-spol-s-r-o/" TargetMode="External"/><Relationship Id="rId466" Type="http://schemas.openxmlformats.org/officeDocument/2006/relationships/hyperlink" Target="https://katalogsp.sk/wp-content/uploads/2022/01/ekatalog_podnikanie-so-srdcomRSP.jpg" TargetMode="External"/><Relationship Id="rId587" Type="http://schemas.openxmlformats.org/officeDocument/2006/relationships/hyperlink" Target="https://katalogsp.sk/projman-s-r-o/" TargetMode="External"/><Relationship Id="rId102" Type="http://schemas.openxmlformats.org/officeDocument/2006/relationships/hyperlink" Target="https://katalogsp.sk/imunitas-s-r-o/" TargetMode="External"/><Relationship Id="rId223" Type="http://schemas.openxmlformats.org/officeDocument/2006/relationships/hyperlink" Target="https://katalogsp.sk/istraslov-spol-s-r-o/" TargetMode="External"/><Relationship Id="rId344" Type="http://schemas.openxmlformats.org/officeDocument/2006/relationships/hyperlink" Target="https://katalogsp.sk/wp-content/uploads/2021/12/Rimgal-spol.-s-r.o.-banner1.jpg" TargetMode="External"/><Relationship Id="rId465" Type="http://schemas.openxmlformats.org/officeDocument/2006/relationships/hyperlink" Target="https://katalogsp.sk/vartoth-s-r-o/" TargetMode="External"/><Relationship Id="rId586" Type="http://schemas.openxmlformats.org/officeDocument/2006/relationships/hyperlink" Target="https://katalogsp.sk/wp-content/uploads/2022/01/ekatalog_podnikanie-so-srdcomRSP.jpg" TargetMode="External"/><Relationship Id="rId101" Type="http://schemas.openxmlformats.org/officeDocument/2006/relationships/hyperlink" Target="https://katalogsp.sk/wp-content/uploads/2022/01/ekatalog_podnikanie-so-srdcomRSP.jpg" TargetMode="External"/><Relationship Id="rId222" Type="http://schemas.openxmlformats.org/officeDocument/2006/relationships/hyperlink" Target="https://katalogsp.sk/wp-content/uploads/2022/01/ekatalog_podnikanie-so-srdcomRSP.jpg" TargetMode="External"/><Relationship Id="rId343" Type="http://schemas.openxmlformats.org/officeDocument/2006/relationships/hyperlink" Target="https://katalogsp.sk/bisoa-society-s-r-o-r-s-p/" TargetMode="External"/><Relationship Id="rId464" Type="http://schemas.openxmlformats.org/officeDocument/2006/relationships/hyperlink" Target="https://katalogsp.sk/wp-content/uploads/2022/01/VARTOTH_3.jpeg" TargetMode="External"/><Relationship Id="rId585" Type="http://schemas.openxmlformats.org/officeDocument/2006/relationships/hyperlink" Target="https://katalogsp.sk/autodiely-omega-s-r-o/" TargetMode="External"/><Relationship Id="rId100" Type="http://schemas.openxmlformats.org/officeDocument/2006/relationships/hyperlink" Target="https://katalogsp.sk/jd-cleaning-s-r-o/" TargetMode="External"/><Relationship Id="rId221" Type="http://schemas.openxmlformats.org/officeDocument/2006/relationships/hyperlink" Target="https://katalogsp.sk/multihouse-s-r-o/" TargetMode="External"/><Relationship Id="rId342" Type="http://schemas.openxmlformats.org/officeDocument/2006/relationships/hyperlink" Target="https://katalogsp.sk/wp-content/uploads/2022/01/ekatalog_podnikanie-so-srdcomRSP.jpg" TargetMode="External"/><Relationship Id="rId463" Type="http://schemas.openxmlformats.org/officeDocument/2006/relationships/hyperlink" Target="https://katalogsp.sk/m-promex-s-r-o/" TargetMode="External"/><Relationship Id="rId584" Type="http://schemas.openxmlformats.org/officeDocument/2006/relationships/hyperlink" Target="https://katalogsp.sk/wp-content/uploads/2022/01/ekatalog_podnikanie-so-srdcomRSP.jpg" TargetMode="External"/><Relationship Id="rId217" Type="http://schemas.openxmlformats.org/officeDocument/2006/relationships/hyperlink" Target="https://katalogsp.sk/prima-timber-s-r-o/" TargetMode="External"/><Relationship Id="rId338" Type="http://schemas.openxmlformats.org/officeDocument/2006/relationships/hyperlink" Target="https://katalogsp.sk/wp-content/uploads/2022/01/ekatalog_podnikanie-so-srdcomRSP.jpg" TargetMode="External"/><Relationship Id="rId459" Type="http://schemas.openxmlformats.org/officeDocument/2006/relationships/hyperlink" Target="https://katalogsp.sk/gemgal-s-r-o-roznava-r-s-p/" TargetMode="External"/><Relationship Id="rId216" Type="http://schemas.openxmlformats.org/officeDocument/2006/relationships/hyperlink" Target="https://katalogsp.sk/wp-content/uploads/2022/01/ekatalog_podnikanie-so-srdcomRSP.jpg" TargetMode="External"/><Relationship Id="rId337" Type="http://schemas.openxmlformats.org/officeDocument/2006/relationships/hyperlink" Target="https://katalogsp.sk/sbs-kobra-martin-s-r-o/" TargetMode="External"/><Relationship Id="rId458" Type="http://schemas.openxmlformats.org/officeDocument/2006/relationships/hyperlink" Target="https://katalogsp.sk/wp-content/uploads/2022/01/ekatalog_podnikanie-so-srdcomRSP.jpg" TargetMode="External"/><Relationship Id="rId579" Type="http://schemas.openxmlformats.org/officeDocument/2006/relationships/hyperlink" Target="https://katalogsp.sk/cibeka-s-r-o/" TargetMode="External"/><Relationship Id="rId215" Type="http://schemas.openxmlformats.org/officeDocument/2006/relationships/hyperlink" Target="https://katalogsp.sk/obecne-sluzby-polhora-s-r-o/" TargetMode="External"/><Relationship Id="rId336" Type="http://schemas.openxmlformats.org/officeDocument/2006/relationships/hyperlink" Target="https://katalogsp.sk/wp-content/uploads/2022/01/ekatalog_podnikanie-so-srdcomRSP.jpg" TargetMode="External"/><Relationship Id="rId457" Type="http://schemas.openxmlformats.org/officeDocument/2006/relationships/hyperlink" Target="https://katalogsp.sk/sp-jelenec-s-r-o/" TargetMode="External"/><Relationship Id="rId578" Type="http://schemas.openxmlformats.org/officeDocument/2006/relationships/hyperlink" Target="https://katalogsp.sk/wp-content/uploads/2022/01/ekatalog_podnikanie-so-srdcomRSP.jpg" TargetMode="External"/><Relationship Id="rId699" Type="http://schemas.openxmlformats.org/officeDocument/2006/relationships/hyperlink" Target="https://katalogsp.gov.sk/wp-content/uploads/2022/01/ekatalog_podnikanie-so-srdcomRSP.jpg" TargetMode="External"/><Relationship Id="rId214" Type="http://schemas.openxmlformats.org/officeDocument/2006/relationships/hyperlink" Target="https://katalogsp.sk/wp-content/uploads/2022/01/ekatalog_podnikanie-so-srdcomRSP.jpg" TargetMode="External"/><Relationship Id="rId335" Type="http://schemas.openxmlformats.org/officeDocument/2006/relationships/hyperlink" Target="https://katalogsp.sk/komunalne-sluzby-horna-suca-s-r-o-r-s-p/" TargetMode="External"/><Relationship Id="rId456" Type="http://schemas.openxmlformats.org/officeDocument/2006/relationships/hyperlink" Target="https://katalogsp.sk/wp-content/uploads/2022/01/RSP-Jelenec_4.jpg" TargetMode="External"/><Relationship Id="rId577" Type="http://schemas.openxmlformats.org/officeDocument/2006/relationships/hyperlink" Target="https://katalogsp.sk/dp-zvarmont-s-r-o-r-s-p/" TargetMode="External"/><Relationship Id="rId698" Type="http://schemas.openxmlformats.org/officeDocument/2006/relationships/hyperlink" Target="https://katalogsp.gov.sk/sprava-mestskeho-majetku-galanta/" TargetMode="External"/><Relationship Id="rId219" Type="http://schemas.openxmlformats.org/officeDocument/2006/relationships/hyperlink" Target="https://katalogsp.sk/b-a-b-spol-s-r-o/" TargetMode="External"/><Relationship Id="rId218" Type="http://schemas.openxmlformats.org/officeDocument/2006/relationships/hyperlink" Target="https://katalogsp.sk/wp-content/uploads/2022/01/ekatalog_podnikanie-so-srdcomRSP.jpg" TargetMode="External"/><Relationship Id="rId339" Type="http://schemas.openxmlformats.org/officeDocument/2006/relationships/hyperlink" Target="https://katalogsp.sk/stavenec-bystre-s-r-o-r-s-p/" TargetMode="External"/><Relationship Id="rId330" Type="http://schemas.openxmlformats.org/officeDocument/2006/relationships/hyperlink" Target="https://katalogsp.sk/wp-content/uploads/2022/01/ekatalog_podnikanie-so-srdcomRSP.jpg" TargetMode="External"/><Relationship Id="rId451" Type="http://schemas.openxmlformats.org/officeDocument/2006/relationships/hyperlink" Target="https://katalogsp.sk/ramex-trade-s-r-o/" TargetMode="External"/><Relationship Id="rId572" Type="http://schemas.openxmlformats.org/officeDocument/2006/relationships/hyperlink" Target="https://katalogsp.sk/wp-content/uploads/2022/06/KomPaS-banner-KatalogSP-3.jpg" TargetMode="External"/><Relationship Id="rId693" Type="http://schemas.openxmlformats.org/officeDocument/2006/relationships/hyperlink" Target="https://katalogsp.gov.sk/wp-content/uploads/2025/08/1-RSP-LOGO-Levcikova-Lucia.png" TargetMode="External"/><Relationship Id="rId450" Type="http://schemas.openxmlformats.org/officeDocument/2006/relationships/hyperlink" Target="https://katalogsp.sk/wp-content/uploads/2022/01/ekatalog_podnikanie-so-srdcomRSP.jpg" TargetMode="External"/><Relationship Id="rId571" Type="http://schemas.openxmlformats.org/officeDocument/2006/relationships/hyperlink" Target="https://katalogsp.gov.sk/kreativo-s-r-o/" TargetMode="External"/><Relationship Id="rId692" Type="http://schemas.openxmlformats.org/officeDocument/2006/relationships/hyperlink" Target="https://katalogsp.gov.sk/stolarstvo-vaclav-s-r-o/" TargetMode="External"/><Relationship Id="rId570" Type="http://schemas.openxmlformats.org/officeDocument/2006/relationships/hyperlink" Target="https://katalogsp.gov.sk/wp-content/uploads/2022/06/kreativo-banner-KatalogSP-2.jpg" TargetMode="External"/><Relationship Id="rId691" Type="http://schemas.openxmlformats.org/officeDocument/2006/relationships/hyperlink" Target="https://katalogsp.gov.sk/wp-content/uploads/2022/01/ekatalog_podnikanie-so-srdcomRSP.jpg" TargetMode="External"/><Relationship Id="rId690" Type="http://schemas.openxmlformats.org/officeDocument/2006/relationships/hyperlink" Target="https://katalogsp.gov.sk/wayana-s-r-o/" TargetMode="External"/><Relationship Id="rId213" Type="http://schemas.openxmlformats.org/officeDocument/2006/relationships/hyperlink" Target="https://katalogsp.sk/registrovany-socialny-podnik-mj-faba-s-r-o/" TargetMode="External"/><Relationship Id="rId334" Type="http://schemas.openxmlformats.org/officeDocument/2006/relationships/hyperlink" Target="https://katalogsp.sk/wp-content/uploads/2021/12/Komunalne-Sluzby-Horna-Suca-s.r.o.-banner2-E-katalog-RSP.jpg" TargetMode="External"/><Relationship Id="rId455" Type="http://schemas.openxmlformats.org/officeDocument/2006/relationships/hyperlink" Target="https://katalogsp.sk/inziniering-mh-s-r-o/" TargetMode="External"/><Relationship Id="rId576" Type="http://schemas.openxmlformats.org/officeDocument/2006/relationships/hyperlink" Target="https://katalogsp.sk/wp-content/uploads/2022/06/DP-ZvarMont-foto2-KatalogSP.jpg" TargetMode="External"/><Relationship Id="rId697" Type="http://schemas.openxmlformats.org/officeDocument/2006/relationships/hyperlink" Target="https://katalogsp.gov.sk/wp-content/uploads/2022/01/ekatalog_podnikanie-so-srdcomRSP.jpg" TargetMode="External"/><Relationship Id="rId212" Type="http://schemas.openxmlformats.org/officeDocument/2006/relationships/hyperlink" Target="https://katalogsp.sk/wp-content/uploads/2021/12/MJ-Faba-1.jpg" TargetMode="External"/><Relationship Id="rId333" Type="http://schemas.openxmlformats.org/officeDocument/2006/relationships/hyperlink" Target="https://katalogsp.sk/thermostav-s-r-o/" TargetMode="External"/><Relationship Id="rId454" Type="http://schemas.openxmlformats.org/officeDocument/2006/relationships/hyperlink" Target="https://katalogsp.sk/wp-content/uploads/2022/01/ekatalog_podnikanie-so-srdcomRSP.jpg" TargetMode="External"/><Relationship Id="rId575" Type="http://schemas.openxmlformats.org/officeDocument/2006/relationships/hyperlink" Target="https://katalogsp.sk/duo-work-s-r-o/" TargetMode="External"/><Relationship Id="rId696" Type="http://schemas.openxmlformats.org/officeDocument/2006/relationships/hyperlink" Target="https://katalogsp.gov.sk/stavgor-s-r-o/" TargetMode="External"/><Relationship Id="rId211" Type="http://schemas.openxmlformats.org/officeDocument/2006/relationships/hyperlink" Target="https://katalogsp.sk/vygast-s-r-o/" TargetMode="External"/><Relationship Id="rId332" Type="http://schemas.openxmlformats.org/officeDocument/2006/relationships/hyperlink" Target="https://katalogsp.sk/wp-content/uploads/2022/01/ekatalog_podnikanie-so-srdcomRSP.jpg" TargetMode="External"/><Relationship Id="rId453" Type="http://schemas.openxmlformats.org/officeDocument/2006/relationships/hyperlink" Target="https://katalogsp.sk/gergis-s-r-o/" TargetMode="External"/><Relationship Id="rId574" Type="http://schemas.openxmlformats.org/officeDocument/2006/relationships/hyperlink" Target="https://katalogsp.sk/wp-content/uploads/2022/06/DUO-WORK-zahradnictvo-KatalogSP.jpg" TargetMode="External"/><Relationship Id="rId695" Type="http://schemas.openxmlformats.org/officeDocument/2006/relationships/hyperlink" Target="https://katalogsp.gov.sk/wp-content/uploads/2025/08/8899300200266773717-1-_-Jozef-Goral.jpg" TargetMode="External"/><Relationship Id="rId210" Type="http://schemas.openxmlformats.org/officeDocument/2006/relationships/hyperlink" Target="https://katalogsp.sk/wp-content/uploads/2022/01/ekatalog_podnikanie-so-srdcomRSP.jpg" TargetMode="External"/><Relationship Id="rId331" Type="http://schemas.openxmlformats.org/officeDocument/2006/relationships/hyperlink" Target="https://katalogsp.sk/obecny-socialny-podnik-nizna-s-r-o/" TargetMode="External"/><Relationship Id="rId452" Type="http://schemas.openxmlformats.org/officeDocument/2006/relationships/hyperlink" Target="https://katalogsp.sk/wp-content/uploads/2022/01/Gergis-RSP-5.jpg" TargetMode="External"/><Relationship Id="rId573" Type="http://schemas.openxmlformats.org/officeDocument/2006/relationships/hyperlink" Target="https://katalogsp.sk/kompas-s-r-o-r-s-p/" TargetMode="External"/><Relationship Id="rId694" Type="http://schemas.openxmlformats.org/officeDocument/2006/relationships/hyperlink" Target="https://katalogsp.gov.sk/nasa-bublinka-s-r-o/" TargetMode="External"/><Relationship Id="rId370" Type="http://schemas.openxmlformats.org/officeDocument/2006/relationships/hyperlink" Target="https://katalogsp.sk/wp-content/uploads/2022/01/ekatalog_podnikanie-so-srdcomRSP.jpg" TargetMode="External"/><Relationship Id="rId491" Type="http://schemas.openxmlformats.org/officeDocument/2006/relationships/hyperlink" Target="https://katalogsp.sk/hanako-slovakia-s-r-o/" TargetMode="External"/><Relationship Id="rId490" Type="http://schemas.openxmlformats.org/officeDocument/2006/relationships/hyperlink" Target="https://katalogsp.sk/wp-content/uploads/2022/01/ekatalog_podnikanie-so-srdcomRSP.jpg" TargetMode="External"/><Relationship Id="rId129" Type="http://schemas.openxmlformats.org/officeDocument/2006/relationships/hyperlink" Target="https://katalogsp.sk/wp-content/uploads/2022/01/ekatalog_podnikanie-so-srdcomRSP.jpg" TargetMode="External"/><Relationship Id="rId128" Type="http://schemas.openxmlformats.org/officeDocument/2006/relationships/hyperlink" Target="https://katalogsp.sk/pw-logistics-slovakia-s-r-o-r-s-p/" TargetMode="External"/><Relationship Id="rId249" Type="http://schemas.openxmlformats.org/officeDocument/2006/relationships/hyperlink" Target="https://katalogsp.sk/solide-slovakia-s-r-o/" TargetMode="External"/><Relationship Id="rId127" Type="http://schemas.openxmlformats.org/officeDocument/2006/relationships/hyperlink" Target="https://katalogsp.sk/wp-content/uploads/2021/12/PW-Logistics-logo1-E-katalog-RSP.jpg" TargetMode="External"/><Relationship Id="rId248" Type="http://schemas.openxmlformats.org/officeDocument/2006/relationships/hyperlink" Target="https://katalogsp.sk/wp-content/uploads/2021/12/Solide-6-mensie.jpg" TargetMode="External"/><Relationship Id="rId369" Type="http://schemas.openxmlformats.org/officeDocument/2006/relationships/hyperlink" Target="https://katalogsp.sk/sondor-s-r-o/" TargetMode="External"/><Relationship Id="rId126" Type="http://schemas.openxmlformats.org/officeDocument/2006/relationships/hyperlink" Target="https://katalogsp.sk/kozak-s-r-o/" TargetMode="External"/><Relationship Id="rId247" Type="http://schemas.openxmlformats.org/officeDocument/2006/relationships/hyperlink" Target="https://katalogsp.sk/valinek-s-r-o-registrovany-socialny-podnik/" TargetMode="External"/><Relationship Id="rId368" Type="http://schemas.openxmlformats.org/officeDocument/2006/relationships/hyperlink" Target="https://katalogsp.sk/wp-content/uploads/2021/12/Sondor-banner-3.jpg" TargetMode="External"/><Relationship Id="rId489" Type="http://schemas.openxmlformats.org/officeDocument/2006/relationships/hyperlink" Target="https://katalogsp.sk/motodoor-s-r-o/" TargetMode="External"/><Relationship Id="rId121" Type="http://schemas.openxmlformats.org/officeDocument/2006/relationships/hyperlink" Target="https://katalogsp.sk/wp-content/uploads/2021/12/Aptet-logo1-E-katalog-RSP.jpg" TargetMode="External"/><Relationship Id="rId242" Type="http://schemas.openxmlformats.org/officeDocument/2006/relationships/hyperlink" Target="https://katalogsp.sk/wp-content/uploads/2021/12/Mydlaren-TAMARA-2.jpg" TargetMode="External"/><Relationship Id="rId363" Type="http://schemas.openxmlformats.org/officeDocument/2006/relationships/hyperlink" Target="https://katalogsp.sk/socialny-podnik-obce-slovinky-s-r-o/" TargetMode="External"/><Relationship Id="rId484" Type="http://schemas.openxmlformats.org/officeDocument/2006/relationships/hyperlink" Target="https://katalogsp.sk/wp-content/uploads/2022/01/SP-Kosickeho-kraja-logo1.jpg" TargetMode="External"/><Relationship Id="rId120" Type="http://schemas.openxmlformats.org/officeDocument/2006/relationships/hyperlink" Target="https://katalogsp.sk/mestsky-podnik-sluzieb-turany-s-r-o/" TargetMode="External"/><Relationship Id="rId241" Type="http://schemas.openxmlformats.org/officeDocument/2006/relationships/hyperlink" Target="https://katalogsp.sk/oh-bacuch-s-r-o/" TargetMode="External"/><Relationship Id="rId362" Type="http://schemas.openxmlformats.org/officeDocument/2006/relationships/hyperlink" Target="https://katalogsp.sk/wp-content/uploads/2021/12/Socialny-podnik-obce-Slovinky-logo2.jpg" TargetMode="External"/><Relationship Id="rId483" Type="http://schemas.openxmlformats.org/officeDocument/2006/relationships/hyperlink" Target="https://katalogsp.sk/obecny-podnik-cerovo-s-r-o/" TargetMode="External"/><Relationship Id="rId240" Type="http://schemas.openxmlformats.org/officeDocument/2006/relationships/hyperlink" Target="https://katalogsp.sk/wp-content/uploads/2022/01/ekatalog_podnikanie-so-srdcomRSP.jpg" TargetMode="External"/><Relationship Id="rId361" Type="http://schemas.openxmlformats.org/officeDocument/2006/relationships/hyperlink" Target="https://katalogsp.sk/ateka-s-r-o/" TargetMode="External"/><Relationship Id="rId482" Type="http://schemas.openxmlformats.org/officeDocument/2006/relationships/hyperlink" Target="https://katalogsp.sk/wp-content/uploads/2022/01/ekatalog_podnikanie-so-srdcomRSP.jpg" TargetMode="External"/><Relationship Id="rId360" Type="http://schemas.openxmlformats.org/officeDocument/2006/relationships/hyperlink" Target="https://katalogsp.sk/wp-content/uploads/2022/01/ekatalog_podnikanie-so-srdcomRSP.jpg" TargetMode="External"/><Relationship Id="rId481" Type="http://schemas.openxmlformats.org/officeDocument/2006/relationships/hyperlink" Target="https://katalogsp.sk/ja-life-s-r-o-r-s-p/" TargetMode="External"/><Relationship Id="rId125" Type="http://schemas.openxmlformats.org/officeDocument/2006/relationships/hyperlink" Target="https://katalogsp.sk/wp-content/uploads/2021/12/Kozak-banner3-E-katalog-RSP.jpg" TargetMode="External"/><Relationship Id="rId246" Type="http://schemas.openxmlformats.org/officeDocument/2006/relationships/hyperlink" Target="https://katalogsp.sk/wp-content/uploads/2021/12/Valinek-RSP-main1.jpg" TargetMode="External"/><Relationship Id="rId367" Type="http://schemas.openxmlformats.org/officeDocument/2006/relationships/hyperlink" Target="https://katalogsp.sk/obecny-podnik-ostry-grun-s-r-o/" TargetMode="External"/><Relationship Id="rId488" Type="http://schemas.openxmlformats.org/officeDocument/2006/relationships/hyperlink" Target="https://katalogsp.sk/wp-content/uploads/2022/01/ekatalog_podnikanie-so-srdcomRSP.jpg" TargetMode="External"/><Relationship Id="rId124" Type="http://schemas.openxmlformats.org/officeDocument/2006/relationships/hyperlink" Target="https://katalogsp.sk/socialny-podnik-zaskov-s-r-o/" TargetMode="External"/><Relationship Id="rId245" Type="http://schemas.openxmlformats.org/officeDocument/2006/relationships/hyperlink" Target="https://katalogsp.sk/gastrodom-spis-s-r-o/" TargetMode="External"/><Relationship Id="rId366" Type="http://schemas.openxmlformats.org/officeDocument/2006/relationships/hyperlink" Target="https://katalogsp.sk/wp-content/uploads/2022/01/ekatalog_podnikanie-so-srdcomRSP.jpg" TargetMode="External"/><Relationship Id="rId487" Type="http://schemas.openxmlformats.org/officeDocument/2006/relationships/hyperlink" Target="https://katalogsp.sk/socialny-podnik-obce-slavosovce-s-r-o-r-s-p/" TargetMode="External"/><Relationship Id="rId123" Type="http://schemas.openxmlformats.org/officeDocument/2006/relationships/hyperlink" Target="https://katalogsp.sk/wp-content/uploads/2021/12/SP-Zaskov-banner1-E-katalog-RSP.jpg" TargetMode="External"/><Relationship Id="rId244" Type="http://schemas.openxmlformats.org/officeDocument/2006/relationships/hyperlink" Target="https://katalogsp.sk/wp-content/uploads/2021/12/Gastrodom-3.jpg" TargetMode="External"/><Relationship Id="rId365" Type="http://schemas.openxmlformats.org/officeDocument/2006/relationships/hyperlink" Target="https://katalogsp.sk/bj-energy-s-r-o/" TargetMode="External"/><Relationship Id="rId486" Type="http://schemas.openxmlformats.org/officeDocument/2006/relationships/hyperlink" Target="https://katalogsp.sk/wp-content/uploads/2022/01/ekatalog_podnikanie-so-srdcomRSP.jpg" TargetMode="External"/><Relationship Id="rId122" Type="http://schemas.openxmlformats.org/officeDocument/2006/relationships/hyperlink" Target="https://katalogsp.sk/aptet-isp-druzstvo/" TargetMode="External"/><Relationship Id="rId243" Type="http://schemas.openxmlformats.org/officeDocument/2006/relationships/hyperlink" Target="https://katalogsp.sk/mydlaren-tamara/" TargetMode="External"/><Relationship Id="rId364" Type="http://schemas.openxmlformats.org/officeDocument/2006/relationships/hyperlink" Target="https://katalogsp.sk/wp-content/uploads/2022/01/ekatalog_podnikanie-so-srdcomRSP.jpg" TargetMode="External"/><Relationship Id="rId485" Type="http://schemas.openxmlformats.org/officeDocument/2006/relationships/hyperlink" Target="https://katalogsp.sk/socialny-podnik-kosickeho-samospravneho-kraja-s-r-o-r-s-p/" TargetMode="External"/><Relationship Id="rId95" Type="http://schemas.openxmlformats.org/officeDocument/2006/relationships/hyperlink" Target="https://katalogsp.sk/wp-content/uploads/2022/01/ekatalog_podnikanie-so-srdcomRSP.jpg" TargetMode="External"/><Relationship Id="rId94" Type="http://schemas.openxmlformats.org/officeDocument/2006/relationships/hyperlink" Target="https://katalogsp.sk/ipatex-s-r-o/" TargetMode="External"/><Relationship Id="rId97" Type="http://schemas.openxmlformats.org/officeDocument/2006/relationships/hyperlink" Target="https://katalogsp.sk/wp-content/uploads/2021/12/ChangeComputers-main1.jpg" TargetMode="External"/><Relationship Id="rId96" Type="http://schemas.openxmlformats.org/officeDocument/2006/relationships/hyperlink" Target="https://katalogsp.sk/obecny-podnik-sutovce-s-r-o/" TargetMode="External"/><Relationship Id="rId99" Type="http://schemas.openxmlformats.org/officeDocument/2006/relationships/hyperlink" Target="https://katalogsp.sk/wp-content/uploads/2021/12/JD-Cleaning-banner4-E-katalog-RSP.jpg" TargetMode="External"/><Relationship Id="rId480" Type="http://schemas.openxmlformats.org/officeDocument/2006/relationships/hyperlink" Target="https://katalogsp.sk/wp-content/uploads/2022/01/Ja-life-logo1.jpg" TargetMode="External"/><Relationship Id="rId98" Type="http://schemas.openxmlformats.org/officeDocument/2006/relationships/hyperlink" Target="https://katalogsp.sk/change-computer-s-r-o/" TargetMode="External"/><Relationship Id="rId91" Type="http://schemas.openxmlformats.org/officeDocument/2006/relationships/hyperlink" Target="https://katalogsp.sk/wp-content/uploads/2021/12/Elstrote-main1.jpg" TargetMode="External"/><Relationship Id="rId90" Type="http://schemas.openxmlformats.org/officeDocument/2006/relationships/hyperlink" Target="https://katalogsp.sk/socialny-podnik-mesta-levoca-s-r-o-r-s-p/" TargetMode="External"/><Relationship Id="rId93" Type="http://schemas.openxmlformats.org/officeDocument/2006/relationships/hyperlink" Target="https://katalogsp.sk/wp-content/uploads/2021/12/Ipatex-main1.jpg" TargetMode="External"/><Relationship Id="rId92" Type="http://schemas.openxmlformats.org/officeDocument/2006/relationships/hyperlink" Target="https://katalogsp.sk/elstore-spol-sro/" TargetMode="External"/><Relationship Id="rId118" Type="http://schemas.openxmlformats.org/officeDocument/2006/relationships/hyperlink" Target="https://katalogsp.sk/stavjam-s-r-o/" TargetMode="External"/><Relationship Id="rId239" Type="http://schemas.openxmlformats.org/officeDocument/2006/relationships/hyperlink" Target="https://katalogsp.sk/printmania-s-r-o/" TargetMode="External"/><Relationship Id="rId117" Type="http://schemas.openxmlformats.org/officeDocument/2006/relationships/hyperlink" Target="https://katalogsp.sk/wp-content/uploads/2022/01/ekatalog_podnikanie-so-srdcomRSP.jpg" TargetMode="External"/><Relationship Id="rId238" Type="http://schemas.openxmlformats.org/officeDocument/2006/relationships/hyperlink" Target="https://katalogsp.sk/wp-content/uploads/2022/01/ekatalog_podnikanie-so-srdcomRSP.jpg" TargetMode="External"/><Relationship Id="rId359" Type="http://schemas.openxmlformats.org/officeDocument/2006/relationships/hyperlink" Target="https://katalogsp.sk/obecne-sluzby-kunerad-s-r-o/" TargetMode="External"/><Relationship Id="rId116" Type="http://schemas.openxmlformats.org/officeDocument/2006/relationships/hyperlink" Target="https://katalogsp.sk/atyp-interier-servis-s-r-o-r-s-p/" TargetMode="External"/><Relationship Id="rId237" Type="http://schemas.openxmlformats.org/officeDocument/2006/relationships/hyperlink" Target="https://katalogsp.sk/octopus-sk-s-r-o/" TargetMode="External"/><Relationship Id="rId358" Type="http://schemas.openxmlformats.org/officeDocument/2006/relationships/hyperlink" Target="https://katalogsp.sk/wp-content/uploads/2021/12/Obecne-sluzby-Kunerad-2.jpg" TargetMode="External"/><Relationship Id="rId479" Type="http://schemas.openxmlformats.org/officeDocument/2006/relationships/hyperlink" Target="https://katalogsp.sk/registrovany-socialny-podnik-alfa-s-r-o/" TargetMode="External"/><Relationship Id="rId115" Type="http://schemas.openxmlformats.org/officeDocument/2006/relationships/hyperlink" Target="https://katalogsp.sk/wp-content/uploads/2021/12/Atyp-interier-banner3-E-katalog-RSP.jpg" TargetMode="External"/><Relationship Id="rId236" Type="http://schemas.openxmlformats.org/officeDocument/2006/relationships/hyperlink" Target="https://katalogsp.sk/wp-content/uploads/2022/01/ekatalog_podnikanie-so-srdcomRSP.jpg" TargetMode="External"/><Relationship Id="rId357" Type="http://schemas.openxmlformats.org/officeDocument/2006/relationships/hyperlink" Target="https://katalogsp.sk/technicke-sluzby-obce-novot-s-r-o/" TargetMode="External"/><Relationship Id="rId478" Type="http://schemas.openxmlformats.org/officeDocument/2006/relationships/hyperlink" Target="https://katalogsp.sk/wp-content/uploads/2023/08/Alfa_logo.jpg" TargetMode="External"/><Relationship Id="rId599" Type="http://schemas.openxmlformats.org/officeDocument/2006/relationships/hyperlink" Target="https://katalogsp.sk/kvalitne-sluzby-s-r-o/" TargetMode="External"/><Relationship Id="rId119" Type="http://schemas.openxmlformats.org/officeDocument/2006/relationships/hyperlink" Target="https://katalogsp.sk/wp-content/uploads/2022/01/ekatalog_podnikanie-so-srdcomRSP.jpg" TargetMode="External"/><Relationship Id="rId110" Type="http://schemas.openxmlformats.org/officeDocument/2006/relationships/hyperlink" Target="https://katalogsp.sk/flowie-s-r-o/" TargetMode="External"/><Relationship Id="rId231" Type="http://schemas.openxmlformats.org/officeDocument/2006/relationships/hyperlink" Target="https://katalogsp.sk/jumbo-mojmirovce-spol-s-r-o/" TargetMode="External"/><Relationship Id="rId352" Type="http://schemas.openxmlformats.org/officeDocument/2006/relationships/hyperlink" Target="https://katalogsp.sk/wp-content/uploads/2021/12/RENOP-banner2.jpg" TargetMode="External"/><Relationship Id="rId473" Type="http://schemas.openxmlformats.org/officeDocument/2006/relationships/hyperlink" Target="https://katalogsp.sk/hrhovske-sluzby-s-r-o-r-s-p/" TargetMode="External"/><Relationship Id="rId594" Type="http://schemas.openxmlformats.org/officeDocument/2006/relationships/hyperlink" Target="https://katalogsp.sk/wp-content/uploads/2022/01/ekatalog_podnikanie-so-srdcomRSP.jpg" TargetMode="External"/><Relationship Id="rId230" Type="http://schemas.openxmlformats.org/officeDocument/2006/relationships/hyperlink" Target="https://katalogsp.sk/wp-content/uploads/2021/12/Jumbo-Mojmirovce.jpg" TargetMode="External"/><Relationship Id="rId351" Type="http://schemas.openxmlformats.org/officeDocument/2006/relationships/hyperlink" Target="https://katalogsp.sk/sluzby-sucha-nad-parnou-s-r-o/" TargetMode="External"/><Relationship Id="rId472" Type="http://schemas.openxmlformats.org/officeDocument/2006/relationships/hyperlink" Target="https://katalogsp.sk/wp-content/uploads/2022/01/ekatalog_podnikanie-so-srdcomRSP.jpg" TargetMode="External"/><Relationship Id="rId593" Type="http://schemas.openxmlformats.org/officeDocument/2006/relationships/hyperlink" Target="https://katalogsp.sk/silvania-s-r-o-r-s-p/" TargetMode="External"/><Relationship Id="rId350" Type="http://schemas.openxmlformats.org/officeDocument/2006/relationships/hyperlink" Target="https://katalogsp.sk/wp-content/uploads/2021/12/Sucha-nad-Parnou-banner1.jpg" TargetMode="External"/><Relationship Id="rId471" Type="http://schemas.openxmlformats.org/officeDocument/2006/relationships/hyperlink" Target="https://katalogsp.sk/ekopom-s-r-o/" TargetMode="External"/><Relationship Id="rId592" Type="http://schemas.openxmlformats.org/officeDocument/2006/relationships/hyperlink" Target="https://katalogsp.sk/wp-content/uploads/2022/08/Silvania-foto1-KatalopSP.jpg" TargetMode="External"/><Relationship Id="rId470" Type="http://schemas.openxmlformats.org/officeDocument/2006/relationships/hyperlink" Target="https://katalogsp.sk/wp-content/uploads/2022/02/Ekopom-banner.jpg" TargetMode="External"/><Relationship Id="rId591" Type="http://schemas.openxmlformats.org/officeDocument/2006/relationships/hyperlink" Target="https://katalogsp.sk/km-equipment-s-r-o-r-s-p/" TargetMode="External"/><Relationship Id="rId114" Type="http://schemas.openxmlformats.org/officeDocument/2006/relationships/hyperlink" Target="https://katalogsp.sk/duha-vr-s-r-o-r-s-p/" TargetMode="External"/><Relationship Id="rId235" Type="http://schemas.openxmlformats.org/officeDocument/2006/relationships/hyperlink" Target="https://katalogsp.sk/sliacanske-obecne-sluzby-s-r-o/" TargetMode="External"/><Relationship Id="rId356" Type="http://schemas.openxmlformats.org/officeDocument/2006/relationships/hyperlink" Target="https://katalogsp.sk/wp-content/uploads/2021/12/Technicke-sluzby-obce-Novot-banner1.jpg" TargetMode="External"/><Relationship Id="rId477" Type="http://schemas.openxmlformats.org/officeDocument/2006/relationships/hyperlink" Target="https://katalogsp.sk/girmonn-s-r-o/" TargetMode="External"/><Relationship Id="rId598" Type="http://schemas.openxmlformats.org/officeDocument/2006/relationships/hyperlink" Target="https://katalogsp.sk/wp-content/uploads/2022/01/ekatalog_podnikanie-so-srdcomRSP.jpg" TargetMode="External"/><Relationship Id="rId113" Type="http://schemas.openxmlformats.org/officeDocument/2006/relationships/hyperlink" Target="https://katalogsp.sk/wp-content/uploads/2022/01/ekatalog_podnikanie-so-srdcomRSP.jpg" TargetMode="External"/><Relationship Id="rId234" Type="http://schemas.openxmlformats.org/officeDocument/2006/relationships/hyperlink" Target="https://katalogsp.sk/wp-content/uploads/2021/12/Sliacanske-Obecne-Sluzby-2.jpg" TargetMode="External"/><Relationship Id="rId355" Type="http://schemas.openxmlformats.org/officeDocument/2006/relationships/hyperlink" Target="https://katalogsp.sk/grania-rsp-s-r-o/" TargetMode="External"/><Relationship Id="rId476" Type="http://schemas.openxmlformats.org/officeDocument/2006/relationships/hyperlink" Target="https://katalogsp.sk/wp-content/uploads/2022/01/Girmonn2.jpg" TargetMode="External"/><Relationship Id="rId597" Type="http://schemas.openxmlformats.org/officeDocument/2006/relationships/hyperlink" Target="https://katalogsp.sk/protekta-s-r-o-r-s-p/" TargetMode="External"/><Relationship Id="rId112" Type="http://schemas.openxmlformats.org/officeDocument/2006/relationships/hyperlink" Target="https://katalogsp.sk/csa-samoty-s-r-o/" TargetMode="External"/><Relationship Id="rId233" Type="http://schemas.openxmlformats.org/officeDocument/2006/relationships/hyperlink" Target="https://katalogsp.sk/murali-s-r-o/" TargetMode="External"/><Relationship Id="rId354" Type="http://schemas.openxmlformats.org/officeDocument/2006/relationships/hyperlink" Target="https://katalogsp.sk/wp-content/uploads/2022/01/ekatalog_podnikanie-so-srdcomRSP.jpg" TargetMode="External"/><Relationship Id="rId475" Type="http://schemas.openxmlformats.org/officeDocument/2006/relationships/hyperlink" Target="https://katalogsp.sk/poh-s-r-o-registrovany-socialny-podnik/" TargetMode="External"/><Relationship Id="rId596" Type="http://schemas.openxmlformats.org/officeDocument/2006/relationships/hyperlink" Target="https://katalogsp.sk/wp-content/uploads/2022/01/ekatalog_podnikanie-so-srdcomRSP.jpg" TargetMode="External"/><Relationship Id="rId111" Type="http://schemas.openxmlformats.org/officeDocument/2006/relationships/hyperlink" Target="https://katalogsp.sk/wp-content/uploads/2021/12/CSA-SAMOTY-main1.jpg" TargetMode="External"/><Relationship Id="rId232" Type="http://schemas.openxmlformats.org/officeDocument/2006/relationships/hyperlink" Target="https://katalogsp.sk/wp-content/uploads/2022/01/ekatalog_podnikanie-so-srdcomRSP.jpg" TargetMode="External"/><Relationship Id="rId353" Type="http://schemas.openxmlformats.org/officeDocument/2006/relationships/hyperlink" Target="https://katalogsp.sk/renop-spol-s-r-o/" TargetMode="External"/><Relationship Id="rId474" Type="http://schemas.openxmlformats.org/officeDocument/2006/relationships/hyperlink" Target="https://katalogsp.gov.sk/wp-content/uploads/2022/01/POH-logo2.jpg" TargetMode="External"/><Relationship Id="rId595" Type="http://schemas.openxmlformats.org/officeDocument/2006/relationships/hyperlink" Target="https://katalogsp.sk/x-pain-clinic-relax-s-r-o/" TargetMode="External"/><Relationship Id="rId305" Type="http://schemas.openxmlformats.org/officeDocument/2006/relationships/hyperlink" Target="https://katalogsp.sk/vb-sp-s-r-o-r-s-p/" TargetMode="External"/><Relationship Id="rId426" Type="http://schemas.openxmlformats.org/officeDocument/2006/relationships/hyperlink" Target="https://katalogsp.sk/wp-content/uploads/2022/01/NYOS-banner1-E-katalogRSP.jpg" TargetMode="External"/><Relationship Id="rId547" Type="http://schemas.openxmlformats.org/officeDocument/2006/relationships/hyperlink" Target="https://katalogsp.sk/milaja-meat-r-s-p-s-r-o/" TargetMode="External"/><Relationship Id="rId668" Type="http://schemas.openxmlformats.org/officeDocument/2006/relationships/hyperlink" Target="https://katalogsp.sk/neurogym-s-r-o-registrovany-socialny-podnik/" TargetMode="External"/><Relationship Id="rId304" Type="http://schemas.openxmlformats.org/officeDocument/2006/relationships/hyperlink" Target="https://katalogsp.sk/wp-content/uploads/2022/01/ekatalog_podnikanie-so-srdcomRSP.jpg" TargetMode="External"/><Relationship Id="rId425" Type="http://schemas.openxmlformats.org/officeDocument/2006/relationships/hyperlink" Target="https://katalogsp.sk/pedore-s-r-o/" TargetMode="External"/><Relationship Id="rId546" Type="http://schemas.openxmlformats.org/officeDocument/2006/relationships/hyperlink" Target="https://katalogsp.sk/wp-content/uploads/2022/01/ekatalog_podnikanie-so-srdcomRSP.jpg" TargetMode="External"/><Relationship Id="rId667" Type="http://schemas.openxmlformats.org/officeDocument/2006/relationships/hyperlink" Target="https://katalogsp.sk/wp-content/uploads/2022/01/ekatalog_podnikanie-so-srdcomRSP.jpg" TargetMode="External"/><Relationship Id="rId303" Type="http://schemas.openxmlformats.org/officeDocument/2006/relationships/hyperlink" Target="https://katalogsp.sk/ekonoconsult-s-r-o-r-s-p/" TargetMode="External"/><Relationship Id="rId424" Type="http://schemas.openxmlformats.org/officeDocument/2006/relationships/hyperlink" Target="https://katalogsp.sk/wp-content/uploads/2022/01/ekatalog_podnikanie-so-srdcomRSP.jpg" TargetMode="External"/><Relationship Id="rId545" Type="http://schemas.openxmlformats.org/officeDocument/2006/relationships/hyperlink" Target="https://katalogsp.sk/socialny-podnik-mesta-senica-s-r-o/" TargetMode="External"/><Relationship Id="rId666" Type="http://schemas.openxmlformats.org/officeDocument/2006/relationships/hyperlink" Target="https://katalogsp.sk/belspol-sp-s-r-o/" TargetMode="External"/><Relationship Id="rId302" Type="http://schemas.openxmlformats.org/officeDocument/2006/relationships/hyperlink" Target="https://katalogsp.sk/wp-content/uploads/2022/01/ekatalog_podnikanie-so-srdcomRSP.jpg" TargetMode="External"/><Relationship Id="rId423" Type="http://schemas.openxmlformats.org/officeDocument/2006/relationships/hyperlink" Target="https://katalogsp.sk/veri-s-r-o/" TargetMode="External"/><Relationship Id="rId544" Type="http://schemas.openxmlformats.org/officeDocument/2006/relationships/hyperlink" Target="https://katalogsp.sk/wp-content/uploads/2022/01/ekatalog_podnikanie-so-srdcomRSP.jpg" TargetMode="External"/><Relationship Id="rId665" Type="http://schemas.openxmlformats.org/officeDocument/2006/relationships/hyperlink" Target="https://katalogsp.sk/wp-content/uploads/2022/01/ekatalog_podnikanie-so-srdcomRSP.jpg" TargetMode="External"/><Relationship Id="rId309" Type="http://schemas.openxmlformats.org/officeDocument/2006/relationships/hyperlink" Target="https://katalogsp.sk/dedinky-s-r-o/" TargetMode="External"/><Relationship Id="rId308" Type="http://schemas.openxmlformats.org/officeDocument/2006/relationships/hyperlink" Target="https://katalogsp.sk/wp-content/uploads/2022/01/ekatalog_podnikanie-so-srdcomRSP.jpg" TargetMode="External"/><Relationship Id="rId429" Type="http://schemas.openxmlformats.org/officeDocument/2006/relationships/hyperlink" Target="https://katalogsp.sk/pm-house-s-r-o/" TargetMode="External"/><Relationship Id="rId307" Type="http://schemas.openxmlformats.org/officeDocument/2006/relationships/hyperlink" Target="https://katalogsp.sk/solisko-circ-s-r-o-r-s-p/" TargetMode="External"/><Relationship Id="rId428" Type="http://schemas.openxmlformats.org/officeDocument/2006/relationships/hyperlink" Target="https://katalogsp.sk/wp-content/uploads/2022/01/PM-house-s.r.o.-RSP-logo2-E-katalogRSP.jpg" TargetMode="External"/><Relationship Id="rId549" Type="http://schemas.openxmlformats.org/officeDocument/2006/relationships/hyperlink" Target="https://katalogsp.sk/paterson-group-s-r-o-r-s-p/" TargetMode="External"/><Relationship Id="rId306" Type="http://schemas.openxmlformats.org/officeDocument/2006/relationships/hyperlink" Target="https://katalogsp.sk/wp-content/uploads/2021/12/Solisko-Circ-main1.jpg" TargetMode="External"/><Relationship Id="rId427" Type="http://schemas.openxmlformats.org/officeDocument/2006/relationships/hyperlink" Target="https://katalogsp.sk/nyos-r-s-p-s-r-o/" TargetMode="External"/><Relationship Id="rId548" Type="http://schemas.openxmlformats.org/officeDocument/2006/relationships/hyperlink" Target="https://katalogsp.sk/wp-content/uploads/2022/01/Paterson-logo2.jpg" TargetMode="External"/><Relationship Id="rId669" Type="http://schemas.openxmlformats.org/officeDocument/2006/relationships/hyperlink" Target="https://katalogsp.sk/wp-content/uploads/2022/01/ekatalog_podnikanie-so-srdcomRSP.jpg" TargetMode="External"/><Relationship Id="rId660" Type="http://schemas.openxmlformats.org/officeDocument/2006/relationships/hyperlink" Target="https://katalogsp.sk/mgbiz-s-r-o/" TargetMode="External"/><Relationship Id="rId301" Type="http://schemas.openxmlformats.org/officeDocument/2006/relationships/hyperlink" Target="https://katalogsp.sk/olbl-s-r-o/" TargetMode="External"/><Relationship Id="rId422" Type="http://schemas.openxmlformats.org/officeDocument/2006/relationships/hyperlink" Target="https://katalogsp.sk/wp-content/uploads/2022/01/VeRi-sro-Velke-Ripnany-banner1-E-katalogRSP.jpg" TargetMode="External"/><Relationship Id="rId543" Type="http://schemas.openxmlformats.org/officeDocument/2006/relationships/hyperlink" Target="https://katalogsp.sk/kamo-plus-s-r-o/" TargetMode="External"/><Relationship Id="rId664" Type="http://schemas.openxmlformats.org/officeDocument/2006/relationships/hyperlink" Target="https://katalogsp.sk/obecne-sluzby-boldog-s-r-o" TargetMode="External"/><Relationship Id="rId300" Type="http://schemas.openxmlformats.org/officeDocument/2006/relationships/hyperlink" Target="https://katalogsp.sk/wp-content/uploads/2021/12/OLBL-s.r.o-banner3-E-katalog-RSP.jpg" TargetMode="External"/><Relationship Id="rId421" Type="http://schemas.openxmlformats.org/officeDocument/2006/relationships/hyperlink" Target="https://katalogsp.sk/klastor/" TargetMode="External"/><Relationship Id="rId542" Type="http://schemas.openxmlformats.org/officeDocument/2006/relationships/hyperlink" Target="https://katalogsp.sk/wp-content/uploads/2022/01/ekatalog_podnikanie-so-srdcomRSP.jpg" TargetMode="External"/><Relationship Id="rId663" Type="http://schemas.openxmlformats.org/officeDocument/2006/relationships/hyperlink" Target="https://katalogsp.sk/wp-content/uploads/2022/01/ekatalog_podnikanie-so-srdcomRSP.jpg" TargetMode="External"/><Relationship Id="rId420" Type="http://schemas.openxmlformats.org/officeDocument/2006/relationships/hyperlink" Target="https://katalogsp.sk/wp-content/uploads/2022/01/Klastor-banner3-E-katalogRSP.jpg" TargetMode="External"/><Relationship Id="rId541" Type="http://schemas.openxmlformats.org/officeDocument/2006/relationships/hyperlink" Target="https://katalogsp.sk/stefan-zabojnik/" TargetMode="External"/><Relationship Id="rId662" Type="http://schemas.openxmlformats.org/officeDocument/2006/relationships/hyperlink" Target="https://katalogsp.sk/servis-jk-s-r-o/" TargetMode="External"/><Relationship Id="rId540" Type="http://schemas.openxmlformats.org/officeDocument/2006/relationships/hyperlink" Target="https://katalogsp.sk/wp-content/uploads/2022/01/ekatalog_podnikanie-so-srdcomRSP.jpg" TargetMode="External"/><Relationship Id="rId661" Type="http://schemas.openxmlformats.org/officeDocument/2006/relationships/hyperlink" Target="https://katalogsp.sk/wp-content/uploads/2022/01/ekatalog_podnikanie-so-srdcomRSP.jpg" TargetMode="External"/><Relationship Id="rId415" Type="http://schemas.openxmlformats.org/officeDocument/2006/relationships/hyperlink" Target="https://katalogsp.sk/ekorent-s-r-o/" TargetMode="External"/><Relationship Id="rId536" Type="http://schemas.openxmlformats.org/officeDocument/2006/relationships/hyperlink" Target="https://katalogsp.sk/wp-content/uploads/2022/01/LN-Trade-pod-Sitnom-3.jpg" TargetMode="External"/><Relationship Id="rId657" Type="http://schemas.openxmlformats.org/officeDocument/2006/relationships/hyperlink" Target="https://katalogsp.sk/wp-content/uploads/2023/11/Bol-raz-jeden-clovek-1-logo.jpg" TargetMode="External"/><Relationship Id="rId414" Type="http://schemas.openxmlformats.org/officeDocument/2006/relationships/hyperlink" Target="https://katalogsp.sk/wp-content/uploads/2022/01/ekatalog_podnikanie-so-srdcomRSP.jpg" TargetMode="External"/><Relationship Id="rId535" Type="http://schemas.openxmlformats.org/officeDocument/2006/relationships/hyperlink" Target="https://katalogsp.sk/vox-terra-o-z/" TargetMode="External"/><Relationship Id="rId656" Type="http://schemas.openxmlformats.org/officeDocument/2006/relationships/hyperlink" Target="https://katalogsp.sk/cesta-roznava-n-o-registrovany-socialny-podnik/" TargetMode="External"/><Relationship Id="rId413" Type="http://schemas.openxmlformats.org/officeDocument/2006/relationships/hyperlink" Target="https://katalogsp.sk/stavbarsk-s-r-o/" TargetMode="External"/><Relationship Id="rId534" Type="http://schemas.openxmlformats.org/officeDocument/2006/relationships/hyperlink" Target="https://katalogsp.sk/wp-content/uploads/2022/01/VOX-terra-logo2.png" TargetMode="External"/><Relationship Id="rId655" Type="http://schemas.openxmlformats.org/officeDocument/2006/relationships/hyperlink" Target="https://katalogsp.sk/wp-content/uploads/2023/11/cesta-Roznava_logo.jpg" TargetMode="External"/><Relationship Id="rId412" Type="http://schemas.openxmlformats.org/officeDocument/2006/relationships/hyperlink" Target="https://katalogsp.sk/wp-content/uploads/2022/01/ekatalog_podnikanie-so-srdcomRSP.jpg" TargetMode="External"/><Relationship Id="rId533" Type="http://schemas.openxmlformats.org/officeDocument/2006/relationships/hyperlink" Target="https://katalogsp.sk/sipstav-s-r-o/" TargetMode="External"/><Relationship Id="rId654" Type="http://schemas.openxmlformats.org/officeDocument/2006/relationships/hyperlink" Target="https://katalogsp.sk/aimis-r-o-r-s-p/" TargetMode="External"/><Relationship Id="rId419" Type="http://schemas.openxmlformats.org/officeDocument/2006/relationships/hyperlink" Target="https://katalogsp.sk/prevadzka-s-r-o/" TargetMode="External"/><Relationship Id="rId418" Type="http://schemas.openxmlformats.org/officeDocument/2006/relationships/hyperlink" Target="https://katalogsp.sk/wp-content/uploads/2022/01/ekatalog_podnikanie-so-srdcomRSP.jpg" TargetMode="External"/><Relationship Id="rId539" Type="http://schemas.openxmlformats.org/officeDocument/2006/relationships/hyperlink" Target="https://katalogsp.sk/vira-print-s-r-o-r-s-p/" TargetMode="External"/><Relationship Id="rId417" Type="http://schemas.openxmlformats.org/officeDocument/2006/relationships/hyperlink" Target="https://katalogsp.sk/ms-products-s-r-o/" TargetMode="External"/><Relationship Id="rId538" Type="http://schemas.openxmlformats.org/officeDocument/2006/relationships/hyperlink" Target="https://katalogsp.sk/wp-content/uploads/2022/01/ekatalog_podnikanie-so-srdcomRSP.jpg" TargetMode="External"/><Relationship Id="rId659" Type="http://schemas.openxmlformats.org/officeDocument/2006/relationships/hyperlink" Target="https://katalogsp.sk/wp-content/uploads/2023/11/mgbiz_-Som-gurman.jpg" TargetMode="External"/><Relationship Id="rId416" Type="http://schemas.openxmlformats.org/officeDocument/2006/relationships/hyperlink" Target="https://katalogsp.sk/wp-content/uploads/2022/01/ekatalog_podnikanie-so-srdcomRSP.jpg" TargetMode="External"/><Relationship Id="rId537" Type="http://schemas.openxmlformats.org/officeDocument/2006/relationships/hyperlink" Target="https://katalogsp.sk/ln-trade-pod-sitnom-s-r-o/" TargetMode="External"/><Relationship Id="rId658" Type="http://schemas.openxmlformats.org/officeDocument/2006/relationships/hyperlink" Target="https://katalogsp.sk/bol-raz-jeden-clovek/" TargetMode="External"/><Relationship Id="rId411" Type="http://schemas.openxmlformats.org/officeDocument/2006/relationships/hyperlink" Target="https://katalogsp.sk/ekki-s-r-o/" TargetMode="External"/><Relationship Id="rId532" Type="http://schemas.openxmlformats.org/officeDocument/2006/relationships/hyperlink" Target="https://katalogsp.sk/wp-content/uploads/2022/01/ekatalog_podnikanie-so-srdcomRSP.jpg" TargetMode="External"/><Relationship Id="rId653" Type="http://schemas.openxmlformats.org/officeDocument/2006/relationships/hyperlink" Target="https://katalogsp.sk/wp-content/uploads/2023/09/IMG-20230917-WA0014-KUBALA-MIchal.jpg" TargetMode="External"/><Relationship Id="rId410" Type="http://schemas.openxmlformats.org/officeDocument/2006/relationships/hyperlink" Target="https://katalogsp.sk/wp-content/uploads/2022/01/ekatalog_podnikanie-so-srdcomRSP.jpg" TargetMode="External"/><Relationship Id="rId531" Type="http://schemas.openxmlformats.org/officeDocument/2006/relationships/hyperlink" Target="https://katalogsp.sk/sluzby-medzilaborce-s-r-o/" TargetMode="External"/><Relationship Id="rId652" Type="http://schemas.openxmlformats.org/officeDocument/2006/relationships/hyperlink" Target="https://katalogsp.sk/obecne-sluzby-budmerice-s-r-o/" TargetMode="External"/><Relationship Id="rId530" Type="http://schemas.openxmlformats.org/officeDocument/2006/relationships/hyperlink" Target="https://katalogsp.sk/wp-content/uploads/2022/01/Sluzby-Medzilaborce-banner1.jpg" TargetMode="External"/><Relationship Id="rId651" Type="http://schemas.openxmlformats.org/officeDocument/2006/relationships/hyperlink" Target="https://katalogsp.sk/wp-content/uploads/2023/09/LOGO-OS-Budmerice.jpg" TargetMode="External"/><Relationship Id="rId650" Type="http://schemas.openxmlformats.org/officeDocument/2006/relationships/hyperlink" Target="https://katalogsp.gov.sk/viera-nika-s-r-o/" TargetMode="External"/><Relationship Id="rId206" Type="http://schemas.openxmlformats.org/officeDocument/2006/relationships/hyperlink" Target="https://katalogsp.sk/ludib-s-r-o/" TargetMode="External"/><Relationship Id="rId327" Type="http://schemas.openxmlformats.org/officeDocument/2006/relationships/hyperlink" Target="https://katalogsp.sk/mdmt-s-r-o-registrovany-socialny-podnik/" TargetMode="External"/><Relationship Id="rId448" Type="http://schemas.openxmlformats.org/officeDocument/2006/relationships/hyperlink" Target="https://katalogsp.sk/wp-content/uploads/2022/01/ekatalog_podnikanie-so-srdcomRSP.jpg" TargetMode="External"/><Relationship Id="rId569" Type="http://schemas.openxmlformats.org/officeDocument/2006/relationships/hyperlink" Target="https://katalogsp.gov.sk/fm-trans-sk-s-r-o/" TargetMode="External"/><Relationship Id="rId205" Type="http://schemas.openxmlformats.org/officeDocument/2006/relationships/hyperlink" Target="https://katalogsp.sk/wp-content/uploads/2022/01/ekatalog_podnikanie-so-srdcomRSP.jpg" TargetMode="External"/><Relationship Id="rId326" Type="http://schemas.openxmlformats.org/officeDocument/2006/relationships/hyperlink" Target="https://katalogsp.sk/wp-content/uploads/2022/01/ekatalog_podnikanie-so-srdcomRSP.jpg" TargetMode="External"/><Relationship Id="rId447" Type="http://schemas.openxmlformats.org/officeDocument/2006/relationships/hyperlink" Target="https://katalogsp.sk/bpm-area-sk-s-r-o/" TargetMode="External"/><Relationship Id="rId568" Type="http://schemas.openxmlformats.org/officeDocument/2006/relationships/hyperlink" Target="https://katalogsp.gov.sk/wp-content/uploads/2022/06/FM-TRANS-SK-banner3-KatalogSP.jpg" TargetMode="External"/><Relationship Id="rId689" Type="http://schemas.openxmlformats.org/officeDocument/2006/relationships/hyperlink" Target="https://katalogsp.gov.sk/wp-content/uploads/2025/07/Photoroom_20250201_140924-Antonia-Sarisska.jpeg" TargetMode="External"/><Relationship Id="rId204" Type="http://schemas.openxmlformats.org/officeDocument/2006/relationships/hyperlink" Target="https://katalogsp.sk/wellnea-s-r-o-r-s-p/" TargetMode="External"/><Relationship Id="rId325" Type="http://schemas.openxmlformats.org/officeDocument/2006/relationships/hyperlink" Target="https://katalogsp.sk/viktoria-dance-servis-s-r-o/" TargetMode="External"/><Relationship Id="rId446" Type="http://schemas.openxmlformats.org/officeDocument/2006/relationships/hyperlink" Target="https://katalogsp.sk/wp-content/uploads/2022/01/ekatalog_podnikanie-so-srdcomRSP.jpg" TargetMode="External"/><Relationship Id="rId567" Type="http://schemas.openxmlformats.org/officeDocument/2006/relationships/hyperlink" Target="https://katalogsp.gov.sk/isp-security-s-r-o/" TargetMode="External"/><Relationship Id="rId688" Type="http://schemas.openxmlformats.org/officeDocument/2006/relationships/hyperlink" Target="https://katalogsp.gov.sk/d-z-work-s-r-o/" TargetMode="External"/><Relationship Id="rId203" Type="http://schemas.openxmlformats.org/officeDocument/2006/relationships/hyperlink" Target="https://katalogsp.sk/wp-content/uploads/2021/12/Wellnea-1.jpeg" TargetMode="External"/><Relationship Id="rId324" Type="http://schemas.openxmlformats.org/officeDocument/2006/relationships/hyperlink" Target="https://katalogsp.sk/wp-content/uploads/2022/01/ekatalog_podnikanie-so-srdcomRSP.jpg" TargetMode="External"/><Relationship Id="rId445" Type="http://schemas.openxmlformats.org/officeDocument/2006/relationships/hyperlink" Target="https://katalogsp.sk/kaluso-s-r-o/" TargetMode="External"/><Relationship Id="rId566" Type="http://schemas.openxmlformats.org/officeDocument/2006/relationships/hyperlink" Target="https://katalogsp.gov.sk/wp-content/uploads/2022/01/ekatalog_podnikanie-so-srdcomRSP.jpg" TargetMode="External"/><Relationship Id="rId687" Type="http://schemas.openxmlformats.org/officeDocument/2006/relationships/hyperlink" Target="https://katalogsp.gov.sk/wp-content/uploads/2025/07/Penzion-Apartmany-Habura-Darina-Zavacka.jpg" TargetMode="External"/><Relationship Id="rId209" Type="http://schemas.openxmlformats.org/officeDocument/2006/relationships/hyperlink" Target="https://www.buzgopaper.sk/" TargetMode="External"/><Relationship Id="rId208" Type="http://schemas.openxmlformats.org/officeDocument/2006/relationships/hyperlink" Target="https://katalogsp.sk/buzgo-registrovany-socialny-podnik-s-r-o-skratene-buzgo-r-s-p-s-r-o/" TargetMode="External"/><Relationship Id="rId329" Type="http://schemas.openxmlformats.org/officeDocument/2006/relationships/hyperlink" Target="https://katalogsp.sk/hrabovcan-s-r-o-r-s-p/" TargetMode="External"/><Relationship Id="rId207" Type="http://schemas.openxmlformats.org/officeDocument/2006/relationships/hyperlink" Target="https://katalogsp.sk/wp-content/uploads/2021/12/Buzgo-main1.jpg" TargetMode="External"/><Relationship Id="rId328" Type="http://schemas.openxmlformats.org/officeDocument/2006/relationships/hyperlink" Target="https://katalogsp.sk/wp-content/uploads/2022/01/ekatalog_podnikanie-so-srdcomRSP.jpg" TargetMode="External"/><Relationship Id="rId449" Type="http://schemas.openxmlformats.org/officeDocument/2006/relationships/hyperlink" Target="https://katalogsp.sk/dc-sielnica-n-o/" TargetMode="External"/><Relationship Id="rId440" Type="http://schemas.openxmlformats.org/officeDocument/2006/relationships/hyperlink" Target="https://katalogsp.sk/wp-content/uploads/2022/01/ekatalog_podnikanie-so-srdcomRSP.jpg" TargetMode="External"/><Relationship Id="rId561" Type="http://schemas.openxmlformats.org/officeDocument/2006/relationships/hyperlink" Target="https://katalogsp.sk/finxza-s-r-o/" TargetMode="External"/><Relationship Id="rId682" Type="http://schemas.openxmlformats.org/officeDocument/2006/relationships/hyperlink" Target="https://katalogsp.gov.sk/growgroup-s-r-o/" TargetMode="External"/><Relationship Id="rId560" Type="http://schemas.openxmlformats.org/officeDocument/2006/relationships/hyperlink" Target="https://katalogsp.sk/wp-content/uploads/2022/01/FINXZA-2.jpg" TargetMode="External"/><Relationship Id="rId681" Type="http://schemas.openxmlformats.org/officeDocument/2006/relationships/hyperlink" Target="https://katalogsp.gov.sk/wp-content/uploads/2022/01/ekatalog_podnikanie-so-srdcomRSP.jpg" TargetMode="External"/><Relationship Id="rId680" Type="http://schemas.openxmlformats.org/officeDocument/2006/relationships/hyperlink" Target="https://katalogsp.gov.sk/milena-kristofova-socialny-podnik/" TargetMode="External"/><Relationship Id="rId202" Type="http://schemas.openxmlformats.org/officeDocument/2006/relationships/hyperlink" Target="https://katalogsp.sk/agro-socialny-podnik-s-r-o/" TargetMode="External"/><Relationship Id="rId323" Type="http://schemas.openxmlformats.org/officeDocument/2006/relationships/hyperlink" Target="https://katalogsp.sk/smizianske-sluzby-s-r-o/" TargetMode="External"/><Relationship Id="rId444" Type="http://schemas.openxmlformats.org/officeDocument/2006/relationships/hyperlink" Target="https://katalogsp.sk/wp-content/uploads/2022/01/RSP-2-KALUSO-s.r.o..jpg" TargetMode="External"/><Relationship Id="rId565" Type="http://schemas.openxmlformats.org/officeDocument/2006/relationships/hyperlink" Target="https://katalogsp.sk/annex-martin-s-r-o/" TargetMode="External"/><Relationship Id="rId686" Type="http://schemas.openxmlformats.org/officeDocument/2006/relationships/hyperlink" Target="https://katalogsp.gov.sk/obecna-prevadzka-lysa-s-r-o/" TargetMode="External"/><Relationship Id="rId201" Type="http://schemas.openxmlformats.org/officeDocument/2006/relationships/hyperlink" Target="https://katalogsp.sk/wp-content/uploads/2021/12/Agro-socialny-podnik-main1.jpg" TargetMode="External"/><Relationship Id="rId322" Type="http://schemas.openxmlformats.org/officeDocument/2006/relationships/hyperlink" Target="https://katalogsp.sk/wp-content/uploads/2022/01/ekatalog_podnikanie-so-srdcomRSP.jpg" TargetMode="External"/><Relationship Id="rId443" Type="http://schemas.openxmlformats.org/officeDocument/2006/relationships/hyperlink" Target="https://katalogsp.sk/zandrea-s-r-o/" TargetMode="External"/><Relationship Id="rId564" Type="http://schemas.openxmlformats.org/officeDocument/2006/relationships/hyperlink" Target="https://katalogsp.sk/wp-content/uploads/2022/01/ekatalog_podnikanie-so-srdcomRSP.jpg" TargetMode="External"/><Relationship Id="rId685" Type="http://schemas.openxmlformats.org/officeDocument/2006/relationships/hyperlink" Target="https://katalogsp.gov.sk/wp-content/uploads/2025/07/Pekaren-Lysa-logo-na-FA-farba-Pekaren-Lysa.jpg" TargetMode="External"/><Relationship Id="rId200" Type="http://schemas.openxmlformats.org/officeDocument/2006/relationships/hyperlink" Target="https://katalogsp.sk/obecny-podnik-mocenok-s-r-o/" TargetMode="External"/><Relationship Id="rId321" Type="http://schemas.openxmlformats.org/officeDocument/2006/relationships/hyperlink" Target="https://katalogsp.sk/osp-jamnik-s-r-o/" TargetMode="External"/><Relationship Id="rId442" Type="http://schemas.openxmlformats.org/officeDocument/2006/relationships/hyperlink" Target="https://katalogsp.sk/wp-content/uploads/2022/01/Zandrea-4.jpg" TargetMode="External"/><Relationship Id="rId563" Type="http://schemas.openxmlformats.org/officeDocument/2006/relationships/hyperlink" Target="https://katalogsp.sk/kondor-sp-s-r-o/" TargetMode="External"/><Relationship Id="rId684" Type="http://schemas.openxmlformats.org/officeDocument/2006/relationships/hyperlink" Target="https://katalogsp.gov.sk/epic-farm-s-r-o-r-s-p/" TargetMode="External"/><Relationship Id="rId320" Type="http://schemas.openxmlformats.org/officeDocument/2006/relationships/hyperlink" Target="https://katalogsp.sk/wp-content/uploads/2022/01/ekatalog_podnikanie-so-srdcomRSP.jpg" TargetMode="External"/><Relationship Id="rId441" Type="http://schemas.openxmlformats.org/officeDocument/2006/relationships/hyperlink" Target="https://katalogsp.sk/amg-security-s-r-o/" TargetMode="External"/><Relationship Id="rId562" Type="http://schemas.openxmlformats.org/officeDocument/2006/relationships/hyperlink" Target="https://katalogsp.sk/wp-content/uploads/2022/01/ekatalog_podnikanie-so-srdcomRSP.jpg" TargetMode="External"/><Relationship Id="rId683" Type="http://schemas.openxmlformats.org/officeDocument/2006/relationships/hyperlink" Target="https://katalogsp.gov.sk/wp-content/uploads/2022/01/ekatalog_podnikanie-so-srdcomRSP.jpg" TargetMode="External"/><Relationship Id="rId316" Type="http://schemas.openxmlformats.org/officeDocument/2006/relationships/hyperlink" Target="https://katalogsp.sk/wp-content/uploads/2022/01/ekatalog_podnikanie-so-srdcomRSP.jpg" TargetMode="External"/><Relationship Id="rId437" Type="http://schemas.openxmlformats.org/officeDocument/2006/relationships/hyperlink" Target="https://katalogsp.sk/dh-facility-services-s-r-o/" TargetMode="External"/><Relationship Id="rId558" Type="http://schemas.openxmlformats.org/officeDocument/2006/relationships/hyperlink" Target="https://katalogsp.sk/wp-content/uploads/2022/01/ANNEX-Martin-naradie.jpg" TargetMode="External"/><Relationship Id="rId679" Type="http://schemas.openxmlformats.org/officeDocument/2006/relationships/hyperlink" Target="https://katalogsp.gov.sk/wp-content/uploads/2025/07/budova-fotka-vonka-Milena-Kristofova.jpg" TargetMode="External"/><Relationship Id="rId315" Type="http://schemas.openxmlformats.org/officeDocument/2006/relationships/hyperlink" Target="https://katalogsp.sk/knk-plus-vyrobne-druzstvo/" TargetMode="External"/><Relationship Id="rId436" Type="http://schemas.openxmlformats.org/officeDocument/2006/relationships/hyperlink" Target="https://katalogsp.sk/wp-content/uploads/2022/01/DH-facility-services-logo-E-katalogRSP.jpeg" TargetMode="External"/><Relationship Id="rId557" Type="http://schemas.openxmlformats.org/officeDocument/2006/relationships/hyperlink" Target="https://katalogsp.sk/jaspire-s-r-o/" TargetMode="External"/><Relationship Id="rId678" Type="http://schemas.openxmlformats.org/officeDocument/2006/relationships/hyperlink" Target="https://katalogsp.gov.sk/libela-s-r-o/" TargetMode="External"/><Relationship Id="rId314" Type="http://schemas.openxmlformats.org/officeDocument/2006/relationships/hyperlink" Target="https://katalogsp.sk/wp-content/uploads/2022/01/ekatalog_podnikanie-so-srdcomRSP.jpg" TargetMode="External"/><Relationship Id="rId435" Type="http://schemas.openxmlformats.org/officeDocument/2006/relationships/hyperlink" Target="https://katalogsp.sk/alacarte-s-r-o/" TargetMode="External"/><Relationship Id="rId556" Type="http://schemas.openxmlformats.org/officeDocument/2006/relationships/hyperlink" Target="https://katalogsp.sk/wp-content/uploads/2022/06/Jaspire_link-v-AwT.jpg" TargetMode="External"/><Relationship Id="rId677" Type="http://schemas.openxmlformats.org/officeDocument/2006/relationships/hyperlink" Target="https://katalogsp.gov.sk/wp-content/uploads/2025/07/Libela-5-Magdalena-Lukacova-Libela-s.r.o.jpg" TargetMode="External"/><Relationship Id="rId313" Type="http://schemas.openxmlformats.org/officeDocument/2006/relationships/hyperlink" Target="https://katalogsp.sk/breco-s-r-o/" TargetMode="External"/><Relationship Id="rId434" Type="http://schemas.openxmlformats.org/officeDocument/2006/relationships/hyperlink" Target="https://katalogsp.sk/wp-content/uploads/2022/01/Alacarte_logo-E-katalogRSP.png" TargetMode="External"/><Relationship Id="rId555" Type="http://schemas.openxmlformats.org/officeDocument/2006/relationships/hyperlink" Target="https://katalogsp.sk/pvc-obaly-s-r-o/" TargetMode="External"/><Relationship Id="rId676" Type="http://schemas.openxmlformats.org/officeDocument/2006/relationships/hyperlink" Target="https://katalogsp.gov.sk/drevenica-s-r-o/" TargetMode="External"/><Relationship Id="rId319" Type="http://schemas.openxmlformats.org/officeDocument/2006/relationships/hyperlink" Target="https://katalogsp.sk/gader-s-r-o/" TargetMode="External"/><Relationship Id="rId318" Type="http://schemas.openxmlformats.org/officeDocument/2006/relationships/hyperlink" Target="https://katalogsp.sk/wp-content/uploads/2021/12/Gader-s.r.o-banner-E-katalog-RSP.jpg" TargetMode="External"/><Relationship Id="rId439" Type="http://schemas.openxmlformats.org/officeDocument/2006/relationships/hyperlink" Target="https://katalogsp.sk/serious-coffee-s-r-o/" TargetMode="External"/><Relationship Id="rId317" Type="http://schemas.openxmlformats.org/officeDocument/2006/relationships/hyperlink" Target="https://katalogsp.sk/hater-handlova-spol-s-r-o/" TargetMode="External"/><Relationship Id="rId438" Type="http://schemas.openxmlformats.org/officeDocument/2006/relationships/hyperlink" Target="https://katalogsp.sk/wp-content/uploads/2022/01/Serious-coffee-logo1-E-katalogRSP.jpg" TargetMode="External"/><Relationship Id="rId559" Type="http://schemas.openxmlformats.org/officeDocument/2006/relationships/hyperlink" Target="https://katalogsp.sk/annex-martin-s-r-o/" TargetMode="External"/><Relationship Id="rId550" Type="http://schemas.openxmlformats.org/officeDocument/2006/relationships/hyperlink" Target="https://katalogsp.sk/wp-content/uploads/2022/01/ekatalog_podnikanie-so-srdcomRSP.jpg" TargetMode="External"/><Relationship Id="rId671" Type="http://schemas.openxmlformats.org/officeDocument/2006/relationships/hyperlink" Target="https://katalogsp.gov.sk/wp-content/uploads/2022/01/ekatalog_podnikanie-so-srdcomRSP.jpg" TargetMode="External"/><Relationship Id="rId670" Type="http://schemas.openxmlformats.org/officeDocument/2006/relationships/hyperlink" Target="https://katalogsp.sk/socialny-podnik-mesta-svidnik-s-r-o/" TargetMode="External"/><Relationship Id="rId312" Type="http://schemas.openxmlformats.org/officeDocument/2006/relationships/hyperlink" Target="https://katalogsp.sk/wp-content/uploads/2021/12/Breco-s.-r.-o.-banner-logo1.jpg" TargetMode="External"/><Relationship Id="rId433" Type="http://schemas.openxmlformats.org/officeDocument/2006/relationships/hyperlink" Target="https://katalogsp.sk/helpo-s-r-o/" TargetMode="External"/><Relationship Id="rId554" Type="http://schemas.openxmlformats.org/officeDocument/2006/relationships/hyperlink" Target="https://katalogsp.sk/wp-content/uploads/2022/01/ekatalog_podnikanie-so-srdcomRSP.jpg" TargetMode="External"/><Relationship Id="rId675" Type="http://schemas.openxmlformats.org/officeDocument/2006/relationships/hyperlink" Target="https://katalogsp.gov.sk/wp-content/uploads/2025/07/Logo-Drevenica-Socialne-veci-OBEC-BELADICE-1.jpeg" TargetMode="External"/><Relationship Id="rId311" Type="http://schemas.openxmlformats.org/officeDocument/2006/relationships/hyperlink" Target="https://katalogsp.sk/obecny-podnik-zabokreky-s-r-o/" TargetMode="External"/><Relationship Id="rId432" Type="http://schemas.openxmlformats.org/officeDocument/2006/relationships/hyperlink" Target="https://katalogsp.sk/wp-content/uploads/2022/01/ekatalog_podnikanie-so-srdcomRSP.jpg" TargetMode="External"/><Relationship Id="rId553" Type="http://schemas.openxmlformats.org/officeDocument/2006/relationships/hyperlink" Target="https://katalogsp.sk/assr-s-r-o-r-s-p/" TargetMode="External"/><Relationship Id="rId674" Type="http://schemas.openxmlformats.org/officeDocument/2006/relationships/hyperlink" Target="https://katalogsp.sk/pani-sova-s-r-o/" TargetMode="External"/><Relationship Id="rId310" Type="http://schemas.openxmlformats.org/officeDocument/2006/relationships/hyperlink" Target="https://katalogsp.sk/wp-content/uploads/2021/12/Obecny-podnik-Zabokreky-s.r.o.-banner-.jpg" TargetMode="External"/><Relationship Id="rId431" Type="http://schemas.openxmlformats.org/officeDocument/2006/relationships/hyperlink" Target="https://katalogsp.sk/lean-eu-s-r-o/" TargetMode="External"/><Relationship Id="rId552" Type="http://schemas.openxmlformats.org/officeDocument/2006/relationships/hyperlink" Target="https://katalogsp.sk/wp-content/uploads/2022/01/ekatalog_podnikanie-so-srdcomRSP.jpg" TargetMode="External"/><Relationship Id="rId673" Type="http://schemas.openxmlformats.org/officeDocument/2006/relationships/hyperlink" Target="https://katalogsp.gov.sk/wp-content/uploads/2022/01/ekatalog_podnikanie-so-srdcomRSP.jpg" TargetMode="External"/><Relationship Id="rId430" Type="http://schemas.openxmlformats.org/officeDocument/2006/relationships/hyperlink" Target="https://katalogsp.sk/wp-content/uploads/2022/01/ekatalog_podnikanie-so-srdcomRSP.jpg" TargetMode="External"/><Relationship Id="rId551" Type="http://schemas.openxmlformats.org/officeDocument/2006/relationships/hyperlink" Target="https://katalogsp.sk/losstav-s-r-o/" TargetMode="External"/><Relationship Id="rId672" Type="http://schemas.openxmlformats.org/officeDocument/2006/relationships/hyperlink" Target="https://katalogsp.sk/obecny-podnik-melcice-lieskove-s-r-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atalogsp.sk/wp-content/uploads/2021/11/mail-icon.png" TargetMode="External"/><Relationship Id="rId2" Type="http://schemas.openxmlformats.org/officeDocument/2006/relationships/hyperlink" Target="https://view-awesome-table.com/-OLkZXUxG8xDixP-ic_G/view"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katalogsp.sk/wp-content/uploads/2021/11/mail-icon.p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katalogsp.sk/wp-content/uploads/2021/11/phone-icon.png" TargetMode="External"/><Relationship Id="rId2" Type="http://schemas.openxmlformats.org/officeDocument/2006/relationships/hyperlink" Target="https://view-awesome-table.com/-MvTMIaaEUq5mkRRcfFA/view"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latlong.ne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katalogsp.sk/wp-content/uploads/2021/12/Oblatky-banner2-E-katalog-RSP.jpg" TargetMode="External"/><Relationship Id="rId2" Type="http://schemas.openxmlformats.org/officeDocument/2006/relationships/hyperlink" Target="https://katalogsp.sk/oblatky-s-r-o/" TargetMode="External"/><Relationship Id="rId3" Type="http://schemas.openxmlformats.org/officeDocument/2006/relationships/hyperlink" Target="https://katalogsp.sk/wp-content/uploads/2022/01/Celia-banner-E-katalogRSP6.jpg" TargetMode="External"/><Relationship Id="rId4" Type="http://schemas.openxmlformats.org/officeDocument/2006/relationships/hyperlink" Target="https://katalogsp.sk/celia-shop-s-r-o/" TargetMode="External"/><Relationship Id="rId9" Type="http://schemas.openxmlformats.org/officeDocument/2006/relationships/hyperlink" Target="https://katalogsp.sk/wp-content/uploads/2022/01/ekatalog_podnikanie-so-srdcomRSP.jpg" TargetMode="External"/><Relationship Id="rId5" Type="http://schemas.openxmlformats.org/officeDocument/2006/relationships/hyperlink" Target="https://katalogsp.sk/wp-content/uploads/2022/01/ekatalog_podnikanie-so-srdcomRSP.jpg" TargetMode="External"/><Relationship Id="rId6" Type="http://schemas.openxmlformats.org/officeDocument/2006/relationships/hyperlink" Target="https://katalogsp.sk/eustach-s-r-o/" TargetMode="External"/><Relationship Id="rId7" Type="http://schemas.openxmlformats.org/officeDocument/2006/relationships/hyperlink" Target="https://katalogsp.sk/wp-content/uploads/2022/01/ekatalog_podnikanie-so-srdcomRSP.jpg" TargetMode="External"/><Relationship Id="rId8" Type="http://schemas.openxmlformats.org/officeDocument/2006/relationships/hyperlink" Target="https://katalogsp.sk/capica-s-r-o/" TargetMode="External"/><Relationship Id="rId40" Type="http://schemas.openxmlformats.org/officeDocument/2006/relationships/hyperlink" Target="https://katalogsp.sk/obecny-podnik-jedlova-s-r-o/" TargetMode="External"/><Relationship Id="rId42" Type="http://schemas.openxmlformats.org/officeDocument/2006/relationships/hyperlink" Target="https://katalogsp.sk/atila-gena-s-r-o/" TargetMode="External"/><Relationship Id="rId41" Type="http://schemas.openxmlformats.org/officeDocument/2006/relationships/hyperlink" Target="https://katalogsp.sk/wp-content/uploads/2022/01/ekatalog_podnikanie-so-srdcomRSP.jpg" TargetMode="External"/><Relationship Id="rId44" Type="http://schemas.openxmlformats.org/officeDocument/2006/relationships/hyperlink" Target="https://katalogsp.sk/robul-clean-s-r-o/" TargetMode="External"/><Relationship Id="rId43" Type="http://schemas.openxmlformats.org/officeDocument/2006/relationships/hyperlink" Target="https://katalogsp.sk/wp-content/uploads/2022/01/ekatalog_podnikanie-so-srdcomRSP.jpg" TargetMode="External"/><Relationship Id="rId46" Type="http://schemas.openxmlformats.org/officeDocument/2006/relationships/hyperlink" Target="https://katalogsp.sk/baby-plavanie-s-r-o/" TargetMode="External"/><Relationship Id="rId45" Type="http://schemas.openxmlformats.org/officeDocument/2006/relationships/hyperlink" Target="https://katalogsp.sk/wp-content/uploads/2022/01/ekatalog_podnikanie-so-srdcomRSP.jpg" TargetMode="External"/><Relationship Id="rId48" Type="http://schemas.openxmlformats.org/officeDocument/2006/relationships/hyperlink" Target="https://katalogsp.sk/sewn-bag-s-r-o/" TargetMode="External"/><Relationship Id="rId47" Type="http://schemas.openxmlformats.org/officeDocument/2006/relationships/hyperlink" Target="https://katalogsp.sk/wp-content/uploads/2022/01/dielna-3-sewn-bag.jpg" TargetMode="External"/><Relationship Id="rId49" Type="http://schemas.openxmlformats.org/officeDocument/2006/relationships/hyperlink" Target="https://katalogsp.sk/wp-content/uploads/2022/01/ekatalog_podnikanie-so-srdcomRSP.jpg" TargetMode="External"/><Relationship Id="rId31" Type="http://schemas.openxmlformats.org/officeDocument/2006/relationships/hyperlink" Target="https://katalogsp.sk/wp-content/uploads/2021/12/Bageteria-Bazer-main1.jpg" TargetMode="External"/><Relationship Id="rId30" Type="http://schemas.openxmlformats.org/officeDocument/2006/relationships/hyperlink" Target="https://katalogsp.sk/miror-s-r-o/" TargetMode="External"/><Relationship Id="rId33" Type="http://schemas.openxmlformats.org/officeDocument/2006/relationships/hyperlink" Target="https://katalogsp.sk/wp-content/uploads/2022/01/ekatalog_podnikanie-so-srdcomRSP.jpg" TargetMode="External"/><Relationship Id="rId32" Type="http://schemas.openxmlformats.org/officeDocument/2006/relationships/hyperlink" Target="https://katalogsp.sk/bageteria-bayer-s-r-o/" TargetMode="External"/><Relationship Id="rId35" Type="http://schemas.openxmlformats.org/officeDocument/2006/relationships/hyperlink" Target="https://katalogsp.sk/wp-content/uploads/2022/01/ekatalog_podnikanie-so-srdcomRSP.jpg" TargetMode="External"/><Relationship Id="rId34" Type="http://schemas.openxmlformats.org/officeDocument/2006/relationships/hyperlink" Target="https://katalogsp.sk/need-more-s-r-o/" TargetMode="External"/><Relationship Id="rId37" Type="http://schemas.openxmlformats.org/officeDocument/2006/relationships/hyperlink" Target="https://katalogsp.gov.sk/wp-content/uploads/2022/06/Feba-RSP2-KatalogSP.jpg" TargetMode="External"/><Relationship Id="rId36" Type="http://schemas.openxmlformats.org/officeDocument/2006/relationships/hyperlink" Target="https://katalogsp.sk/damparts-o-z/" TargetMode="External"/><Relationship Id="rId39" Type="http://schemas.openxmlformats.org/officeDocument/2006/relationships/hyperlink" Target="https://katalogsp.sk/wp-content/uploads/2022/01/ekatalog_podnikanie-so-srdcomRSP.jpg" TargetMode="External"/><Relationship Id="rId38" Type="http://schemas.openxmlformats.org/officeDocument/2006/relationships/hyperlink" Target="https://katalogsp.gov.sk/feba-eco-s-r-o-r-s-p/" TargetMode="External"/><Relationship Id="rId20" Type="http://schemas.openxmlformats.org/officeDocument/2006/relationships/hyperlink" Target="https://katalogsp.sk/vipe-s-r-o/" TargetMode="External"/><Relationship Id="rId22" Type="http://schemas.openxmlformats.org/officeDocument/2006/relationships/hyperlink" Target="https://katalogsp.sk/drumas-agro-s-r-o/" TargetMode="External"/><Relationship Id="rId21" Type="http://schemas.openxmlformats.org/officeDocument/2006/relationships/hyperlink" Target="https://katalogsp.sk//wp-content/uploads/2022/11/potraviny_maso-e1667905362917.jpg" TargetMode="External"/><Relationship Id="rId24" Type="http://schemas.openxmlformats.org/officeDocument/2006/relationships/hyperlink" Target="https://katalogsp.sk/vo-vile-s-r-o/" TargetMode="External"/><Relationship Id="rId23" Type="http://schemas.openxmlformats.org/officeDocument/2006/relationships/hyperlink" Target="https://katalogsp.sk/wp-content/uploads/2021/12/Vo-vile-banner11-E-katalog-RSP.jpg" TargetMode="External"/><Relationship Id="rId26" Type="http://schemas.openxmlformats.org/officeDocument/2006/relationships/hyperlink" Target="https://katalogsp.sk/renitex-s-r-o/" TargetMode="External"/><Relationship Id="rId25" Type="http://schemas.openxmlformats.org/officeDocument/2006/relationships/hyperlink" Target="https://katalogsp.sk/wp-content/uploads/2022/01/ekatalog_podnikanie-so-srdcomRSP.jpg" TargetMode="External"/><Relationship Id="rId28" Type="http://schemas.openxmlformats.org/officeDocument/2006/relationships/hyperlink" Target="https://katalogsp.sk/minoritas-s-r-o/" TargetMode="External"/><Relationship Id="rId27" Type="http://schemas.openxmlformats.org/officeDocument/2006/relationships/hyperlink" Target="http://test.socialnaekonomika.sk/wp-content/uploads/2022/07/logo-minoritas_karta.png" TargetMode="External"/><Relationship Id="rId29" Type="http://schemas.openxmlformats.org/officeDocument/2006/relationships/hyperlink" Target="https://katalogsp.sk/wp-content/uploads/2022/01/Miror3.jpg" TargetMode="External"/><Relationship Id="rId11" Type="http://schemas.openxmlformats.org/officeDocument/2006/relationships/hyperlink" Target="https://katalogsp.gov.sk/wp-content/uploads/2022/01/MS-trading-logo2.jpg" TargetMode="External"/><Relationship Id="rId10" Type="http://schemas.openxmlformats.org/officeDocument/2006/relationships/hyperlink" Target="https://katalogsp.sk/hesperus-s-r-o/" TargetMode="External"/><Relationship Id="rId13" Type="http://schemas.openxmlformats.org/officeDocument/2006/relationships/hyperlink" Target="https://katalogsp.sk/wp-content/uploads/2022/06/Permal-banner2-KatalogSP.jpg" TargetMode="External"/><Relationship Id="rId12" Type="http://schemas.openxmlformats.org/officeDocument/2006/relationships/hyperlink" Target="https://katalogsp.gov.sk/mst-trading-s-r-o/" TargetMode="External"/><Relationship Id="rId15" Type="http://schemas.openxmlformats.org/officeDocument/2006/relationships/hyperlink" Target="https://katalogsp.gov.sk/wp-content/uploads/2022/01/MonToy-RPS-Domcek.jpg" TargetMode="External"/><Relationship Id="rId14" Type="http://schemas.openxmlformats.org/officeDocument/2006/relationships/hyperlink" Target="https://katalogsp.sk/permal-s-r-o/" TargetMode="External"/><Relationship Id="rId17" Type="http://schemas.openxmlformats.org/officeDocument/2006/relationships/hyperlink" Target="https://katalogsp.gov.sk/wp-content/uploads/2022/06/DvaKratDobre-RSP-1-KatalogSP.jpg" TargetMode="External"/><Relationship Id="rId16" Type="http://schemas.openxmlformats.org/officeDocument/2006/relationships/hyperlink" Target="https://katalogsp.gov.sk/montoy-s-r-o/" TargetMode="External"/><Relationship Id="rId19" Type="http://schemas.openxmlformats.org/officeDocument/2006/relationships/hyperlink" Target="https://katalogsp.sk/wp-content/uploads/2022/01/ekatalog_podnikanie-so-srdcomRSP.jpg" TargetMode="External"/><Relationship Id="rId18" Type="http://schemas.openxmlformats.org/officeDocument/2006/relationships/hyperlink" Target="https://katalogsp.gov.sk/dvakrat-dobre-oz-r-s-p/" TargetMode="External"/><Relationship Id="rId84" Type="http://schemas.openxmlformats.org/officeDocument/2006/relationships/hyperlink" Target="https://katalogsp.sk/drienok-s-r-o/" TargetMode="External"/><Relationship Id="rId83" Type="http://schemas.openxmlformats.org/officeDocument/2006/relationships/hyperlink" Target="https://katalogsp.sk/wp-content/uploads/2022/01/Drienok-2.jpg" TargetMode="External"/><Relationship Id="rId86" Type="http://schemas.openxmlformats.org/officeDocument/2006/relationships/hyperlink" Target="https://katalogsp.sk/hepia-s-r-o/" TargetMode="External"/><Relationship Id="rId85" Type="http://schemas.openxmlformats.org/officeDocument/2006/relationships/hyperlink" Target="https://katalogsp.sk/wp-content/uploads/2022/08/Hepia-RSP-KatalogSP.jpg" TargetMode="External"/><Relationship Id="rId88" Type="http://schemas.openxmlformats.org/officeDocument/2006/relationships/hyperlink" Target="https://katalogsp.sk/nepspm-s-r-o/" TargetMode="External"/><Relationship Id="rId87" Type="http://schemas.openxmlformats.org/officeDocument/2006/relationships/hyperlink" Target="https://katalogsp.sk/wp-content/uploads/2022/01/ekatalog_podnikanie-so-srdcomRSP.jpg" TargetMode="External"/><Relationship Id="rId89" Type="http://schemas.openxmlformats.org/officeDocument/2006/relationships/hyperlink" Target="https://katalogsp.sk/wp-content/uploads/2021/12/Formickaren.sk-s.r.o.-banner1-E-katalog-RSP.jpg" TargetMode="External"/><Relationship Id="rId80" Type="http://schemas.openxmlformats.org/officeDocument/2006/relationships/hyperlink" Target="https://katalogsp.sk/socialny-podnik-lenka-s-r-o/" TargetMode="External"/><Relationship Id="rId82" Type="http://schemas.openxmlformats.org/officeDocument/2006/relationships/hyperlink" Target="https://katalogsp.sk/korchi-plus-s-r-o/" TargetMode="External"/><Relationship Id="rId81" Type="http://schemas.openxmlformats.org/officeDocument/2006/relationships/hyperlink" Target="https://katalogsp.sk/wp-content/uploads/2022/01/Korchi-2.jpg" TargetMode="External"/><Relationship Id="rId73" Type="http://schemas.openxmlformats.org/officeDocument/2006/relationships/hyperlink" Target="https://katalogsp.sk/wp-content/uploads/2022/01/ekatalog_podnikanie-so-srdcomRSP.jpg" TargetMode="External"/><Relationship Id="rId72" Type="http://schemas.openxmlformats.org/officeDocument/2006/relationships/hyperlink" Target="https://katalogsp.sk/novo-health-s-r-o/" TargetMode="External"/><Relationship Id="rId75" Type="http://schemas.openxmlformats.org/officeDocument/2006/relationships/hyperlink" Target="https://katalogsp.sk/wp-content/uploads/2023/04/EDUKREA_vesiaciky.jpg" TargetMode="External"/><Relationship Id="rId74" Type="http://schemas.openxmlformats.org/officeDocument/2006/relationships/hyperlink" Target="https://katalogsp.sk/tk-horse-sport-s-r-o-r-s-p/" TargetMode="External"/><Relationship Id="rId77" Type="http://schemas.openxmlformats.org/officeDocument/2006/relationships/hyperlink" Target="https://katalogsp.sk/wp-content/uploads/2022/01/tkanie1-Kukurienka.jpg" TargetMode="External"/><Relationship Id="rId76" Type="http://schemas.openxmlformats.org/officeDocument/2006/relationships/hyperlink" Target="https://katalogsp.sk/edukrea-s-r-o-registrovany-socialny-podnik/" TargetMode="External"/><Relationship Id="rId79" Type="http://schemas.openxmlformats.org/officeDocument/2006/relationships/hyperlink" Target="https://katalogsp.sk/wp-content/uploads/2022/01/ekatalog_podnikanie-so-srdcomRSP.jpg" TargetMode="External"/><Relationship Id="rId78" Type="http://schemas.openxmlformats.org/officeDocument/2006/relationships/hyperlink" Target="https://katalogsp.sk/kukurienka-r-s-p/" TargetMode="External"/><Relationship Id="rId71" Type="http://schemas.openxmlformats.org/officeDocument/2006/relationships/hyperlink" Target="https://katalogsp.sk/wp-content/uploads/2022/01/ekatalog_podnikanie-so-srdcomRSP.jpg" TargetMode="External"/><Relationship Id="rId70" Type="http://schemas.openxmlformats.org/officeDocument/2006/relationships/hyperlink" Target="https://katalogsp.sk/trendyr-s-r-o/" TargetMode="External"/><Relationship Id="rId62" Type="http://schemas.openxmlformats.org/officeDocument/2006/relationships/hyperlink" Target="https://katalogsp.sk/lupex-s-r-o/" TargetMode="External"/><Relationship Id="rId61" Type="http://schemas.openxmlformats.org/officeDocument/2006/relationships/hyperlink" Target="https://katalogsp.sk/wp-content/uploads/2022/01/ekatalog_podnikanie-so-srdcomRSP.jpg" TargetMode="External"/><Relationship Id="rId64" Type="http://schemas.openxmlformats.org/officeDocument/2006/relationships/hyperlink" Target="https://katalogsp.sk/jana-bezegova-roben-r-s-p/" TargetMode="External"/><Relationship Id="rId63" Type="http://schemas.openxmlformats.org/officeDocument/2006/relationships/hyperlink" Target="https://katalogsp.sk/wp-content/uploads/2022/01/ekatalog_podnikanie-so-srdcomRSP.jpg" TargetMode="External"/><Relationship Id="rId66" Type="http://schemas.openxmlformats.org/officeDocument/2006/relationships/hyperlink" Target="https://katalogsp.sk/apz-liptovsky-hradok-n-o/" TargetMode="External"/><Relationship Id="rId65" Type="http://schemas.openxmlformats.org/officeDocument/2006/relationships/hyperlink" Target="https://katalogsp.sk/wp-content/uploads/2022/01/APZ-Liptovsky-HradokE-katalogRSP-banner2.jpg" TargetMode="External"/><Relationship Id="rId68" Type="http://schemas.openxmlformats.org/officeDocument/2006/relationships/hyperlink" Target="https://katalogsp.sk/obuv-lean-s-r-o/" TargetMode="External"/><Relationship Id="rId67" Type="http://schemas.openxmlformats.org/officeDocument/2006/relationships/hyperlink" Target="https://katalogsp.sk/wp-content/uploads/2022/01/ekatalog_podnikanie-so-srdcomRSP.jpg" TargetMode="External"/><Relationship Id="rId60" Type="http://schemas.openxmlformats.org/officeDocument/2006/relationships/hyperlink" Target="https://katalogsp.sk/stefani-n-o/" TargetMode="External"/><Relationship Id="rId69" Type="http://schemas.openxmlformats.org/officeDocument/2006/relationships/hyperlink" Target="https://katalogsp.sk/wp-content/uploads/2022/01/TrendyR-logo1-KatalogRSP.jpg" TargetMode="External"/><Relationship Id="rId51" Type="http://schemas.openxmlformats.org/officeDocument/2006/relationships/hyperlink" Target="https://katalogsp.sk/wp-content/uploads/2021/12/ZIPA-plus-banner1-E-katalog-RSP.jpg" TargetMode="External"/><Relationship Id="rId50" Type="http://schemas.openxmlformats.org/officeDocument/2006/relationships/hyperlink" Target="https://katalogsp.sk/socialny-podnik-obce-slovinky-s-r-o-r-s-p/" TargetMode="External"/><Relationship Id="rId53" Type="http://schemas.openxmlformats.org/officeDocument/2006/relationships/hyperlink" Target="https://katalogsp.sk/wp-content/uploads/2021/12/Joyell-3.jpg" TargetMode="External"/><Relationship Id="rId52" Type="http://schemas.openxmlformats.org/officeDocument/2006/relationships/hyperlink" Target="https://katalogsp.sk/zipa-plus-s-r-o/" TargetMode="External"/><Relationship Id="rId55" Type="http://schemas.openxmlformats.org/officeDocument/2006/relationships/hyperlink" Target="https://katalogsp.sk/wp-content/uploads/2021/12/Tradicie-Kysuc-main1.jpg" TargetMode="External"/><Relationship Id="rId54" Type="http://schemas.openxmlformats.org/officeDocument/2006/relationships/hyperlink" Target="https://katalogsp.sk/joyell-s-r-o/" TargetMode="External"/><Relationship Id="rId57" Type="http://schemas.openxmlformats.org/officeDocument/2006/relationships/hyperlink" Target="https://katalogsp.sk/wp-content/uploads/2022/01/ekatalog_podnikanie-so-srdcomRSP.jpg" TargetMode="External"/><Relationship Id="rId56" Type="http://schemas.openxmlformats.org/officeDocument/2006/relationships/hyperlink" Target="https://katalogsp.sk/tradicie-kysuc-s-r-o/" TargetMode="External"/><Relationship Id="rId59" Type="http://schemas.openxmlformats.org/officeDocument/2006/relationships/hyperlink" Target="https://katalogsp.sk/wp-content/uploads/2021/12/Stefani-3.jpg" TargetMode="External"/><Relationship Id="rId58" Type="http://schemas.openxmlformats.org/officeDocument/2006/relationships/hyperlink" Target="https://katalogsp.sk/socialny-podnik-jarovnice-s-r-o/" TargetMode="External"/><Relationship Id="rId91" Type="http://schemas.openxmlformats.org/officeDocument/2006/relationships/drawing" Target="../drawings/drawing6.xml"/><Relationship Id="rId90" Type="http://schemas.openxmlformats.org/officeDocument/2006/relationships/hyperlink" Target="https://katalogsp.sk/formickaren-sk-s-r-o/"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pageSetUpPr fitToPage="1"/>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5.38"/>
    <col customWidth="1" min="2" max="2" width="5.88"/>
    <col customWidth="1" min="3" max="3" width="58.0"/>
    <col customWidth="1" min="4" max="4" width="18.5"/>
    <col customWidth="1" min="5" max="5" width="6.5"/>
    <col customWidth="1" min="6" max="6" width="26.38"/>
    <col customWidth="1" min="7" max="7" width="11.13"/>
    <col customWidth="1" min="8" max="8" width="15.38"/>
    <col customWidth="1" min="9" max="9" width="15.13"/>
    <col customWidth="1" min="10" max="10" width="6.5"/>
    <col customWidth="1" min="11" max="11" width="7.75"/>
    <col customWidth="1" min="12" max="12" width="19.0"/>
    <col customWidth="1" min="13" max="13" width="9.63"/>
    <col customWidth="1" min="14" max="14" width="16.5"/>
    <col customWidth="1" min="15" max="15" width="36.38"/>
    <col customWidth="1" min="16" max="17" width="12.63"/>
    <col customWidth="1" min="18" max="19" width="18.5"/>
    <col customWidth="1" min="20" max="20" width="42.5"/>
    <col customWidth="1" min="21" max="21" width="18.5"/>
    <col customWidth="1" min="22" max="22" width="20.0"/>
    <col customWidth="1" min="23" max="23" width="28.25"/>
    <col customWidth="1" min="24" max="24" width="30.0"/>
    <col customWidth="1" min="25" max="25" width="20.0"/>
    <col customWidth="1" min="26" max="26" width="19.0"/>
    <col customWidth="1" min="27" max="27" width="9.0"/>
    <col customWidth="1" min="28" max="28" width="28.88"/>
    <col customWidth="1" min="29" max="29" width="24.5"/>
    <col customWidth="1" min="30" max="30" width="34.38"/>
    <col customWidth="1" min="31" max="34" width="9.0"/>
    <col customWidth="1" min="35" max="35" width="6.75"/>
    <col customWidth="1" min="36" max="36" width="15.38"/>
    <col customWidth="1" min="38" max="38" width="9.63"/>
    <col customWidth="1" min="39" max="39" width="9.5"/>
    <col customWidth="1" min="41" max="41" width="14.63"/>
    <col customWidth="1" min="42" max="42" width="14.25"/>
    <col customWidth="1" min="43" max="43" width="24.0"/>
  </cols>
  <sheetData>
    <row r="1" ht="63.75" customHeight="1">
      <c r="A1" s="1" t="s">
        <v>0</v>
      </c>
      <c r="B1" s="2" t="s">
        <v>1</v>
      </c>
      <c r="C1" s="3" t="s">
        <v>2</v>
      </c>
      <c r="D1" s="4" t="s">
        <v>3</v>
      </c>
      <c r="E1" s="5" t="s">
        <v>4</v>
      </c>
      <c r="F1" s="4" t="s">
        <v>5</v>
      </c>
      <c r="G1" s="5" t="s">
        <v>6</v>
      </c>
      <c r="H1" s="4" t="s">
        <v>7</v>
      </c>
      <c r="I1" s="5" t="s">
        <v>8</v>
      </c>
      <c r="J1" s="5" t="s">
        <v>9</v>
      </c>
      <c r="K1" s="5" t="s">
        <v>10</v>
      </c>
      <c r="L1" s="5" t="s">
        <v>11</v>
      </c>
      <c r="M1" s="5" t="s">
        <v>12</v>
      </c>
      <c r="N1" s="5" t="s">
        <v>13</v>
      </c>
      <c r="O1" s="6" t="s">
        <v>14</v>
      </c>
      <c r="P1" s="7" t="s">
        <v>15</v>
      </c>
      <c r="Q1" s="7" t="s">
        <v>16</v>
      </c>
      <c r="R1" s="8" t="s">
        <v>17</v>
      </c>
      <c r="S1" s="8" t="s">
        <v>18</v>
      </c>
      <c r="T1" s="8" t="s">
        <v>19</v>
      </c>
      <c r="U1" s="8" t="s">
        <v>20</v>
      </c>
      <c r="V1" s="9" t="s">
        <v>21</v>
      </c>
      <c r="W1" s="8" t="s">
        <v>22</v>
      </c>
      <c r="X1" s="10" t="s">
        <v>23</v>
      </c>
      <c r="Y1" s="10" t="s">
        <v>24</v>
      </c>
      <c r="Z1" s="11" t="s">
        <v>25</v>
      </c>
      <c r="AA1" s="12" t="s">
        <v>26</v>
      </c>
      <c r="AB1" s="13" t="s">
        <v>27</v>
      </c>
      <c r="AC1" s="13" t="s">
        <v>28</v>
      </c>
      <c r="AD1" s="13" t="s">
        <v>29</v>
      </c>
      <c r="AE1" s="14" t="s">
        <v>30</v>
      </c>
      <c r="AF1" s="15" t="s">
        <v>31</v>
      </c>
      <c r="AG1" s="14" t="s">
        <v>32</v>
      </c>
      <c r="AH1" s="15" t="s">
        <v>33</v>
      </c>
      <c r="AI1" s="16" t="s">
        <v>34</v>
      </c>
      <c r="AJ1" s="16" t="s">
        <v>35</v>
      </c>
      <c r="AK1" s="16" t="s">
        <v>36</v>
      </c>
      <c r="AL1" s="17" t="s">
        <v>37</v>
      </c>
      <c r="AM1" s="18" t="s">
        <v>38</v>
      </c>
      <c r="AN1" s="18" t="s">
        <v>39</v>
      </c>
      <c r="AO1" s="18" t="s">
        <v>40</v>
      </c>
      <c r="AP1" s="19" t="s">
        <v>41</v>
      </c>
      <c r="AQ1" s="20"/>
    </row>
    <row r="2" ht="15.75" customHeight="1">
      <c r="A2" s="21"/>
      <c r="B2" s="22" t="s">
        <v>42</v>
      </c>
      <c r="C2" s="22" t="s">
        <v>42</v>
      </c>
      <c r="D2" s="23"/>
      <c r="E2" s="24" t="s">
        <v>43</v>
      </c>
      <c r="F2" s="25" t="s">
        <v>42</v>
      </c>
      <c r="G2" s="24" t="s">
        <v>44</v>
      </c>
      <c r="H2" s="25" t="s">
        <v>42</v>
      </c>
      <c r="I2" s="24" t="s">
        <v>45</v>
      </c>
      <c r="J2" s="24" t="s">
        <v>46</v>
      </c>
      <c r="K2" s="24"/>
      <c r="L2" s="24" t="s">
        <v>47</v>
      </c>
      <c r="M2" s="24"/>
      <c r="N2" s="24"/>
      <c r="O2" s="26" t="s">
        <v>42</v>
      </c>
      <c r="P2" s="24" t="s">
        <v>48</v>
      </c>
      <c r="Q2" s="24" t="s">
        <v>49</v>
      </c>
      <c r="R2" s="27" t="s">
        <v>42</v>
      </c>
      <c r="S2" s="27" t="s">
        <v>42</v>
      </c>
      <c r="T2" s="27" t="s">
        <v>42</v>
      </c>
      <c r="U2" s="27" t="s">
        <v>42</v>
      </c>
      <c r="V2" s="28" t="s">
        <v>42</v>
      </c>
      <c r="W2" s="27" t="s">
        <v>42</v>
      </c>
      <c r="X2" s="29"/>
      <c r="Y2" s="29"/>
      <c r="Z2" s="26"/>
      <c r="AA2" s="30"/>
      <c r="AB2" s="31"/>
      <c r="AC2" s="31"/>
      <c r="AD2" s="30"/>
      <c r="AE2" s="32"/>
      <c r="AF2" s="33"/>
      <c r="AG2" s="33"/>
      <c r="AH2" s="33"/>
      <c r="AI2" s="26"/>
      <c r="AJ2" s="29"/>
      <c r="AK2" s="26"/>
      <c r="AL2" s="26"/>
      <c r="AM2" s="34"/>
      <c r="AN2" s="34"/>
      <c r="AO2" s="35"/>
      <c r="AP2" s="36"/>
      <c r="AQ2" s="37"/>
    </row>
    <row r="3" ht="15.75" customHeight="1">
      <c r="A3" s="38"/>
      <c r="B3" s="39">
        <v>1.0</v>
      </c>
      <c r="C3" s="40" t="s">
        <v>50</v>
      </c>
      <c r="D3" s="41" t="s">
        <v>51</v>
      </c>
      <c r="E3" s="38" t="str">
        <f t="shared" ref="E3:E354" si="1">CONCATENATE(D3,", &amp;#32celé Slovensko")</f>
        <v>Prešovský kraj, &amp;#32celé Slovensko</v>
      </c>
      <c r="F3" s="41" t="s">
        <v>52</v>
      </c>
      <c r="G3" s="38" t="str">
        <f t="shared" ref="G3:G354" si="2">CONCATENATE(F3,", &amp;#32všetky kategórie")</f>
        <v>zvieratá, &amp;#32všetky kategórie</v>
      </c>
      <c r="H3" s="42" t="s">
        <v>53</v>
      </c>
      <c r="I3" s="43" t="str">
        <f t="shared" ref="I3:I354" si="3">CONCATENATE(H3,", &amp;#32všetky možnosti")</f>
        <v>1 - 5, &amp;#32všetky možnosti</v>
      </c>
      <c r="J3" s="44" t="str">
        <f t="shared" ref="J3:J4" si="4">AM3&amp;","&amp;AN3</f>
        <v>,</v>
      </c>
      <c r="K3" s="45">
        <f t="shared" ref="K3:K354" si="5">RAND()*TODAY()</f>
        <v>8477.961756</v>
      </c>
      <c r="L3" s="44"/>
      <c r="M3" s="44" t="str">
        <f>IFERROR(__xludf.DUMMYFUNCTION("SPLIT(O3,"","")"),"Štefánikova 27")</f>
        <v>Štefánikova 27</v>
      </c>
      <c r="N3" s="44" t="str">
        <f>IFERROR(__xludf.DUMMYFUNCTION("""COMPUTED_VALUE""")," 066 01 Humenné ")</f>
        <v> 066 01 Humenné </v>
      </c>
      <c r="O3" s="42" t="s">
        <v>54</v>
      </c>
      <c r="P3" s="44">
        <v>48.934089</v>
      </c>
      <c r="Q3" s="44">
        <v>21.9058504</v>
      </c>
      <c r="R3" s="46" t="s">
        <v>55</v>
      </c>
      <c r="S3" s="47" t="s">
        <v>56</v>
      </c>
      <c r="T3" s="48" t="s">
        <v>57</v>
      </c>
      <c r="U3" s="49" t="s">
        <v>58</v>
      </c>
      <c r="V3" s="50" t="s">
        <v>59</v>
      </c>
      <c r="W3" s="51" t="s">
        <v>60</v>
      </c>
      <c r="X3" s="52" t="s">
        <v>61</v>
      </c>
      <c r="Y3" s="53" t="s">
        <v>62</v>
      </c>
      <c r="Z3" s="53" t="s">
        <v>63</v>
      </c>
      <c r="AA3" s="50" t="s">
        <v>64</v>
      </c>
      <c r="AB3" s="51"/>
      <c r="AC3" s="53"/>
      <c r="AD3" s="53"/>
      <c r="AE3" s="54"/>
      <c r="AF3" s="55"/>
      <c r="AG3" s="56"/>
      <c r="AH3" s="56"/>
      <c r="AI3" s="55"/>
      <c r="AJ3" s="55"/>
      <c r="AK3" s="56"/>
      <c r="AL3" s="56"/>
      <c r="AM3" s="34"/>
      <c r="AN3" s="55"/>
      <c r="AO3" s="57" t="s">
        <v>40</v>
      </c>
      <c r="AP3" s="58" t="str">
        <f t="shared" ref="AP3:AP354" si="6">REPLACE_ACCENTED(C3&amp;" "&amp;G3&amp;" "&amp;N3&amp;" "&amp;R3&amp;" "&amp;S3&amp;" "&amp;X3&amp;" "&amp;Y3&amp;" "&amp;Z3&amp;" "&amp;AB3&amp;" "&amp;AC3&amp;" "&amp;AD3&amp;" "&amp;AF3&amp;" "&amp;AG3&amp;" "&amp;AH3&amp;" "&amp;AJ3&amp;" "&amp;AK3&amp;" "&amp;AL3&amp;" "&amp;AM3&amp;" "&amp;AN3)</f>
        <v>POMAHAJ a CHRAN, obcianske zdruzenie zvierata, &amp;#32vsetky kategorie  066 01 Humenne  Zabezpecujeme zakonny odchyt tulavych zvierat a naslednu starostlivost o ne. Chranime zvierata, zivotne prostredie, prepajame tuto cinnost s trhom prace, na ktorom vyhladavame znevyhodnene a zranitelne skupiny obyvatelov, ktorym ponukame moznost zamestnania a osobneho rozvoja (napr. jeden z nasich dobrovolnikov sa postupne stal zamestnancom a aktualne studuje kynologiu).  Karantenna stanica Humenske Labky Ponukame psikov a macky. pes, macka, ochrana zvierat, utulok           </v>
      </c>
      <c r="AQ3" s="37"/>
    </row>
    <row r="4" ht="15.75" customHeight="1">
      <c r="A4" s="43"/>
      <c r="B4" s="59">
        <v>2.0</v>
      </c>
      <c r="C4" s="40" t="s">
        <v>65</v>
      </c>
      <c r="D4" s="41" t="s">
        <v>66</v>
      </c>
      <c r="E4" s="38" t="str">
        <f t="shared" si="1"/>
        <v>Žilinský kraj, &amp;#32celé Slovensko</v>
      </c>
      <c r="F4" s="42" t="s">
        <v>67</v>
      </c>
      <c r="G4" s="38" t="str">
        <f t="shared" si="2"/>
        <v>odpady a recyklácia, auto-moto, iné (tovary a služby), &amp;#32všetky kategórie</v>
      </c>
      <c r="H4" s="41" t="s">
        <v>68</v>
      </c>
      <c r="I4" s="43" t="str">
        <f t="shared" si="3"/>
        <v>16 - 20, &amp;#32všetky možnosti</v>
      </c>
      <c r="J4" s="44" t="str">
        <f t="shared" si="4"/>
        <v>,Register partnerov VS</v>
      </c>
      <c r="K4" s="45">
        <f t="shared" si="5"/>
        <v>35187.61735</v>
      </c>
      <c r="L4" s="43"/>
      <c r="M4" s="43" t="str">
        <f>IFERROR(__xludf.DUMMYFUNCTION("SPLIT(O4,"","")"),"Krasňany 285")</f>
        <v>Krasňany 285</v>
      </c>
      <c r="N4" s="43" t="str">
        <f>IFERROR(__xludf.DUMMYFUNCTION("""COMPUTED_VALUE""")," 013 03 Krasňany")</f>
        <v> 013 03 Krasňany</v>
      </c>
      <c r="O4" s="42" t="s">
        <v>69</v>
      </c>
      <c r="P4" s="43">
        <v>49.2145131</v>
      </c>
      <c r="Q4" s="43">
        <v>18.8827902</v>
      </c>
      <c r="R4" s="46" t="s">
        <v>70</v>
      </c>
      <c r="S4" s="47" t="s">
        <v>71</v>
      </c>
      <c r="T4" s="60" t="s">
        <v>72</v>
      </c>
      <c r="U4" s="61" t="s">
        <v>73</v>
      </c>
      <c r="V4" s="50" t="s">
        <v>74</v>
      </c>
      <c r="W4" s="55" t="s">
        <v>75</v>
      </c>
      <c r="X4" s="54" t="s">
        <v>76</v>
      </c>
      <c r="Y4" s="46" t="s">
        <v>77</v>
      </c>
      <c r="Z4" s="53" t="s">
        <v>78</v>
      </c>
      <c r="AA4" s="52" t="s">
        <v>64</v>
      </c>
      <c r="AB4" s="55"/>
      <c r="AC4" s="56"/>
      <c r="AD4" s="56"/>
      <c r="AE4" s="55"/>
      <c r="AF4" s="55"/>
      <c r="AG4" s="56"/>
      <c r="AH4" s="56"/>
      <c r="AI4" s="55"/>
      <c r="AJ4" s="55"/>
      <c r="AK4" s="56"/>
      <c r="AL4" s="56"/>
      <c r="AM4" s="47"/>
      <c r="AN4" s="62" t="s">
        <v>39</v>
      </c>
      <c r="AO4" s="57" t="s">
        <v>40</v>
      </c>
      <c r="AP4" s="58" t="str">
        <f t="shared" si="6"/>
        <v>Krasplast spol. s r.o. odpady a recyklacia, auto-moto, ine (tovary a sluzby), &amp;#32vsetky kategorie  013 03 Krasnany Montaz jednoduchych komponentov pre automobilovy priemysel,  vyroba gazovych vyrobkov, triedenie a drvenie cistych priemyselnych plastov - vyroba plastovej drviny, balenie a distribucia cistiacich a priemyselnych rohozi. Zamestnavame zamestnancov so zdravotnym znevyhodnenim, umoznujeme aj inkluziu obcanov s tazsim zdravotnym postihnutim v pracovnom procese. Krasplast Montaz jednoduchych komponentov pre automobilovy priemysel, vyroba gazovych vyrobkov, triedenie a drvenie cistych plastov - vyroba plastovej drviny, balenie a distribucia cistiacich a priemyselnych rohozi plastova drvina, cistiace rohoze, priemyselne rohoze, rucne operacie, automotive, montaz           Register partnerov VS</v>
      </c>
      <c r="AQ4" s="37"/>
    </row>
    <row r="5" ht="15.75" customHeight="1">
      <c r="A5" s="43"/>
      <c r="B5" s="59">
        <v>3.0</v>
      </c>
      <c r="C5" s="40" t="s">
        <v>79</v>
      </c>
      <c r="D5" s="41" t="s">
        <v>80</v>
      </c>
      <c r="E5" s="38" t="str">
        <f t="shared" si="1"/>
        <v>Trnavský kraj, &amp;#32celé Slovensko</v>
      </c>
      <c r="F5" s="42" t="s">
        <v>81</v>
      </c>
      <c r="G5" s="38" t="str">
        <f t="shared" si="2"/>
        <v>obaly, reklama, iné (tovary a služby), kovovýroba, &amp;#32všetky kategórie</v>
      </c>
      <c r="H5" s="42" t="s">
        <v>82</v>
      </c>
      <c r="I5" s="43" t="str">
        <f t="shared" si="3"/>
        <v>11 - 15, &amp;#32všetky možnosti</v>
      </c>
      <c r="J5" s="44" t="str">
        <f t="shared" ref="J5:J337" si="7">AM5&amp;","&amp;AN5&amp;","&amp;AO5</f>
        <v>,Register partnerov VS,</v>
      </c>
      <c r="K5" s="45">
        <f t="shared" si="5"/>
        <v>12447.20241</v>
      </c>
      <c r="L5" s="43"/>
      <c r="M5" s="43" t="str">
        <f>IFERROR(__xludf.DUMMYFUNCTION("SPLIT(O5,"","")"),"Kasárenská 1504/51")</f>
        <v>Kasárenská 1504/51</v>
      </c>
      <c r="N5" s="43" t="str">
        <f>IFERROR(__xludf.DUMMYFUNCTION("""COMPUTED_VALUE""")," 905 01 Senica")</f>
        <v> 905 01 Senica</v>
      </c>
      <c r="O5" s="42" t="s">
        <v>83</v>
      </c>
      <c r="P5" s="43">
        <v>48.6707591</v>
      </c>
      <c r="Q5" s="43">
        <v>17.3535012</v>
      </c>
      <c r="R5" s="46" t="s">
        <v>84</v>
      </c>
      <c r="S5" s="47" t="s">
        <v>85</v>
      </c>
      <c r="T5" s="63" t="s">
        <v>86</v>
      </c>
      <c r="U5" s="61" t="s">
        <v>87</v>
      </c>
      <c r="V5" s="50" t="s">
        <v>88</v>
      </c>
      <c r="W5" s="55" t="s">
        <v>89</v>
      </c>
      <c r="X5" s="54" t="s">
        <v>90</v>
      </c>
      <c r="Y5" s="46" t="s">
        <v>91</v>
      </c>
      <c r="Z5" s="53" t="s">
        <v>92</v>
      </c>
      <c r="AA5" s="52" t="s">
        <v>64</v>
      </c>
      <c r="AB5" s="55"/>
      <c r="AC5" s="56"/>
      <c r="AD5" s="56"/>
      <c r="AE5" s="55"/>
      <c r="AF5" s="55"/>
      <c r="AG5" s="56"/>
      <c r="AH5" s="56"/>
      <c r="AI5" s="55"/>
      <c r="AJ5" s="55"/>
      <c r="AK5" s="56"/>
      <c r="AL5" s="56"/>
      <c r="AM5" s="47"/>
      <c r="AN5" s="62" t="s">
        <v>39</v>
      </c>
      <c r="AO5" s="64"/>
      <c r="AP5" s="58" t="str">
        <f t="shared" si="6"/>
        <v>CNCteam, s.r.o. obaly, reklama, ine (tovary a sluzby), kovovyroba, &amp;#32vsetky kategorie  905 01 Senica Tlac, vyroba obalov, vyroba kartonovych krabic, CNC frezovanie, reklama. Zamestnavame prevazne ludi s telesnym znevyhodnenim. CNCteam Vyroba kartonovych obalov, reklamna tlac, CNC frezovanie. kartonove krabice, 3D reklama, obaly, karton, CNC, kovovyroba           Register partnerov VS</v>
      </c>
      <c r="AQ5" s="37"/>
    </row>
    <row r="6" ht="15.75" customHeight="1">
      <c r="A6" s="43"/>
      <c r="B6" s="59">
        <v>4.0</v>
      </c>
      <c r="C6" s="40" t="s">
        <v>93</v>
      </c>
      <c r="D6" s="41" t="s">
        <v>94</v>
      </c>
      <c r="E6" s="38" t="str">
        <f t="shared" si="1"/>
        <v>Bratislavský kraj, &amp;#32celé Slovensko</v>
      </c>
      <c r="F6" s="41" t="s">
        <v>95</v>
      </c>
      <c r="G6" s="38" t="str">
        <f t="shared" si="2"/>
        <v>čistiace a upratovacie služby, ochrana a bezpečnosť, vzdelávanie, účtovníctvo a poradenstvo, kultúra a šport, krása-zdravie-relax, reklama, odevy a obuv, iné (tovary a služby), &amp;#32všetky kategórie</v>
      </c>
      <c r="H6" s="42" t="s">
        <v>96</v>
      </c>
      <c r="I6" s="43" t="str">
        <f t="shared" si="3"/>
        <v>6 - 10, &amp;#32všetky možnosti</v>
      </c>
      <c r="J6" s="44" t="str">
        <f t="shared" si="7"/>
        <v>,,Náhradné plnenie</v>
      </c>
      <c r="K6" s="45">
        <f t="shared" si="5"/>
        <v>21436.15326</v>
      </c>
      <c r="L6" s="43"/>
      <c r="M6" s="43" t="str">
        <f>IFERROR(__xludf.DUMMYFUNCTION("SPLIT(O6,"","")"),"Betliarska 22")</f>
        <v>Betliarska 22</v>
      </c>
      <c r="N6" s="43" t="str">
        <f>IFERROR(__xludf.DUMMYFUNCTION("""COMPUTED_VALUE""")," 851 07 Bratislava - mestská časť Petržalka")</f>
        <v> 851 07 Bratislava - mestská časť Petržalka</v>
      </c>
      <c r="O6" s="42" t="s">
        <v>97</v>
      </c>
      <c r="P6" s="43">
        <v>48.0986015999999</v>
      </c>
      <c r="Q6" s="43">
        <v>17.1128697</v>
      </c>
      <c r="R6" s="46" t="s">
        <v>98</v>
      </c>
      <c r="S6" s="47" t="s">
        <v>99</v>
      </c>
      <c r="T6" s="63" t="s">
        <v>100</v>
      </c>
      <c r="U6" s="61" t="s">
        <v>101</v>
      </c>
      <c r="V6" s="50" t="s">
        <v>102</v>
      </c>
      <c r="W6" s="55" t="s">
        <v>103</v>
      </c>
      <c r="X6" s="54" t="s">
        <v>104</v>
      </c>
      <c r="Y6" s="46" t="s">
        <v>105</v>
      </c>
      <c r="Z6" s="53" t="s">
        <v>106</v>
      </c>
      <c r="AA6" s="52" t="s">
        <v>64</v>
      </c>
      <c r="AB6" s="55"/>
      <c r="AC6" s="56"/>
      <c r="AD6" s="56"/>
      <c r="AE6" s="55"/>
      <c r="AF6" s="55"/>
      <c r="AG6" s="56"/>
      <c r="AH6" s="56"/>
      <c r="AI6" s="55"/>
      <c r="AJ6" s="55"/>
      <c r="AK6" s="56"/>
      <c r="AL6" s="56"/>
      <c r="AM6" s="34"/>
      <c r="AN6" s="55"/>
      <c r="AO6" s="57" t="s">
        <v>40</v>
      </c>
      <c r="AP6" s="58" t="str">
        <f t="shared" si="6"/>
        <v>LAW &amp; POLITICAL SCIENCE AGENCY s.r.o., r. s. p., skratka L&amp;P s.r.o., r. s. p. cistiace a upratovacie sluzby, ochrana a bezpecnost, vzdelavanie, uctovnictvo a poradenstvo, kultura a sport, krasa-zdravie-relax, reklama, odevy a obuv, ine (tovary a sluzby), &amp;#32vsetky kategorie  851 07 Bratislava - mestska cast Petrzalka Patrime medzi stabilne a silne spolocnosti v Slovenskej republike. Svojim portfoliom sluzieb a ich komplexnostou sme jedinecni a rozumieme korporatnym procesom. Prinasame kvalitne sluzby, menime postoje ludi a zbavujeme ich predsudkov. Prinasame moderny pohlad na socialne podnikanie a sny o vzajomnej uzitocnosti a prospesnosti znevyhodnenych a zranitelnych ludi na otvorenom trhu pretvarame na realitu.
Nase sluzby su zamerane na:
- administrativu,
- poradensku cinnost v oblasti GDPR, BOZP a PO,
- marketing a reklamne predmety,
- potlac predmetov,
- skolenia zamestnancov,
- organizovanie eventov a firemnych akcii,
- graficke prace a dizajn,
- sluzby na kluc.
Transformujeme dobre napady do atraktivnych produktov a sluzieb pre nasich zakaznikov a partnerov. Budeme pocteni, ak si nas zvolite ako svojho dodavatela ci partnera.
 Nasa spolocnost je spolocensky prospesna v dvoch smeroch.  Prvy je integracny socialny podnik, ktory zamestnava znevyhodnene a zranitelne osoby. 
Druhy je vseobecny socialny podnik, co je v nasom podani sluzba pridanej spolocenskej hodnoty, a to v poskytovani informovanosti pre FO a PO v oblasti integracie a socializacie ludi so zdravotnym znevyhodnenim do spolocenskeho a pracovneho zivota. 
Uvedena sluzba je bezplatna a je sucastou kazdej nasej sluzby, ci uz existujucej alebo novovznikajucej. Nasou snahou je zvysovat povedomie o vzajomnej prospesnosti a uzitocnosti spoluprace medzi zdravou populaciou a populaciou so zdravotnym znevyhodnenim.  
Pre fyzicke osoby je sluzba zamerana na:
a) 	oboznamenie sa s moznostami uplatnenia sa na trhu prace,
b) 	ziskanie podpory formou kompenzacii v sukromnom a pracovnom zivote,
c) 	analyzu stavu fyzickych osob, ci splnaju podmienky aby mali narok na body a) a b); ide napriklad o moznosti ziskania kompenzacii na osobnu asistenciu, kompenzacne pomocky, napr. invalidny vozik, PC, multifunkcne zariadenie, vycvik s pomockou, kupu osobneho automobilu a pod.
Pre pravnicke osoby je sluzba zamerana na:
a) 	oboznamenie sa s moznostami uplatnenia integracie a socializacie ludi so zdravotnym znevyhodnenim na trhu prace,
b) 	ziskanie podpory formou kompenzacii v pracovnom zivote,
c) 	analyza stavu pravnickych osob, ci splnaju podmienky aby mali narok na body a) a b); ide napriklad o moznosti ziskania kompenzacii na pracovnu asistenciu, tvorbu pracovnych miest, bezbarierovost pracovisk a pod.
 LAW &amp; POLITICAL SCIENCE AGENCY s.r.o., r. s. p. , skratka L&amp;P s.r.o., r. s .p. Integracny socialny podnik sa zameriava na poskytovanie komercnych sluzieb, ako:
- aAdministrativa,
- graficke prace,
- oOrganizovanie eventov, firemnych akcii,
- sSkolenia a mentoring,
- 	BOZP a P,O 
- ochrana osobnych udajov GDPR
- potlac predmetov,
- poradenstvo v oblasti zamestnavania znevyhodnenych uchadzacov o zamestnanie
 administrativa, grafika, reklamne predmety, BOZP, GDPR, PO, eventy, firemne akcie, skolenia, sluzby na kluc, potlac predmetov, poradenstvo, ochranne pracovne pomocky           </v>
      </c>
      <c r="AQ6" s="37"/>
    </row>
    <row r="7" ht="15.75" customHeight="1">
      <c r="A7" s="43"/>
      <c r="B7" s="59">
        <v>5.0</v>
      </c>
      <c r="C7" s="40" t="s">
        <v>107</v>
      </c>
      <c r="D7" s="41" t="s">
        <v>51</v>
      </c>
      <c r="E7" s="38" t="str">
        <f t="shared" si="1"/>
        <v>Prešovský kraj, &amp;#32celé Slovensko</v>
      </c>
      <c r="F7" s="42" t="s">
        <v>108</v>
      </c>
      <c r="G7" s="38" t="str">
        <f t="shared" si="2"/>
        <v>čistiace a upratovacie služby, stavebníctvo, &amp;#32všetky kategórie</v>
      </c>
      <c r="H7" s="42" t="s">
        <v>53</v>
      </c>
      <c r="I7" s="43" t="str">
        <f t="shared" si="3"/>
        <v>1 - 5, &amp;#32všetky možnosti</v>
      </c>
      <c r="J7" s="44" t="str">
        <f t="shared" si="7"/>
        <v>,Register partnerov VS,</v>
      </c>
      <c r="K7" s="45">
        <f t="shared" si="5"/>
        <v>17734.65699</v>
      </c>
      <c r="L7" s="43"/>
      <c r="M7" s="43" t="str">
        <f>IFERROR(__xludf.DUMMYFUNCTION("SPLIT(O7,"","")"),"Lesnica 26")</f>
        <v>Lesnica 26</v>
      </c>
      <c r="N7" s="43" t="str">
        <f>IFERROR(__xludf.DUMMYFUNCTION("""COMPUTED_VALUE""")," 065 33 Lesnica")</f>
        <v> 065 33 Lesnica</v>
      </c>
      <c r="O7" s="42" t="s">
        <v>109</v>
      </c>
      <c r="P7" s="43">
        <v>49.40023</v>
      </c>
      <c r="Q7" s="43">
        <v>20.4730448</v>
      </c>
      <c r="R7" s="46" t="s">
        <v>110</v>
      </c>
      <c r="S7" s="47" t="s">
        <v>111</v>
      </c>
      <c r="T7" s="63" t="s">
        <v>86</v>
      </c>
      <c r="U7" s="61" t="s">
        <v>112</v>
      </c>
      <c r="V7" s="50" t="s">
        <v>113</v>
      </c>
      <c r="W7" s="55" t="s">
        <v>114</v>
      </c>
      <c r="X7" s="54" t="s">
        <v>115</v>
      </c>
      <c r="Y7" s="65">
        <v>0.0</v>
      </c>
      <c r="Z7" s="53" t="s">
        <v>116</v>
      </c>
      <c r="AA7" s="52" t="s">
        <v>64</v>
      </c>
      <c r="AB7" s="55"/>
      <c r="AC7" s="56"/>
      <c r="AD7" s="56"/>
      <c r="AE7" s="55"/>
      <c r="AF7" s="55"/>
      <c r="AG7" s="56"/>
      <c r="AH7" s="56"/>
      <c r="AI7" s="55"/>
      <c r="AJ7" s="55"/>
      <c r="AK7" s="56"/>
      <c r="AL7" s="56"/>
      <c r="AM7" s="47"/>
      <c r="AN7" s="62" t="s">
        <v>39</v>
      </c>
      <c r="AO7" s="64"/>
      <c r="AP7" s="58" t="str">
        <f t="shared" si="6"/>
        <v>Lesnica - tradicia Pienin s.r.o., r.s.p. cistiace a upratovacie sluzby, stavebnictvo, &amp;#32vsetky kategorie  065 33 Lesnica Cistiace a upratovacie sluzby, pripravne prace k realizacii stavby, zimna a letna udrzba komunikacii. Sme zamestnavatelom osob zo zranitelnych skupin a znevyhodnenych osob. nemame 0 cistiace sluzby, upratovanie, pripravne prace k realizacii stavby, zimna udrzba komunikacii, letna udrzba komunikacii, pripravne prace, stavba, stavebne prace           Register partnerov VS</v>
      </c>
      <c r="AQ7" s="37"/>
    </row>
    <row r="8" ht="15.75" customHeight="1">
      <c r="A8" s="43"/>
      <c r="B8" s="59">
        <v>6.0</v>
      </c>
      <c r="C8" s="40" t="s">
        <v>117</v>
      </c>
      <c r="D8" s="41" t="s">
        <v>80</v>
      </c>
      <c r="E8" s="38" t="str">
        <f t="shared" si="1"/>
        <v>Trnavský kraj, &amp;#32celé Slovensko</v>
      </c>
      <c r="F8" s="42" t="s">
        <v>118</v>
      </c>
      <c r="G8" s="38" t="str">
        <f t="shared" si="2"/>
        <v>vzdelávanie, pre deti, odpady a recyklácia, iné (tovary a služby), &amp;#32všetky kategórie</v>
      </c>
      <c r="H8" s="42" t="s">
        <v>82</v>
      </c>
      <c r="I8" s="43" t="str">
        <f t="shared" si="3"/>
        <v>11 - 15, &amp;#32všetky možnosti</v>
      </c>
      <c r="J8" s="44" t="str">
        <f t="shared" si="7"/>
        <v>,Register partnerov VS,</v>
      </c>
      <c r="K8" s="45">
        <f t="shared" si="5"/>
        <v>11423.57891</v>
      </c>
      <c r="L8" s="43"/>
      <c r="M8" s="43" t="str">
        <f>IFERROR(__xludf.DUMMYFUNCTION("SPLIT(O8,"","")"),"Ulica Hospodárska 45")</f>
        <v>Ulica Hospodárska 45</v>
      </c>
      <c r="N8" s="43" t="str">
        <f>IFERROR(__xludf.DUMMYFUNCTION("""COMPUTED_VALUE""")," 917 01 Trnava ")</f>
        <v> 917 01 Trnava </v>
      </c>
      <c r="O8" s="42" t="s">
        <v>119</v>
      </c>
      <c r="P8" s="43">
        <v>48.3742558999999</v>
      </c>
      <c r="Q8" s="43">
        <v>17.5819493</v>
      </c>
      <c r="R8" s="46" t="s">
        <v>120</v>
      </c>
      <c r="S8" s="47" t="s">
        <v>121</v>
      </c>
      <c r="T8" s="63" t="s">
        <v>122</v>
      </c>
      <c r="U8" s="61" t="s">
        <v>123</v>
      </c>
      <c r="V8" s="66" t="s">
        <v>124</v>
      </c>
      <c r="W8" s="55" t="s">
        <v>125</v>
      </c>
      <c r="X8" s="54" t="s">
        <v>126</v>
      </c>
      <c r="Y8" s="46" t="s">
        <v>127</v>
      </c>
      <c r="Z8" s="53" t="s">
        <v>128</v>
      </c>
      <c r="AA8" s="67" t="s">
        <v>129</v>
      </c>
      <c r="AB8" s="55" t="s">
        <v>130</v>
      </c>
      <c r="AC8" s="56" t="s">
        <v>131</v>
      </c>
      <c r="AD8" s="56" t="s">
        <v>132</v>
      </c>
      <c r="AE8" s="55" t="s">
        <v>64</v>
      </c>
      <c r="AF8" s="55"/>
      <c r="AG8" s="56"/>
      <c r="AH8" s="56"/>
      <c r="AI8" s="55"/>
      <c r="AJ8" s="55"/>
      <c r="AK8" s="56"/>
      <c r="AL8" s="56"/>
      <c r="AM8" s="47"/>
      <c r="AN8" s="62" t="s">
        <v>39</v>
      </c>
      <c r="AO8" s="64"/>
      <c r="AP8" s="58" t="str">
        <f t="shared" si="6"/>
        <v>SVDM s. r. o. vzdelavanie, pre deti, odpady a recyklacia, ine (tovary a sluzby), &amp;#32vsetky kategorie  917 01 Trnava  Primarne sa spolocnost vo vsetkych svojich aktivitach sustredi na podporu cirkularnej ekonomiky. Prostrednictvom tovarov (bezobalova drogeria), sluzieb (konzultacie, odborne poradenstvo v oblasti CE), podujati (kurzy, swapy, prednasky), vzdelavania (verejnost a skoly) a prevadzkovania reuse centier dava zakaznikom nastroje na udrzatelnejsi zivot,  ohladuplnejsi k prirode i k ostatnym.  Spolocensky dopad spociva v ochrane zivotneho prostredia, vzdelavani a vychove, rozvoji duchovnych a kulturnych hodnot a v poskytovani socialnej pomoci organizaciam a ludom v nudzi. Dopadom je budovanie zodpovednej, uvedomelej a spravodlivej spolocnosti prostrednictvom osvojovania si novych zrucnosti a vedomosti, ako i generovanie socialneho kapitalu.
 Baterkaren Baterkaren v sebe skryva bezobalovu drogeriu, miesto pre podujatia, vzdelavanie, dobrovolnictvo a 1. reuse centrum na Slovensku, v ktorom mesacne vratime do obehu viac ako 1000 ks zdanlivo nepotrebnych veci (oblecenie, knihy, hracky, rastliny, ...). bezobalova drogeria, prirodna kozmetika, potreby do domacnosti, sady na tvorenie, konzultacie, poradenstvo, cirkularna ekonomika, vzdelavanie, kurzy, swapy, second hand, komunita, dobrovolnictvo, aktivizmus  Reuse Centrum Back2Life Prevadzka sa zameriava vylucne na kolobeh predmetov. Reuse centrum je miestom, do ktoreho mozu zakaznici priniest nepotrebne, no funkcne predmety a odniest si predmety prinesene inymi zakaznikmi za symbolicke prispevky.  Najdu tu potreby do domacnosti, knihy, hracky, potreby na cestovanie ci sport, detske potreby, ... reuse centrum, bazar, cirkularna ekonomika, z druhej ruky, komunita, knihy, hracky, domacnost, dom a zahrada, dekoracie, darceky, ekologia,        Register partnerov VS</v>
      </c>
      <c r="AQ8" s="37"/>
    </row>
    <row r="9" ht="15.75" customHeight="1">
      <c r="A9" s="43"/>
      <c r="B9" s="59">
        <v>7.0</v>
      </c>
      <c r="C9" s="40" t="s">
        <v>133</v>
      </c>
      <c r="D9" s="41" t="s">
        <v>134</v>
      </c>
      <c r="E9" s="38" t="str">
        <f t="shared" si="1"/>
        <v>Trenčiansky kraj, &amp;#32celé Slovensko</v>
      </c>
      <c r="F9" s="42" t="s">
        <v>135</v>
      </c>
      <c r="G9" s="38" t="str">
        <f t="shared" si="2"/>
        <v>čistiace a upratovacie služby, poľnohospodárstvo a lesníctvo, stavebníctvo, doprava, ubytovacie a stravovacie služby, odpady a recyklácia, dom a záhrada, &amp;#32všetky kategórie</v>
      </c>
      <c r="H9" s="42" t="s">
        <v>96</v>
      </c>
      <c r="I9" s="43" t="str">
        <f t="shared" si="3"/>
        <v>6 - 10, &amp;#32všetky možnosti</v>
      </c>
      <c r="J9" s="44" t="str">
        <f t="shared" si="7"/>
        <v>,Register partnerov VS,</v>
      </c>
      <c r="K9" s="45">
        <f t="shared" si="5"/>
        <v>10512.19624</v>
      </c>
      <c r="L9" s="43"/>
      <c r="M9" s="43" t="str">
        <f>IFERROR(__xludf.DUMMYFUNCTION("SPLIT(O9,"","")"),"Nová Bošáca 79")</f>
        <v>Nová Bošáca 79</v>
      </c>
      <c r="N9" s="43" t="str">
        <f>IFERROR(__xludf.DUMMYFUNCTION("""COMPUTED_VALUE""")," 913 08 Nová Bošáca")</f>
        <v> 913 08 Nová Bošáca</v>
      </c>
      <c r="O9" s="42" t="s">
        <v>136</v>
      </c>
      <c r="P9" s="43">
        <v>48.8798128</v>
      </c>
      <c r="Q9" s="43">
        <v>17.7974994</v>
      </c>
      <c r="R9" s="46" t="s">
        <v>137</v>
      </c>
      <c r="S9" s="47" t="s">
        <v>138</v>
      </c>
      <c r="T9" s="63" t="s">
        <v>86</v>
      </c>
      <c r="U9" s="61" t="s">
        <v>139</v>
      </c>
      <c r="V9" s="50" t="s">
        <v>140</v>
      </c>
      <c r="W9" s="55" t="s">
        <v>141</v>
      </c>
      <c r="X9" s="54" t="s">
        <v>142</v>
      </c>
      <c r="Y9" s="46" t="s">
        <v>143</v>
      </c>
      <c r="Z9" s="53" t="s">
        <v>144</v>
      </c>
      <c r="AA9" s="52" t="s">
        <v>64</v>
      </c>
      <c r="AB9" s="55"/>
      <c r="AC9" s="56"/>
      <c r="AD9" s="56"/>
      <c r="AE9" s="55"/>
      <c r="AF9" s="55"/>
      <c r="AG9" s="56"/>
      <c r="AH9" s="56"/>
      <c r="AI9" s="55"/>
      <c r="AJ9" s="55"/>
      <c r="AK9" s="56"/>
      <c r="AL9" s="56"/>
      <c r="AM9" s="47"/>
      <c r="AN9" s="62" t="s">
        <v>39</v>
      </c>
      <c r="AO9" s="64"/>
      <c r="AP9" s="58" t="str">
        <f t="shared" si="6"/>
        <v>Obecne sluzby Nova Bosaca s. r. o. cistiace a upratovacie sluzby, polnohospodarstvo a lesnictvo, stavebnictvo, doprava, ubytovacie a stravovacie sluzby, odpady a recyklacia, dom a zahrada, &amp;#32vsetky kategorie  913 08 Nova Bosaca Ponuka hlavnych pracovnych cinnosti:
podnikanie v oblasti nakladania s inym ako nebezpecnym odpadom, preprava materialu,
sprava bytoveho a nebytoveho fondu, stavebne prace, 
diagnostika kanalizacnych potrubi a cistenie kanalizacnych systemov, sluzby v polnohospodarstve, kosenie, mulcovanie, stiepkovanie, orezavanie stromov,  vyroba a opracovanie jednoduchych vyrobkov z kovu, vyroba zastaviek HD, laviciek, pristreskov,  prevadzkovanie verejnych kanalizacii a vodovodov, zemne, vykopove a buracie prace, prace so zvihacim zariadenim, s hydraulickou rukou, oprava verejneho osvetlenia, verejneho rozhlasu, cistiace a upratovacie sluzby, udrzba budov, prenajom vysuvneho rebrika, party stanov, zahradnych pivnych setov, prenajom vibracnej dosky, ubytovacie sluzby, vyroba a rozvod tepla, vykon cinnosti stavbyveduceho, kalendar,  cennik sluzieb, odpady, vzory ziadosti, SMS rozhlas Integracia obcanov so zdravotnym znevyhodnenim, vykon pracovnych cinnosti v prospech obcanov obce - verejneho zaujmu. Obecne sluzby Nova Bosaca s.r.o. Podnikanie v oblasti nakladania s inym ako nebezpecnym odpadom, preprava materialu, sprava bytoveho a nebytoveho fondu, stavebne prace, diagnostika kanalizacnych potrubi a cistenie kanalizacnych systemov, sluzby v polnohospodarstve, kosenie, mulcovanie, stiepkovanie, orezavanie stromov, vyroba a opracovanie jednoduchych vyrobkov z kovu, vyroba zastaviek HD, laviciek, pristreskov, prevadzkovanie verejnych kanalizacii, prevadzkovanie verejnych vodovodov, zemne, vykopove a buracie prace, prace so zvihacim zariadenim, hydraulickou rukou, oprava verejneho osvetlenia, verejneho rozhlasu, cistiace a upratovacie sluzby, udrzba budov, prenajom vysuvneho rebrika, party stanov,  zahradnych pivnych setov, prenajom vibracnej dosky, ubytovacie sluzby, vyroba tepla, rozvod tepla, vykon cinnosti stavbyveduceho stavebna cinnost, zemne prace, buracie prace, kosenie, vyroba tepla, sprava bytovych domov, autobusove zastavky, lavicky, uprava verejnych priestranstiev, triedenie odpadov, verejne osvetlenie, verejna zelen, opravy, kanalizacie           Register partnerov VS</v>
      </c>
      <c r="AQ9" s="37"/>
    </row>
    <row r="10" ht="15.75" customHeight="1">
      <c r="A10" s="43"/>
      <c r="B10" s="59">
        <v>8.0</v>
      </c>
      <c r="C10" s="40" t="s">
        <v>145</v>
      </c>
      <c r="D10" s="41" t="s">
        <v>66</v>
      </c>
      <c r="E10" s="38" t="str">
        <f t="shared" si="1"/>
        <v>Žilinský kraj, &amp;#32celé Slovensko</v>
      </c>
      <c r="F10" s="42" t="s">
        <v>146</v>
      </c>
      <c r="G10" s="38" t="str">
        <f t="shared" si="2"/>
        <v>čistiace a upratovacie služby, poľnohospodárstvo a lesníctvo, dom a záhrada, účtovníctvo a poradenstvo, odpady a recyklácia, &amp;#32všetky kategórie</v>
      </c>
      <c r="H10" s="42" t="s">
        <v>68</v>
      </c>
      <c r="I10" s="43" t="str">
        <f t="shared" si="3"/>
        <v>16 - 20, &amp;#32všetky možnosti</v>
      </c>
      <c r="J10" s="44" t="str">
        <f t="shared" si="7"/>
        <v>,Register partnerov VS,</v>
      </c>
      <c r="K10" s="45">
        <f t="shared" si="5"/>
        <v>34464.01213</v>
      </c>
      <c r="L10" s="43"/>
      <c r="M10" s="43" t="str">
        <f>IFERROR(__xludf.DUMMYFUNCTION("SPLIT(O10,"","")"),"Partizánska 1859/33")</f>
        <v>Partizánska 1859/33</v>
      </c>
      <c r="N10" s="43" t="str">
        <f>IFERROR(__xludf.DUMMYFUNCTION("""COMPUTED_VALUE""")," 038 53 Turany ")</f>
        <v> 038 53 Turany </v>
      </c>
      <c r="O10" s="42" t="s">
        <v>147</v>
      </c>
      <c r="P10" s="43">
        <v>49.1196470999999</v>
      </c>
      <c r="Q10" s="43">
        <v>19.0369088</v>
      </c>
      <c r="R10" s="46" t="s">
        <v>148</v>
      </c>
      <c r="S10" s="47" t="s">
        <v>149</v>
      </c>
      <c r="T10" s="63" t="s">
        <v>86</v>
      </c>
      <c r="U10" s="61" t="s">
        <v>150</v>
      </c>
      <c r="V10" s="50" t="s">
        <v>151</v>
      </c>
      <c r="W10" s="55" t="s">
        <v>152</v>
      </c>
      <c r="X10" s="54" t="s">
        <v>153</v>
      </c>
      <c r="Y10" s="46" t="s">
        <v>154</v>
      </c>
      <c r="Z10" s="53" t="s">
        <v>155</v>
      </c>
      <c r="AA10" s="52" t="s">
        <v>64</v>
      </c>
      <c r="AB10" s="55"/>
      <c r="AC10" s="56"/>
      <c r="AD10" s="56"/>
      <c r="AE10" s="55"/>
      <c r="AF10" s="55"/>
      <c r="AG10" s="56"/>
      <c r="AH10" s="56"/>
      <c r="AI10" s="55"/>
      <c r="AJ10" s="55"/>
      <c r="AK10" s="56"/>
      <c r="AL10" s="56"/>
      <c r="AM10" s="47"/>
      <c r="AN10" s="62" t="s">
        <v>39</v>
      </c>
      <c r="AO10" s="64"/>
      <c r="AP10" s="58" t="str">
        <f t="shared" si="6"/>
        <v>MH ASIST, s. r. o. cistiace a upratovacie sluzby, polnohospodarstvo a lesnictvo, dom a zahrada, uctovnictvo a poradenstvo, odpady a recyklacia, &amp;#32vsetky kategorie  038 53 Turany  Spolocnost MH ASIST vznikla vo februari 2020, ako spolocnost, ktora sa zaobera lesopestevnou cinnostou (vysadba a osetrovanie lesa), ako aj upratovacimi pracami v ramci regionu. V tejto dobe sa sustredujeme na buducu nosnu cinnost spolocnosti, a to je poskytovanie sluzieb pri spracovani a zhodnocovani BRO a BRKO ( biologicky rozlozitelne a kuchynske odpady) formou edukacie, zabezpecenia technologickeho zazemia, ale aj realne poskytovanie spracovania vlastnou technikou. Momentalne pracujeme aj na vybavovani povoleni pre zriadenie ambulantnej kompostarne.  Nielen ze zamestnavame zranitelne a znevyhodnene osoby, ale sa snazime posobit aj poradensky pre ostatne socialne podniky, nakolko sme absolvovali schvalovaci proces v ramci vyzvy INVESTICNA POMOC PRE SOCIALNE PODNIKY - NENAVRATNA ZLOZKA a tak isto posobit edukativne v oblasti ekologie. MH ASIST Lesopestevna cinnost, upratovacie prace, sluzby pri spracovani a zhodnocovani BRO a BRKO, poradenska cinnost pri spracovani BRO a BRKO a zabezpecovanie technickeho a technologickeho zazemia. spracovanie BRO a BRKO, dodavka technologii skladovania a spracovania BRO a BRKO, biologicky odpad, odpadove technologie           Register partnerov VS</v>
      </c>
      <c r="AQ10" s="37"/>
    </row>
    <row r="11" ht="15.75" customHeight="1">
      <c r="A11" s="43"/>
      <c r="B11" s="59">
        <v>9.0</v>
      </c>
      <c r="C11" s="40" t="s">
        <v>156</v>
      </c>
      <c r="D11" s="41" t="s">
        <v>134</v>
      </c>
      <c r="E11" s="38" t="str">
        <f t="shared" si="1"/>
        <v>Trenčiansky kraj, &amp;#32celé Slovensko</v>
      </c>
      <c r="F11" s="42" t="s">
        <v>157</v>
      </c>
      <c r="G11" s="38" t="str">
        <f t="shared" si="2"/>
        <v>cestovný ruch, vzdelávanie, pre deti, zvieratá, &amp;#32všetky kategórie</v>
      </c>
      <c r="H11" s="42" t="s">
        <v>96</v>
      </c>
      <c r="I11" s="43" t="str">
        <f t="shared" si="3"/>
        <v>6 - 10, &amp;#32všetky možnosti</v>
      </c>
      <c r="J11" s="44" t="str">
        <f t="shared" si="7"/>
        <v>,,</v>
      </c>
      <c r="K11" s="45">
        <f t="shared" si="5"/>
        <v>11581.93257</v>
      </c>
      <c r="L11" s="43"/>
      <c r="M11" s="43" t="str">
        <f>IFERROR(__xludf.DUMMYFUNCTION("SPLIT(O11,"","")"),"Lubina 821")</f>
        <v>Lubina 821</v>
      </c>
      <c r="N11" s="43" t="str">
        <f>IFERROR(__xludf.DUMMYFUNCTION("""COMPUTED_VALUE""")," 916 12 Lubina")</f>
        <v> 916 12 Lubina</v>
      </c>
      <c r="O11" s="42" t="s">
        <v>158</v>
      </c>
      <c r="P11" s="43">
        <v>48.820016</v>
      </c>
      <c r="Q11" s="43">
        <v>17.7041792</v>
      </c>
      <c r="R11" s="46" t="s">
        <v>159</v>
      </c>
      <c r="S11" s="47" t="s">
        <v>160</v>
      </c>
      <c r="T11" s="63" t="s">
        <v>161</v>
      </c>
      <c r="U11" s="61" t="s">
        <v>162</v>
      </c>
      <c r="V11" s="50" t="s">
        <v>163</v>
      </c>
      <c r="W11" s="55" t="s">
        <v>164</v>
      </c>
      <c r="X11" s="54" t="s">
        <v>165</v>
      </c>
      <c r="Y11" s="46" t="s">
        <v>166</v>
      </c>
      <c r="Z11" s="53" t="s">
        <v>167</v>
      </c>
      <c r="AA11" s="52" t="s">
        <v>64</v>
      </c>
      <c r="AB11" s="55"/>
      <c r="AC11" s="56"/>
      <c r="AD11" s="56"/>
      <c r="AE11" s="55"/>
      <c r="AF11" s="55"/>
      <c r="AG11" s="56"/>
      <c r="AH11" s="56"/>
      <c r="AI11" s="55"/>
      <c r="AJ11" s="55"/>
      <c r="AK11" s="56"/>
      <c r="AL11" s="56"/>
      <c r="AM11" s="34"/>
      <c r="AN11" s="55"/>
      <c r="AO11" s="64"/>
      <c r="AP11" s="58" t="str">
        <f t="shared" si="6"/>
        <v>Minifarma s. r. o. cestovny ruch, vzdelavanie, pre deti, zvierata, &amp;#32vsetky kategorie  916 12 Lubina Spolocnost Minifarma s.r.o. bola zalozena v roku 2013. Jej hlavnou podnikatelskou cinnostou je cestovny ruch - prevadzkovanie detskeho arealu MiniFARMA, mimoskolska vzdelavacia cinnost a organizovanie podujati. Hlavnou myslienkou prevadzky Minifarma je poskytnut detom a ich rodicom co najvacsi zazitok z priameho kontaktu so zvieratkami v lone krasnej prirody.  MiniFARMA zamestnava a bude zamestnavat zranitelne a znevyhodnene osoby. Ich zamestnavanim spolocnost sleduje ciel ich socialneho zaclenenia. MiniFARMA prevadzkuje detsky vonkajsi areal, zamerany na prezentaciu hospodarskych zvierat a na aktivny oddych rodin v prirode. V neposlednom rade, MiniFARMA organizuje tvorive dielne,  podujatia a workshopy v spolupraci s remeselnikmi a drobnymi zivnostnikmi.  MiniFARMA Hlavnou myslienkou prevadzky MiniFARMA je poskytnut detom a ich rodicom co najvacsi zazitok z priameho kontaktu so zvieratkami v lone krasnej prirody. Na priestore presahujucom jeden hektar zije celorocne viac ako 100 zvierat, ktore su jedinecne hlavne malym vzrastom. Zvierata si navstevnici mozu pozriet zblizka, krmit, hladkat ich alebo pozorovat, ako sa spravaju v ich prirodzenom prostredi. Sucastou prevadzky su aj oddychove zony – lavicky, ihriska, hojdacie siete, ci sedacie vaky. Pre navstevnikov su atraktivne aj pravidelne podujatia, konajuce sa na farme pri roznych prilezitostiach.  kontaktna farma, zazitok, vylet, zoo, organizovane skupiny           </v>
      </c>
      <c r="AQ11" s="37"/>
    </row>
    <row r="12" ht="15.75" customHeight="1">
      <c r="A12" s="43"/>
      <c r="B12" s="59">
        <v>10.0</v>
      </c>
      <c r="C12" s="40" t="s">
        <v>168</v>
      </c>
      <c r="D12" s="41" t="s">
        <v>51</v>
      </c>
      <c r="E12" s="38" t="str">
        <f t="shared" si="1"/>
        <v>Prešovský kraj, &amp;#32celé Slovensko</v>
      </c>
      <c r="F12" s="42" t="s">
        <v>169</v>
      </c>
      <c r="G12" s="38" t="str">
        <f t="shared" si="2"/>
        <v>poľnohospodárstvo a lesníctvo, stavebníctvo, iné (tovary a služby), &amp;#32všetky kategórie</v>
      </c>
      <c r="H12" s="42" t="s">
        <v>170</v>
      </c>
      <c r="I12" s="43" t="str">
        <f t="shared" si="3"/>
        <v>21 a viac, &amp;#32všetky možnosti</v>
      </c>
      <c r="J12" s="44" t="str">
        <f t="shared" si="7"/>
        <v>,Register partnerov VS,Náhradné plnenie</v>
      </c>
      <c r="K12" s="45">
        <f t="shared" si="5"/>
        <v>4496.502283</v>
      </c>
      <c r="L12" s="43"/>
      <c r="M12" s="43" t="str">
        <f>IFERROR(__xludf.DUMMYFUNCTION("SPLIT(O12,"","")"),"Hlavná 154")</f>
        <v>Hlavná 154</v>
      </c>
      <c r="N12" s="43" t="str">
        <f>IFERROR(__xludf.DUMMYFUNCTION("""COMPUTED_VALUE""")," 086 41  Raslavice")</f>
        <v> 086 41  Raslavice</v>
      </c>
      <c r="O12" s="42" t="s">
        <v>171</v>
      </c>
      <c r="P12" s="43">
        <v>49.1541539</v>
      </c>
      <c r="Q12" s="43">
        <v>21.3146136</v>
      </c>
      <c r="R12" s="46" t="s">
        <v>172</v>
      </c>
      <c r="S12" s="47" t="s">
        <v>173</v>
      </c>
      <c r="T12" s="63" t="s">
        <v>86</v>
      </c>
      <c r="U12" s="61" t="s">
        <v>174</v>
      </c>
      <c r="V12" s="50" t="s">
        <v>175</v>
      </c>
      <c r="W12" s="55" t="s">
        <v>176</v>
      </c>
      <c r="X12" s="54" t="s">
        <v>177</v>
      </c>
      <c r="Y12" s="46" t="s">
        <v>178</v>
      </c>
      <c r="Z12" s="53" t="s">
        <v>179</v>
      </c>
      <c r="AA12" s="52" t="s">
        <v>64</v>
      </c>
      <c r="AB12" s="55"/>
      <c r="AC12" s="56"/>
      <c r="AD12" s="56"/>
      <c r="AE12" s="55"/>
      <c r="AF12" s="55"/>
      <c r="AG12" s="56"/>
      <c r="AH12" s="56"/>
      <c r="AI12" s="55"/>
      <c r="AJ12" s="55"/>
      <c r="AK12" s="56"/>
      <c r="AL12" s="56"/>
      <c r="AM12" s="47"/>
      <c r="AN12" s="62" t="s">
        <v>39</v>
      </c>
      <c r="AO12" s="57" t="s">
        <v>40</v>
      </c>
      <c r="AP12" s="58" t="str">
        <f t="shared" si="6"/>
        <v>Obecne sluzby Raslavice, s. r. o. polnohospodarstvo a lesnictvo, stavebnictvo, ine (tovary a sluzby), &amp;#32vsetky kategorie  086 41  Raslavice Stavebna cinnost, autobusova doprava, vykopove prace strojom JCB, pestovanie a predaj zeleniny. Percentom zamestnavania znevyhodnenych osob. Obecne sluzby Raslavice, s.r.o. Stavebna cinnost, vykopove prace, predaj zeleniny. stavebne prace, predaj zeleniny, zemiaky, korenova zelenina, stavebne prace           Register partnerov VS</v>
      </c>
      <c r="AQ12" s="37"/>
    </row>
    <row r="13" ht="15.75" customHeight="1">
      <c r="A13" s="43"/>
      <c r="B13" s="59">
        <v>11.0</v>
      </c>
      <c r="C13" s="40" t="s">
        <v>180</v>
      </c>
      <c r="D13" s="41" t="s">
        <v>181</v>
      </c>
      <c r="E13" s="38" t="str">
        <f t="shared" si="1"/>
        <v>Banskobystrický kraj, &amp;#32celé Slovensko</v>
      </c>
      <c r="F13" s="42" t="s">
        <v>182</v>
      </c>
      <c r="G13" s="38" t="str">
        <f t="shared" si="2"/>
        <v>nábytok a bytové doplnky, dom a záhrada, auto-moto, iné (tovary a služby), kovovýroba, &amp;#32všetky kategórie</v>
      </c>
      <c r="H13" s="42" t="s">
        <v>170</v>
      </c>
      <c r="I13" s="43" t="str">
        <f t="shared" si="3"/>
        <v>21 a viac, &amp;#32všetky možnosti</v>
      </c>
      <c r="J13" s="44" t="str">
        <f t="shared" si="7"/>
        <v>,Register partnerov VS,Náhradné plnenie</v>
      </c>
      <c r="K13" s="45">
        <f t="shared" si="5"/>
        <v>28581.32495</v>
      </c>
      <c r="L13" s="43"/>
      <c r="M13" s="43" t="str">
        <f>IFERROR(__xludf.DUMMYFUNCTION("SPLIT(O13,"","")"),"Sklárska 1958")</f>
        <v>Sklárska 1958</v>
      </c>
      <c r="N13" s="43" t="str">
        <f>IFERROR(__xludf.DUMMYFUNCTION("""COMPUTED_VALUE""")," 962 05 Hriňová")</f>
        <v> 962 05 Hriňová</v>
      </c>
      <c r="O13" s="42" t="s">
        <v>183</v>
      </c>
      <c r="P13" s="43">
        <v>48.596525</v>
      </c>
      <c r="Q13" s="43">
        <v>19.540742</v>
      </c>
      <c r="R13" s="46" t="s">
        <v>184</v>
      </c>
      <c r="S13" s="47" t="s">
        <v>185</v>
      </c>
      <c r="T13" s="68" t="s">
        <v>186</v>
      </c>
      <c r="U13" s="61" t="s">
        <v>187</v>
      </c>
      <c r="V13" s="50" t="s">
        <v>188</v>
      </c>
      <c r="W13" s="55" t="s">
        <v>189</v>
      </c>
      <c r="X13" s="54" t="s">
        <v>190</v>
      </c>
      <c r="Y13" s="46" t="s">
        <v>191</v>
      </c>
      <c r="Z13" s="53" t="s">
        <v>192</v>
      </c>
      <c r="AA13" s="52" t="s">
        <v>64</v>
      </c>
      <c r="AB13" s="55"/>
      <c r="AC13" s="56"/>
      <c r="AD13" s="56"/>
      <c r="AE13" s="55"/>
      <c r="AF13" s="55"/>
      <c r="AG13" s="56"/>
      <c r="AH13" s="56"/>
      <c r="AI13" s="55"/>
      <c r="AJ13" s="55"/>
      <c r="AK13" s="56"/>
      <c r="AL13" s="56"/>
      <c r="AM13" s="47"/>
      <c r="AN13" s="62" t="s">
        <v>39</v>
      </c>
      <c r="AO13" s="57" t="s">
        <v>40</v>
      </c>
      <c r="AP13" s="58" t="str">
        <f t="shared" si="6"/>
        <v>KNK NAKO, vyrobne druzstvo nabytok a bytove doplnky, dom a zahrada, auto-moto, ine (tovary a sluzby), kovovyroba, &amp;#32vsetky kategorie  962 05 Hrinova Sme tradicny slovensky vyrobca nabytkovych kovani a komponentov, ako aj inych vyrobkov z ocele, nerezovej ocele, hlinika, odliatkov zo zinkozliatiny alebo plastov pre nabytkarsky i automobilovy priemysel a ine odvetvia. Nasa firma je spolocensky prospesna v tom, ze zamestnavame znevyhodnene a zranitelne osoby, aby sa mohli pracovne realizovat, zaclenit sa do pracovneho prostredia.  KNK NAKO, vyrobne druzstvo, registrovany socialny podnik Nabytkove kovania, dielce pre automobilovy priemysel, kovovyroba. nabytkove kovania, dielce pre automobilovy priemysel, kovovyroba, ocelove konstrukcie na skolsky nabytok, konstrukcie na postele, stolicky, prezentacne stoly, voziky pre obchodne domy, nakupne voziky, komponenty na kovove a satnove skrinky, stlpiky zabradli, vetracie kryty strojov           Register partnerov VS</v>
      </c>
      <c r="AQ13" s="37"/>
    </row>
    <row r="14" ht="15.75" customHeight="1">
      <c r="A14" s="43"/>
      <c r="B14" s="59">
        <v>12.0</v>
      </c>
      <c r="C14" s="40" t="s">
        <v>193</v>
      </c>
      <c r="D14" s="41" t="s">
        <v>80</v>
      </c>
      <c r="E14" s="38" t="str">
        <f t="shared" si="1"/>
        <v>Trnavský kraj, &amp;#32celé Slovensko</v>
      </c>
      <c r="F14" s="42" t="s">
        <v>194</v>
      </c>
      <c r="G14" s="38" t="str">
        <f t="shared" si="2"/>
        <v>elektro, počítačová a kancelárska technika, &amp;#32všetky kategórie</v>
      </c>
      <c r="H14" s="42" t="s">
        <v>82</v>
      </c>
      <c r="I14" s="43" t="str">
        <f t="shared" si="3"/>
        <v>11 - 15, &amp;#32všetky možnosti</v>
      </c>
      <c r="J14" s="44" t="str">
        <f t="shared" si="7"/>
        <v>,,Náhradné plnenie</v>
      </c>
      <c r="K14" s="45">
        <f t="shared" si="5"/>
        <v>24087.33149</v>
      </c>
      <c r="L14" s="43"/>
      <c r="M14" s="43" t="str">
        <f>IFERROR(__xludf.DUMMYFUNCTION("SPLIT(O14,"","")"),"Strojárenská 1C")</f>
        <v>Strojárenská 1C</v>
      </c>
      <c r="N14" s="43" t="str">
        <f>IFERROR(__xludf.DUMMYFUNCTION("""COMPUTED_VALUE""")," 917 02 Trnava")</f>
        <v> 917 02 Trnava</v>
      </c>
      <c r="O14" s="42" t="s">
        <v>195</v>
      </c>
      <c r="P14" s="43">
        <v>48.3548432</v>
      </c>
      <c r="Q14" s="43">
        <v>17.5719975</v>
      </c>
      <c r="R14" s="46" t="s">
        <v>196</v>
      </c>
      <c r="S14" s="47" t="s">
        <v>197</v>
      </c>
      <c r="T14" s="63" t="s">
        <v>198</v>
      </c>
      <c r="U14" s="61" t="s">
        <v>199</v>
      </c>
      <c r="V14" s="50" t="s">
        <v>200</v>
      </c>
      <c r="W14" s="55" t="s">
        <v>201</v>
      </c>
      <c r="X14" s="54" t="s">
        <v>202</v>
      </c>
      <c r="Y14" s="46" t="s">
        <v>203</v>
      </c>
      <c r="Z14" s="53" t="s">
        <v>204</v>
      </c>
      <c r="AA14" s="52" t="s">
        <v>64</v>
      </c>
      <c r="AB14" s="55"/>
      <c r="AC14" s="56"/>
      <c r="AD14" s="56"/>
      <c r="AE14" s="55"/>
      <c r="AF14" s="55"/>
      <c r="AG14" s="56"/>
      <c r="AH14" s="56"/>
      <c r="AI14" s="55"/>
      <c r="AJ14" s="55"/>
      <c r="AK14" s="56"/>
      <c r="AL14" s="56"/>
      <c r="AM14" s="34"/>
      <c r="AN14" s="55"/>
      <c r="AO14" s="57" t="s">
        <v>40</v>
      </c>
      <c r="AP14" s="58" t="str">
        <f t="shared" si="6"/>
        <v>AfB Slovakia s. r. o. elektro, pocitacova a kancelarska technika, &amp;#32vsetky kategorie  917 02 Trnava IT-sluzby a IT–remarketing; AfB je najvacsim neziskovym IT-podnikom v Europe, ktory posobi v Nemecku, Rakusku, Svajciarsku, Francuzsku a na Slovensku. Od roku 2004 sa AfB specializuje na preberanie vyradeneho hardveru od spolocnosti a verejnych institucii. Po zadokumentovanom vymazani dat a zrepasovani ho opatovne uvadza na trh.
Sklbenie dvoch najvyznamnejsich rozmerov nasej cinnosti, teda ekologickeho prinosu a podpory zamestnanosti ludi so zdravotnym znevyhodnenim z nas robi jedinecny podnik v oblasti IT na slovenskom trhu. Nasim partnerom ponukame mnozstvo rieseni starostlivosti o ich pouzity hardver, od zberu, cez certifikovane mazanie dat, az po jeho odpredaj zamestnancom i podporu neziskovych spolocnosti a organizacii, ci charitativnych projektov podla ich vyberu. Postarame sa o cely Vas hardver, odpadnu Vam starosti s jeho likvidaciou, odpredajom alebo mazanim dat. 75% zamestnancov tvoria ludia so zdravotnym znevyhodnenim, 100% zisku je reinvestovaneho do spolocnosti. AfB Slovakia s.r.o. Renovacia a repasovanie pouziteho IT hardveru. Pocitace, vypoctova technika, repasacia pocitacov           </v>
      </c>
      <c r="AQ14" s="37"/>
    </row>
    <row r="15" ht="15.75" customHeight="1">
      <c r="A15" s="43"/>
      <c r="B15" s="59">
        <v>13.0</v>
      </c>
      <c r="C15" s="40" t="s">
        <v>205</v>
      </c>
      <c r="D15" s="41" t="s">
        <v>94</v>
      </c>
      <c r="E15" s="38" t="str">
        <f t="shared" si="1"/>
        <v>Bratislavský kraj, &amp;#32celé Slovensko</v>
      </c>
      <c r="F15" s="42" t="s">
        <v>206</v>
      </c>
      <c r="G15" s="38" t="str">
        <f t="shared" si="2"/>
        <v>čistiace a upratovacie služby, ubytovacie a stravovacie služby, cestovný ruch, vzdelávanie, &amp;#32všetky kategórie</v>
      </c>
      <c r="H15" s="42" t="s">
        <v>170</v>
      </c>
      <c r="I15" s="43" t="str">
        <f t="shared" si="3"/>
        <v>21 a viac, &amp;#32všetky možnosti</v>
      </c>
      <c r="J15" s="44" t="str">
        <f t="shared" si="7"/>
        <v>,,Náhradné plnenie</v>
      </c>
      <c r="K15" s="45">
        <f t="shared" si="5"/>
        <v>43592.7149</v>
      </c>
      <c r="L15" s="43"/>
      <c r="M15" s="43" t="str">
        <f>IFERROR(__xludf.DUMMYFUNCTION("SPLIT(O15,"","")"),"Alstrova 6073/153")</f>
        <v>Alstrova 6073/153</v>
      </c>
      <c r="N15" s="43" t="str">
        <f>IFERROR(__xludf.DUMMYFUNCTION("""COMPUTED_VALUE""")," 831 06 Bratislava - Rača ")</f>
        <v> 831 06 Bratislava - Rača </v>
      </c>
      <c r="O15" s="42" t="s">
        <v>207</v>
      </c>
      <c r="P15" s="43">
        <v>48.2123897</v>
      </c>
      <c r="Q15" s="43">
        <v>17.1482432</v>
      </c>
      <c r="R15" s="46" t="s">
        <v>208</v>
      </c>
      <c r="S15" s="47" t="s">
        <v>209</v>
      </c>
      <c r="T15" s="63" t="s">
        <v>210</v>
      </c>
      <c r="U15" s="61" t="s">
        <v>211</v>
      </c>
      <c r="V15" s="50" t="s">
        <v>212</v>
      </c>
      <c r="W15" s="55" t="s">
        <v>213</v>
      </c>
      <c r="X15" s="54" t="s">
        <v>214</v>
      </c>
      <c r="Y15" s="46" t="s">
        <v>215</v>
      </c>
      <c r="Z15" s="53" t="s">
        <v>216</v>
      </c>
      <c r="AA15" s="52" t="s">
        <v>64</v>
      </c>
      <c r="AB15" s="55"/>
      <c r="AC15" s="56"/>
      <c r="AD15" s="56"/>
      <c r="AE15" s="55"/>
      <c r="AF15" s="55"/>
      <c r="AG15" s="56"/>
      <c r="AH15" s="56"/>
      <c r="AI15" s="55"/>
      <c r="AJ15" s="55"/>
      <c r="AK15" s="56"/>
      <c r="AL15" s="56"/>
      <c r="AM15" s="34"/>
      <c r="AN15" s="55"/>
      <c r="AO15" s="57" t="s">
        <v>40</v>
      </c>
      <c r="AP15" s="58" t="str">
        <f t="shared" si="6"/>
        <v>Zdruzenie na pomoc ludom s mentalnym postihnutim v Slovenskej republike cistiace a upratovacie sluzby, ubytovacie a stravovacie sluzby, cestovny ruch, vzdelavanie, &amp;#32vsetky kategorie  831 06 Bratislava - Raca  V ramci podniku prevadzkujeme restauraciu, ubytovacie zariadenie a pracovnu. Zamestnavame ludi s mentalnym postihnutim a zaucame/pripravujeme ludi s mentalnym postihnutim na zamestnanie na otvorenom trhu prace. BIVIO Tepla kuchyna, studena kuchyna, catering, ubytovanie, seminarne priestory, pracovna. restauracia, hotel, pracovna, prenajom priestorov, socialne poradenstvo           </v>
      </c>
      <c r="AQ15" s="37"/>
    </row>
    <row r="16" ht="15.75" customHeight="1">
      <c r="A16" s="43"/>
      <c r="B16" s="59">
        <v>14.0</v>
      </c>
      <c r="C16" s="40" t="s">
        <v>217</v>
      </c>
      <c r="D16" s="41" t="s">
        <v>218</v>
      </c>
      <c r="E16" s="38" t="str">
        <f t="shared" si="1"/>
        <v>Košický kraj, &amp;#32celé Slovensko</v>
      </c>
      <c r="F16" s="42" t="s">
        <v>219</v>
      </c>
      <c r="G16" s="38" t="str">
        <f t="shared" si="2"/>
        <v>ochrana a bezpečnosť, vzdelávanie, potraviny a nápoje, obaly, reklama, iné (tovary a služby), &amp;#32všetky kategórie</v>
      </c>
      <c r="H16" s="42" t="s">
        <v>53</v>
      </c>
      <c r="I16" s="43" t="str">
        <f t="shared" si="3"/>
        <v>1 - 5, &amp;#32všetky možnosti</v>
      </c>
      <c r="J16" s="44" t="str">
        <f t="shared" si="7"/>
        <v>,,</v>
      </c>
      <c r="K16" s="45">
        <f t="shared" si="5"/>
        <v>11878.76197</v>
      </c>
      <c r="L16" s="43"/>
      <c r="M16" s="43" t="str">
        <f>IFERROR(__xludf.DUMMYFUNCTION("SPLIT(O16,"","")"),"Pod Horou 476/51")</f>
        <v>Pod Horou 476/51</v>
      </c>
      <c r="N16" s="43" t="str">
        <f>IFERROR(__xludf.DUMMYFUNCTION("""COMPUTED_VALUE""")," 040 16  Košice-Myslava")</f>
        <v> 040 16  Košice-Myslava</v>
      </c>
      <c r="O16" s="42" t="s">
        <v>220</v>
      </c>
      <c r="P16" s="43">
        <v>48.7091606</v>
      </c>
      <c r="Q16" s="43">
        <v>21.2015033</v>
      </c>
      <c r="R16" s="46" t="s">
        <v>221</v>
      </c>
      <c r="S16" s="69" t="s">
        <v>222</v>
      </c>
      <c r="T16" s="70" t="s">
        <v>86</v>
      </c>
      <c r="U16" s="61" t="s">
        <v>223</v>
      </c>
      <c r="V16" s="50" t="s">
        <v>224</v>
      </c>
      <c r="W16" s="55" t="s">
        <v>225</v>
      </c>
      <c r="X16" s="71" t="s">
        <v>226</v>
      </c>
      <c r="Y16" s="72" t="s">
        <v>221</v>
      </c>
      <c r="Z16" s="53" t="s">
        <v>227</v>
      </c>
      <c r="AA16" s="52" t="s">
        <v>64</v>
      </c>
      <c r="AB16" s="55"/>
      <c r="AC16" s="56"/>
      <c r="AD16" s="56"/>
      <c r="AE16" s="55"/>
      <c r="AF16" s="55"/>
      <c r="AG16" s="56"/>
      <c r="AH16" s="56"/>
      <c r="AI16" s="55"/>
      <c r="AJ16" s="55"/>
      <c r="AK16" s="56"/>
      <c r="AL16" s="56"/>
      <c r="AM16" s="34"/>
      <c r="AN16" s="55"/>
      <c r="AO16" s="64"/>
      <c r="AP16" s="58" t="str">
        <f t="shared" si="6"/>
        <v>Centrum Pointe, n.o. ochrana a bezpecnost, vzdelavanie, potraviny a napoje, obaly, reklama, ine (tovary a sluzby), &amp;#32vsetky kategorie  040 16  Kosice-Myslava Zakladnou sluzbou je poskytovanie marketingovych a IT aktivit, ktore su zamerane aj na priamy predaj tovarov a sluzieb v zavislosti od poziadaviek partnera, v mene ktoreho je sluzba vykonavana. Nasim partnerom tak ponukame vynimocnu prilezitost zvysit svoj predaj a zakaznicku klientelu. Z pohladu zakaznika sa jedna o jedinecne produkty, ktore sa oproti beznej ponuke lisia kvalitativne, cenovo, zlozenim alebo kombinaciou jednotlivych faktorov.
V sucasnosti spolupracujeme s mobilnym operatorom, zdravotnou poistovnou, vyrobcom zariadeni pre ochranu seniorov v domacnostiach, ale sme taktiez vyhradnym dodavatelom zdravych snackov a pochutin. Zaroven tvorime aj vlastne portfolio zdravej vyzivy, ktoru sami vyrabame. V IT sektore sa snazime vybranymi sposobmi podporovat povedomie nasich partnerov vytvaranim reklamy, online nakupov a prezentacii. 
 Prioritou je integracia znevyhodnenych, zranitelnych a ZTP osob do pracovneho procesu. Minimalny pomer takychto osob bude 50% vsetkych zamestnancov. Okrem pravidelneho rezimu suvisiaceho s pracovnym pomerom a pravidelneho prijmu je hlavnym pozitivom postupne vzdelavanie, zvysovanie kvalifikacie a ziskavanie informacii smerujucich k moznosti zalozenia vlastneho podnikania.  Centrum Pointe, n.o., r. s. p. Zakladnou sluzbou je poskytovanie marketingovych a IT aktivit, ktore su zamerane aj na priamy predaj tovarov a sluzieb v zavislosti od poziadaviek partnera, v mene ktoreho je sluzba vykonavana. Nasim partnerom tak ponukame vynimocnu prilezitost zvysit svoj predaj a zakaznicku klientelu. Z pohladu zakaznika sa jedna o jedinecne produkty, ktore sa oproti beznej ponuke lisia kvalitativne, cenovo, zlozenim alebo kombinaciou jednotlivych faktorov.
V sucasnosti spolupracujeme s mobilnym operatorom, zdravotnou poistovnou, vyrobcom zariadeni pre ochranu seniorov v domacnostiach, ale sme taktiez vyhradnym dodavatelom zdravych snackov a pochutin. Zaroven tvorime aj vlastne portfolio zdravej vyzivy, ktoru sami vyrabame. V IT sektore sa snazime vybranymi sposobmi podporovat povedomie nasich partnerov vytvaranim reklamy, online nakupov a prezentacii. 
 IT, marketing, priamy predaj, zdravy snack, pochutiny, zdrava vyziva           </v>
      </c>
      <c r="AQ16" s="37"/>
    </row>
    <row r="17" ht="15.75" customHeight="1">
      <c r="A17" s="43"/>
      <c r="B17" s="59">
        <v>15.0</v>
      </c>
      <c r="C17" s="40" t="s">
        <v>228</v>
      </c>
      <c r="D17" s="41" t="s">
        <v>229</v>
      </c>
      <c r="E17" s="38" t="str">
        <f t="shared" si="1"/>
        <v>Nitriansky kraj, &amp;#32celé Slovensko</v>
      </c>
      <c r="F17" s="41" t="s">
        <v>230</v>
      </c>
      <c r="G17" s="38" t="str">
        <f t="shared" si="2"/>
        <v>účtovníctvo a poradenstvo, bižutéria a darčekové predmety, &amp;#32všetky kategórie</v>
      </c>
      <c r="H17" s="42" t="s">
        <v>96</v>
      </c>
      <c r="I17" s="43" t="str">
        <f t="shared" si="3"/>
        <v>6 - 10, &amp;#32všetky možnosti</v>
      </c>
      <c r="J17" s="44" t="str">
        <f t="shared" si="7"/>
        <v>,Register partnerov VS,</v>
      </c>
      <c r="K17" s="45">
        <f t="shared" si="5"/>
        <v>1791.206004</v>
      </c>
      <c r="L17" s="43"/>
      <c r="M17" s="43" t="str">
        <f>IFERROR(__xludf.DUMMYFUNCTION("SPLIT(O17,"","")"),"Poštová 28")</f>
        <v>Poštová 28</v>
      </c>
      <c r="N17" s="43" t="str">
        <f>IFERROR(__xludf.DUMMYFUNCTION("""COMPUTED_VALUE""")," 937 01 Želiezovce")</f>
        <v> 937 01 Želiezovce</v>
      </c>
      <c r="O17" s="42" t="s">
        <v>231</v>
      </c>
      <c r="P17" s="43">
        <v>48.0511606</v>
      </c>
      <c r="Q17" s="43">
        <v>18.6649804</v>
      </c>
      <c r="R17" s="46" t="s">
        <v>232</v>
      </c>
      <c r="S17" s="69" t="s">
        <v>233</v>
      </c>
      <c r="T17" s="70" t="s">
        <v>86</v>
      </c>
      <c r="U17" s="61" t="s">
        <v>234</v>
      </c>
      <c r="V17" s="50" t="s">
        <v>235</v>
      </c>
      <c r="W17" s="55" t="s">
        <v>236</v>
      </c>
      <c r="X17" s="71" t="s">
        <v>237</v>
      </c>
      <c r="Y17" s="72" t="s">
        <v>238</v>
      </c>
      <c r="Z17" s="53" t="s">
        <v>239</v>
      </c>
      <c r="AA17" s="67" t="s">
        <v>129</v>
      </c>
      <c r="AB17" s="55" t="s">
        <v>240</v>
      </c>
      <c r="AC17" s="56" t="s">
        <v>241</v>
      </c>
      <c r="AD17" s="56" t="s">
        <v>242</v>
      </c>
      <c r="AE17" s="55" t="s">
        <v>64</v>
      </c>
      <c r="AF17" s="55"/>
      <c r="AG17" s="56"/>
      <c r="AH17" s="56"/>
      <c r="AI17" s="55"/>
      <c r="AJ17" s="55"/>
      <c r="AK17" s="56"/>
      <c r="AL17" s="56"/>
      <c r="AM17" s="47"/>
      <c r="AN17" s="62" t="s">
        <v>39</v>
      </c>
      <c r="AO17" s="57"/>
      <c r="AP17" s="58" t="str">
        <f t="shared" si="6"/>
        <v>ADMIX s.r.o. r.s.p. uctovnictvo a poradenstvo, bizuteria a darcekove predmety, &amp;#32vsetky kategorie  937 01 Zeliezovce Vyroba darcekovych a ozdobnych predmetov z koralok; poradenske, uctovnicke a administrativne sluzby; pomocne prace v domacnosti a zahrade. Ponukame poradenstvo zacinajucim podnikatelom, casto aj z radov nezamestnanych, pomahame obcanom, obcianskym zdruzeniam, chranenym dielnam poskytovanim administrativnych a uctovnickych sluzieb, osobam z etnickych mensin, aby sa mohli zaradit do pracovneho procesu a uplatnili sa aj ako zivnostnici.
Zaroven sa zaoberame rucnou vyrobou bizuterie a darcekovych predmetov z koralok, kde zamestnavame ludi tazko uplatnitelnych na trhu prace, t.j. osoby nad 50 rokov, absolventov, ZTP pracovnikov a dlhodobo nezamestnanych.
Prijimame objednavky aj na pomocne prace v domacnosti a v zahrade u odkazanych obyvatelov na vypomoc. Rucna vyroba suvenirov a bizuterie V tejto prevadzke zamestnavame znevyhodnene osoby, ktore rucne vyrabaju rozne darcekove a ozdobne predmety z koralok, napr.vianocne ozdoby - anjelikov, certov, mikulasov, ale aj rozne zvieratka, privesky, retiazky, zapichovacky napr.do kytic a magnetky. ozdoba, darcek, figurka, privesok, retiazka, magnetka, handmade, suveniry Uctovna kancelaria Ponukame vypracovanie danovych priznani, uctovne sluzby, administrativne sluzby, poradenstvo, pomoc pri vyplnani tlaciv, zastupovanie na uradoch. danove priznanie, uctovnictvo a poradenstvo, podnikanie        Register partnerov VS</v>
      </c>
      <c r="AQ17" s="37"/>
    </row>
    <row r="18" ht="15.75" customHeight="1">
      <c r="A18" s="43"/>
      <c r="B18" s="59">
        <v>16.0</v>
      </c>
      <c r="C18" s="40" t="s">
        <v>243</v>
      </c>
      <c r="D18" s="41" t="s">
        <v>66</v>
      </c>
      <c r="E18" s="38" t="str">
        <f t="shared" si="1"/>
        <v>Žilinský kraj, &amp;#32celé Slovensko</v>
      </c>
      <c r="F18" s="42" t="s">
        <v>244</v>
      </c>
      <c r="G18" s="38" t="str">
        <f t="shared" si="2"/>
        <v>potraviny a nápoje, &amp;#32všetky kategórie</v>
      </c>
      <c r="H18" s="42" t="s">
        <v>53</v>
      </c>
      <c r="I18" s="43" t="str">
        <f t="shared" si="3"/>
        <v>1 - 5, &amp;#32všetky možnosti</v>
      </c>
      <c r="J18" s="44" t="str">
        <f t="shared" si="7"/>
        <v>,,</v>
      </c>
      <c r="K18" s="45">
        <f t="shared" si="5"/>
        <v>12586.1085</v>
      </c>
      <c r="L18" s="43"/>
      <c r="M18" s="43" t="str">
        <f>IFERROR(__xludf.DUMMYFUNCTION("SPLIT(O18,"","")"),"Diaková 131")</f>
        <v>Diaková 131</v>
      </c>
      <c r="N18" s="43" t="str">
        <f>IFERROR(__xludf.DUMMYFUNCTION("""COMPUTED_VALUE""")," 038 02 Diaková")</f>
        <v> 038 02 Diaková</v>
      </c>
      <c r="O18" s="42" t="s">
        <v>245</v>
      </c>
      <c r="P18" s="43">
        <v>49.0509751</v>
      </c>
      <c r="Q18" s="43">
        <v>18.9640676</v>
      </c>
      <c r="R18" s="46" t="s">
        <v>246</v>
      </c>
      <c r="S18" s="47" t="s">
        <v>247</v>
      </c>
      <c r="T18" s="63" t="s">
        <v>86</v>
      </c>
      <c r="U18" s="61" t="s">
        <v>248</v>
      </c>
      <c r="V18" s="50" t="s">
        <v>249</v>
      </c>
      <c r="W18" s="55" t="s">
        <v>250</v>
      </c>
      <c r="X18" s="54" t="s">
        <v>251</v>
      </c>
      <c r="Y18" s="46" t="s">
        <v>252</v>
      </c>
      <c r="Z18" s="53" t="s">
        <v>253</v>
      </c>
      <c r="AA18" s="67" t="s">
        <v>129</v>
      </c>
      <c r="AB18" s="55" t="s">
        <v>254</v>
      </c>
      <c r="AC18" s="56" t="s">
        <v>255</v>
      </c>
      <c r="AD18" s="56" t="s">
        <v>256</v>
      </c>
      <c r="AE18" s="55" t="s">
        <v>64</v>
      </c>
      <c r="AF18" s="55"/>
      <c r="AG18" s="56"/>
      <c r="AH18" s="56"/>
      <c r="AI18" s="55"/>
      <c r="AJ18" s="55"/>
      <c r="AK18" s="56"/>
      <c r="AL18" s="56"/>
      <c r="AM18" s="34"/>
      <c r="AN18" s="55"/>
      <c r="AO18" s="64"/>
      <c r="AP18" s="58" t="str">
        <f t="shared" si="6"/>
        <v>Liana Blahova potraviny a napoje, &amp;#32vsetky kategorie  038 02 Diakova Predajna potravin a rozlicneho tovaru a Pohostinstvo  Nase potravinky su zaujimave a pre nasich zakaznikov atraktivne hlavne tym, ze ponukame kazdy den cerstve pecivo, ovocie a zeleninku, 3-krat do tyzdna ponukame cerstve zakusky i sezonne darcekove predmety. Pohostinstvo sme prisposobili hlavne pre mlade rodinky s detickami, ktorym sme vybudovali ihrisko s hrackami a preliezkami. Okrem mamiciek na MD nase sluzby ocenuju dochodcovia, ktori uz nechodia do mesta. Potraviny Blahova Liana Ponukame denne cerstve pecivo, ovocie a zeleninu, masove a mliecne vyrobky, priemyselny tovar, alko a nealko napoje, cerstve zakusky a krasne sezonne dekoracne predmety potraviny, rozlicny tovar, darceky, zakusky, priemyselny tovar, dekoracie Poctivy Drazkovsky vycap Pivo, vino, alko, nealko napoje pohostinstvo, potraviny        </v>
      </c>
      <c r="AQ18" s="37"/>
    </row>
    <row r="19" ht="15.75" customHeight="1">
      <c r="A19" s="43"/>
      <c r="B19" s="59">
        <v>17.0</v>
      </c>
      <c r="C19" s="40" t="s">
        <v>257</v>
      </c>
      <c r="D19" s="41" t="s">
        <v>181</v>
      </c>
      <c r="E19" s="38" t="str">
        <f t="shared" si="1"/>
        <v>Banskobystrický kraj, &amp;#32celé Slovensko</v>
      </c>
      <c r="F19" s="42" t="s">
        <v>258</v>
      </c>
      <c r="G19" s="38" t="str">
        <f t="shared" si="2"/>
        <v>odevy a obuv, &amp;#32všetky kategórie</v>
      </c>
      <c r="H19" s="42" t="s">
        <v>96</v>
      </c>
      <c r="I19" s="43" t="str">
        <f t="shared" si="3"/>
        <v>6 - 10, &amp;#32všetky možnosti</v>
      </c>
      <c r="J19" s="44" t="str">
        <f t="shared" si="7"/>
        <v>,,Náhradné plnenie</v>
      </c>
      <c r="K19" s="45">
        <f t="shared" si="5"/>
        <v>36603.8621</v>
      </c>
      <c r="L19" s="43"/>
      <c r="M19" s="43" t="str">
        <f>IFERROR(__xludf.DUMMYFUNCTION("SPLIT(O19,"","")"),"A. Hlinku 756/20")</f>
        <v>A. Hlinku 756/20</v>
      </c>
      <c r="N19" s="43" t="str">
        <f>IFERROR(__xludf.DUMMYFUNCTION("""COMPUTED_VALUE""")," 965 01 Žiar nad Hronom")</f>
        <v> 965 01 Žiar nad Hronom</v>
      </c>
      <c r="O19" s="42" t="s">
        <v>259</v>
      </c>
      <c r="P19" s="43">
        <v>48.5906933</v>
      </c>
      <c r="Q19" s="43">
        <v>18.8618844</v>
      </c>
      <c r="R19" s="46" t="s">
        <v>260</v>
      </c>
      <c r="S19" s="47" t="s">
        <v>261</v>
      </c>
      <c r="T19" s="63" t="s">
        <v>262</v>
      </c>
      <c r="U19" s="61" t="s">
        <v>263</v>
      </c>
      <c r="V19" s="50" t="s">
        <v>264</v>
      </c>
      <c r="W19" s="55" t="s">
        <v>265</v>
      </c>
      <c r="X19" s="54" t="s">
        <v>266</v>
      </c>
      <c r="Y19" s="46" t="s">
        <v>267</v>
      </c>
      <c r="Z19" s="53" t="s">
        <v>268</v>
      </c>
      <c r="AA19" s="52" t="s">
        <v>64</v>
      </c>
      <c r="AB19" s="55"/>
      <c r="AC19" s="56"/>
      <c r="AD19" s="56"/>
      <c r="AE19" s="55"/>
      <c r="AF19" s="55"/>
      <c r="AG19" s="56"/>
      <c r="AH19" s="56"/>
      <c r="AI19" s="55"/>
      <c r="AJ19" s="55"/>
      <c r="AK19" s="56"/>
      <c r="AL19" s="56"/>
      <c r="AM19" s="34"/>
      <c r="AN19" s="55"/>
      <c r="AO19" s="57" t="s">
        <v>40</v>
      </c>
      <c r="AP19" s="58" t="str">
        <f t="shared" si="6"/>
        <v>VEGAODEVY s. r. o.  odevy a obuv, &amp;#32vsetky kategorie  965 01 Ziar nad Hronom Vyroba pracovnych odevov a predaj OOPP Zamestnavanim zdravotne znevyhodnenych osob. VEGAODEVY s. r. o. Vyroba a predaj pracovnych odevov a OOPP pracovne odevy, ochranne pracovne prostriedky, pracovna obuv, pracovne rukavice, prilba, okuliare, maska, rusko, respirator, drogeria           </v>
      </c>
      <c r="AQ19" s="37"/>
    </row>
    <row r="20" ht="15.75" customHeight="1">
      <c r="A20" s="43"/>
      <c r="B20" s="59">
        <v>18.0</v>
      </c>
      <c r="C20" s="40" t="s">
        <v>269</v>
      </c>
      <c r="D20" s="41" t="s">
        <v>66</v>
      </c>
      <c r="E20" s="38" t="str">
        <f t="shared" si="1"/>
        <v>Žilinský kraj, &amp;#32celé Slovensko</v>
      </c>
      <c r="F20" s="42" t="s">
        <v>169</v>
      </c>
      <c r="G20" s="38" t="str">
        <f t="shared" si="2"/>
        <v>poľnohospodárstvo a lesníctvo, stavebníctvo, iné (tovary a služby), &amp;#32všetky kategórie</v>
      </c>
      <c r="H20" s="42" t="s">
        <v>53</v>
      </c>
      <c r="I20" s="43" t="str">
        <f t="shared" si="3"/>
        <v>1 - 5, &amp;#32všetky možnosti</v>
      </c>
      <c r="J20" s="44" t="str">
        <f t="shared" si="7"/>
        <v>,,</v>
      </c>
      <c r="K20" s="45">
        <f t="shared" si="5"/>
        <v>10594.74339</v>
      </c>
      <c r="L20" s="43"/>
      <c r="M20" s="43" t="str">
        <f>IFERROR(__xludf.DUMMYFUNCTION("SPLIT(O20,"","")"),"Belá-Dulice 385")</f>
        <v>Belá-Dulice 385</v>
      </c>
      <c r="N20" s="43" t="str">
        <f>IFERROR(__xludf.DUMMYFUNCTION("""COMPUTED_VALUE""")," 038 11 Belá-Dulice")</f>
        <v> 038 11 Belá-Dulice</v>
      </c>
      <c r="O20" s="42" t="s">
        <v>270</v>
      </c>
      <c r="P20" s="43">
        <v>49.0030059</v>
      </c>
      <c r="Q20" s="43">
        <v>18.9791489</v>
      </c>
      <c r="R20" s="46" t="s">
        <v>271</v>
      </c>
      <c r="S20" s="47" t="s">
        <v>272</v>
      </c>
      <c r="T20" s="63" t="s">
        <v>86</v>
      </c>
      <c r="U20" s="61" t="s">
        <v>273</v>
      </c>
      <c r="V20" s="50" t="s">
        <v>274</v>
      </c>
      <c r="W20" s="55" t="s">
        <v>275</v>
      </c>
      <c r="X20" s="54" t="s">
        <v>276</v>
      </c>
      <c r="Y20" s="46" t="s">
        <v>277</v>
      </c>
      <c r="Z20" s="53" t="s">
        <v>278</v>
      </c>
      <c r="AA20" s="52" t="s">
        <v>64</v>
      </c>
      <c r="AB20" s="55"/>
      <c r="AC20" s="56"/>
      <c r="AD20" s="56"/>
      <c r="AE20" s="55"/>
      <c r="AF20" s="55"/>
      <c r="AG20" s="56"/>
      <c r="AH20" s="56"/>
      <c r="AI20" s="55"/>
      <c r="AJ20" s="55"/>
      <c r="AK20" s="56"/>
      <c r="AL20" s="56"/>
      <c r="AM20" s="34"/>
      <c r="AN20" s="55"/>
      <c r="AO20" s="64"/>
      <c r="AP20" s="58" t="str">
        <f t="shared" si="6"/>
        <v>Obcianske zdruzenie JASENSKA DOLINA polnohospodarstvo a lesnictvo, stavebnictvo, ine (tovary a sluzby), &amp;#32vsetky kategorie  038 11 Bela-Dulice Uskutocnovanie stavieb a ich zmien, prace v polnohospodarstve - udrzbu verejnych priestranstiev. Vytvorenim pracovnych miest na vykonavanie verejnoprospesnych cinnosti, ochranu a tvorbu zivotneho prostredia. OZ Jasenska dolina, r.s.p. Pomocne stavebne prace , udrzba verejnych priestranstiev. zemne prace, kosenie, ochrana zivotneho prostredia           </v>
      </c>
      <c r="AQ20" s="37"/>
    </row>
    <row r="21" ht="15.75" customHeight="1">
      <c r="A21" s="43"/>
      <c r="B21" s="59">
        <v>19.0</v>
      </c>
      <c r="C21" s="40" t="s">
        <v>279</v>
      </c>
      <c r="D21" s="41" t="s">
        <v>229</v>
      </c>
      <c r="E21" s="38" t="str">
        <f t="shared" si="1"/>
        <v>Nitriansky kraj, &amp;#32celé Slovensko</v>
      </c>
      <c r="F21" s="42" t="s">
        <v>280</v>
      </c>
      <c r="G21" s="38" t="str">
        <f t="shared" si="2"/>
        <v>ubytovacie a stravovacie služby, stavebníctvo, potraviny a nápoje, iné (tovary a služby), &amp;#32všetky kategórie</v>
      </c>
      <c r="H21" s="42" t="s">
        <v>170</v>
      </c>
      <c r="I21" s="43" t="str">
        <f t="shared" si="3"/>
        <v>21 a viac, &amp;#32všetky možnosti</v>
      </c>
      <c r="J21" s="44" t="str">
        <f t="shared" si="7"/>
        <v>,Register partnerov VS,</v>
      </c>
      <c r="K21" s="45">
        <f t="shared" si="5"/>
        <v>35408.97694</v>
      </c>
      <c r="L21" s="43"/>
      <c r="M21" s="43" t="str">
        <f>IFERROR(__xludf.DUMMYFUNCTION("SPLIT(O21,"","")"),"Červenej armády 55")</f>
        <v>Červenej armády 55</v>
      </c>
      <c r="N21" s="43" t="str">
        <f>IFERROR(__xludf.DUMMYFUNCTION("""COMPUTED_VALUE""")," 935 32 Kalná nad Hronom")</f>
        <v> 935 32 Kalná nad Hronom</v>
      </c>
      <c r="O21" s="42" t="s">
        <v>281</v>
      </c>
      <c r="P21" s="43">
        <v>48.1984591</v>
      </c>
      <c r="Q21" s="43">
        <v>18.519184</v>
      </c>
      <c r="R21" s="46" t="s">
        <v>282</v>
      </c>
      <c r="S21" s="47" t="s">
        <v>283</v>
      </c>
      <c r="T21" s="63" t="s">
        <v>284</v>
      </c>
      <c r="U21" s="61" t="s">
        <v>285</v>
      </c>
      <c r="V21" s="50" t="s">
        <v>286</v>
      </c>
      <c r="W21" s="55" t="s">
        <v>287</v>
      </c>
      <c r="X21" s="54" t="s">
        <v>288</v>
      </c>
      <c r="Y21" s="46" t="s">
        <v>289</v>
      </c>
      <c r="Z21" s="53" t="s">
        <v>290</v>
      </c>
      <c r="AA21" s="67" t="s">
        <v>129</v>
      </c>
      <c r="AB21" s="55" t="s">
        <v>291</v>
      </c>
      <c r="AC21" s="56" t="s">
        <v>292</v>
      </c>
      <c r="AD21" s="56" t="s">
        <v>293</v>
      </c>
      <c r="AE21" s="73" t="s">
        <v>129</v>
      </c>
      <c r="AF21" s="55" t="s">
        <v>294</v>
      </c>
      <c r="AG21" s="56" t="s">
        <v>295</v>
      </c>
      <c r="AH21" s="56" t="s">
        <v>296</v>
      </c>
      <c r="AI21" s="74" t="s">
        <v>129</v>
      </c>
      <c r="AJ21" s="55" t="s">
        <v>297</v>
      </c>
      <c r="AK21" s="56" t="s">
        <v>298</v>
      </c>
      <c r="AL21" s="56" t="s">
        <v>299</v>
      </c>
      <c r="AM21" s="47"/>
      <c r="AN21" s="62" t="s">
        <v>39</v>
      </c>
      <c r="AO21" s="64"/>
      <c r="AP21" s="58" t="str">
        <f t="shared" si="6"/>
        <v>Sluzby Kalna s.r.o., r.s.p. ubytovacie a stravovacie sluzby, stavebnictvo, potraviny a napoje, ine (tovary a sluzby), &amp;#32vsetky kategorie  935 32 Kalna nad Hronom RSP ponuka zabezpecenie stravovania, upratovacie sluzby, prevadzkovanie dohladoveho pracoviska kameroveho systemu, stavebne prace, pestovatelske palenie ovocia, podnikanie v oblasti nakladania s inym ako nebezpecnym odpadom. Zamestnavame viac ako 30 percent zranitelnych a znevyhodnenych obyvatelov z okolia. Resti-Ka Zabezpecenie stravy pre seniorov a obyvatelov. restauracia Palen-ka, pestovatelska palenica Pestovatelske palenie ovocia. zakladanie kvasu, palenie ovocia, palenica Prevadzka dohladoveho pracoviska kameroveho systemu Zabezpecenie ochrany objektov a priestoru v obci Kalna nad Hronom. bezpecnost Stavebne prace stavebne prace stavebne prace, dokoncovacie stavebne prace  Register partnerov VS</v>
      </c>
      <c r="AQ21" s="37"/>
    </row>
    <row r="22" ht="15.75" customHeight="1">
      <c r="A22" s="43"/>
      <c r="B22" s="59">
        <v>20.0</v>
      </c>
      <c r="C22" s="40" t="s">
        <v>300</v>
      </c>
      <c r="D22" s="41" t="s">
        <v>51</v>
      </c>
      <c r="E22" s="38" t="str">
        <f t="shared" si="1"/>
        <v>Prešovský kraj, &amp;#32celé Slovensko</v>
      </c>
      <c r="F22" s="42" t="s">
        <v>301</v>
      </c>
      <c r="G22" s="38" t="str">
        <f t="shared" si="2"/>
        <v>stavebníctvo, kovovýroba, &amp;#32všetky kategórie</v>
      </c>
      <c r="H22" s="42" t="s">
        <v>82</v>
      </c>
      <c r="I22" s="43" t="str">
        <f t="shared" si="3"/>
        <v>11 - 15, &amp;#32všetky možnosti</v>
      </c>
      <c r="J22" s="44" t="str">
        <f t="shared" si="7"/>
        <v>,Register partnerov VS,</v>
      </c>
      <c r="K22" s="45">
        <f t="shared" si="5"/>
        <v>20351.92952</v>
      </c>
      <c r="L22" s="43"/>
      <c r="M22" s="43" t="str">
        <f>IFERROR(__xludf.DUMMYFUNCTION("SPLIT(O22,"","")"),"Lesná 10")</f>
        <v>Lesná 10</v>
      </c>
      <c r="N22" s="43" t="str">
        <f>IFERROR(__xludf.DUMMYFUNCTION("""COMPUTED_VALUE""")," 086 33 Zborov")</f>
        <v> 086 33 Zborov</v>
      </c>
      <c r="O22" s="42" t="s">
        <v>302</v>
      </c>
      <c r="P22" s="43">
        <v>49.3670277</v>
      </c>
      <c r="Q22" s="43">
        <v>21.3067647</v>
      </c>
      <c r="R22" s="46" t="s">
        <v>303</v>
      </c>
      <c r="S22" s="69" t="s">
        <v>304</v>
      </c>
      <c r="T22" s="70" t="s">
        <v>86</v>
      </c>
      <c r="U22" s="61" t="s">
        <v>305</v>
      </c>
      <c r="V22" s="50" t="s">
        <v>306</v>
      </c>
      <c r="W22" s="55" t="s">
        <v>307</v>
      </c>
      <c r="X22" s="71" t="s">
        <v>308</v>
      </c>
      <c r="Y22" s="72" t="s">
        <v>309</v>
      </c>
      <c r="Z22" s="53" t="s">
        <v>310</v>
      </c>
      <c r="AA22" s="52" t="s">
        <v>64</v>
      </c>
      <c r="AB22" s="55"/>
      <c r="AC22" s="56"/>
      <c r="AD22" s="56"/>
      <c r="AE22" s="55"/>
      <c r="AF22" s="55"/>
      <c r="AG22" s="56"/>
      <c r="AH22" s="56"/>
      <c r="AI22" s="55"/>
      <c r="AJ22" s="55"/>
      <c r="AK22" s="56"/>
      <c r="AL22" s="56"/>
      <c r="AM22" s="47"/>
      <c r="AN22" s="62" t="s">
        <v>39</v>
      </c>
      <c r="AO22" s="64"/>
      <c r="AP22" s="58" t="str">
        <f t="shared" si="6"/>
        <v>ZBOR - STAV, s. r. o. stavebnictvo, kovovyroba, &amp;#32vsetky kategorie  086 33 Zborov Predmet podnikatelskej cinnosti: 
Pripravne prace k realizacii stavby,
uskutocnovanie stavieb a ich zmien,
dokoncovacie stavebne prace pri realizacii exterierov a interierov,
vyroba nekovovych mineralnych vyrobkov a vyrobkov z betonu, sadry a cementu,
vyroba a opracovanie jednoduchych vyrobkov z kovu,
vyroba jednoduchych vyrobkov z dreva, korku, slamy, prutia a ich uprava, oprava a udrzba,
nakladna cestna doprava vozidlami s celkovou hmotnostou do 3,5 t vratane pripojneho vozidla,
prenajom hnutelnych veci,
kupa tovaru na ucely jeho predaja konecnemu spotrebitelovi (maloobchod) alebo inym prevadzkovatelom zivnosti (velkoobchod),
sprostredkovatelska cinnost v oblasti obchodu, sluzieb a vyroby,
skladovanie a pomocne cinnosti v doprave,
vykon cinnosti stavbyveduceho,
vykon cinnosti stavebneho dozoru. Hlavnym cielom RSP ZBOR - STAV, s. r. o. nie je iba vytvaranie zisku, ale predovsetkym dosahovanie meratelneho pozitivneho socialneho vplyvu poskytovanim spolocensky prospesnej sluzby na podporu regionalneho rozvoja a zamestnanosti. RSP ZBOR - STAV, s. r. o. Stavebna cinnost stavebne prace, kovovyroba, drevovyroba           Register partnerov VS</v>
      </c>
      <c r="AQ22" s="37"/>
    </row>
    <row r="23" ht="15.75" customHeight="1">
      <c r="A23" s="43"/>
      <c r="B23" s="59">
        <v>21.0</v>
      </c>
      <c r="C23" s="40" t="s">
        <v>311</v>
      </c>
      <c r="D23" s="41" t="s">
        <v>80</v>
      </c>
      <c r="E23" s="38" t="str">
        <f t="shared" si="1"/>
        <v>Trnavský kraj, &amp;#32celé Slovensko</v>
      </c>
      <c r="F23" s="42" t="s">
        <v>312</v>
      </c>
      <c r="G23" s="38" t="str">
        <f t="shared" si="2"/>
        <v>dom a záhrada, poľnohospodárstvo a lesníctvo, vzdelávanie, iné (tovary a služby), &amp;#32všetky kategórie</v>
      </c>
      <c r="H23" s="42" t="s">
        <v>53</v>
      </c>
      <c r="I23" s="43" t="str">
        <f t="shared" si="3"/>
        <v>1 - 5, &amp;#32všetky možnosti</v>
      </c>
      <c r="J23" s="44" t="str">
        <f t="shared" si="7"/>
        <v>Servisné poukážky,,Náhradné plnenie</v>
      </c>
      <c r="K23" s="45">
        <f t="shared" si="5"/>
        <v>23752.58514</v>
      </c>
      <c r="L23" s="43"/>
      <c r="M23" s="43" t="str">
        <f>IFERROR(__xludf.DUMMYFUNCTION("SPLIT(O23,"","")"),"M. R. Štefánika 260/30")</f>
        <v>M. R. Štefánika 260/30</v>
      </c>
      <c r="N23" s="43" t="str">
        <f>IFERROR(__xludf.DUMMYFUNCTION("""COMPUTED_VALUE""")," 920 41 Leopoldov")</f>
        <v> 920 41 Leopoldov</v>
      </c>
      <c r="O23" s="42" t="s">
        <v>313</v>
      </c>
      <c r="P23" s="43">
        <v>48.4446435</v>
      </c>
      <c r="Q23" s="43">
        <v>17.7649804</v>
      </c>
      <c r="R23" s="46" t="s">
        <v>314</v>
      </c>
      <c r="S23" s="47" t="s">
        <v>315</v>
      </c>
      <c r="T23" s="63" t="s">
        <v>316</v>
      </c>
      <c r="U23" s="61" t="s">
        <v>317</v>
      </c>
      <c r="V23" s="50" t="s">
        <v>318</v>
      </c>
      <c r="W23" s="55" t="s">
        <v>319</v>
      </c>
      <c r="X23" s="71" t="s">
        <v>311</v>
      </c>
      <c r="Y23" s="46"/>
      <c r="Z23" s="53" t="s">
        <v>320</v>
      </c>
      <c r="AA23" s="52" t="s">
        <v>64</v>
      </c>
      <c r="AB23" s="55"/>
      <c r="AC23" s="56"/>
      <c r="AD23" s="56"/>
      <c r="AE23" s="55"/>
      <c r="AF23" s="55"/>
      <c r="AG23" s="56"/>
      <c r="AH23" s="56"/>
      <c r="AI23" s="55"/>
      <c r="AJ23" s="55"/>
      <c r="AK23" s="56"/>
      <c r="AL23" s="56"/>
      <c r="AM23" s="18" t="s">
        <v>321</v>
      </c>
      <c r="AN23" s="55"/>
      <c r="AO23" s="57" t="s">
        <v>40</v>
      </c>
      <c r="AP23" s="58" t="str">
        <f t="shared" si="6"/>
        <v>Ziva Zahrada, s. r. o. dom a zahrada, polnohospodarstvo a lesnictvo, vzdelavanie, ine (tovary a sluzby), &amp;#32vsetky kategorie  920 41 Leopoldov Svojim zakaznikom pomahame ozdravit ich zivotne prostredie a byt lepsie pripravenymi na klimaticke zmeny. 
1. Kompostujeme pre vysoky obsah prospesneho mikrobiomu s naslednou obnovou mikrobialne zdegradovanej pody.
2. Robime laboratorne analyzy mikrobialnej biomasy kompostu a pody. Vdaka nim vie zakaznik posudit, ako nalozit s kompostom neznamej kvality pre pouzitie pri konkretnej pode a rastline alebo potvrdit pritomnost parazitickych nematod.
3. Obcanom ponukame zahradne prace. Zahradny odpad kompostujeme a aplikujeme spat do zahrad, cim uzatvarame prirodny kolobeh zivin a zvysujeme mnozstvo uhlika viazaneho v pode.
4. Samospravam a obhospodarovatelom pody po celom Slovensku pomahame regenerovat zelen a biodiverzitu pody v zahradach, parkoch, na poliach, lukach a v lesoch. Pomahame realizovat naplnenie uhlikovych strategii. Odmenou je zaroven zdravsia zelen, vyssie vynosy, potraviny bohatsie na ziviny spojene s nizsou spotrebou vody, umeleho hnojenia a pesticidov.
5. Pomozeme postavit komunitnu zahradu situ na mieru od podpory pri jej koncipovani, cez stavanie az po udrziavanie aktivnej komunity.
6. Pomahame realizovat zelene strechy, zelene steny, vyvysene zahony a dalsie prace vyzadujuce si drevo- a kovovyrobu.
7. Pomozeme pri navrhovani a realizacii adaptacnych opatreni na klimaticke zmeny.
8. Robime prednasky a zazitkove stretnutia s cielom vzdelat zodpovednych pracovnikov, laicku verejnost aj deti v skolach o vyzname a sposobe regenerativneho hospodarenia s podou.
9. Existujucim zakaznikom ponukame kvalitny kompost vhodny na regeneraciu degradovanej pody alebo na ockovanie novych kompostovych zakladok. Ponukame tekute pripravky z kompostu urcene na okamzitu spotrebu. Regenerujeme mikrobiom degradovanej pody. Prispievame tym k zvyseniu produkcnej schopnosti pody, potravinovej sebestacnosti, zdraviu zelene a zivotneho prostredia. Zaroven dochadza k zlepseniu ekosystemovych sluzieb pody, akymi su viazanie uhlika a dusika v pode, k zadrziavaniu a fitrovaniu vody, schopnosti pody biodegradovat toxicke latky a ine. 
Robime vyskum a vyvoj nastrojov spojenych so setrnym obrabanim pody a aplikaciou prospesneho mikrobiomu na podu ci uz vo forme kompostu alebo tekutych pripravkov z kompostu. 
Vzdelavame o kompostovani zameranom na vysoky obsah prospesneho mikrobiomu, o ochrane pody a jej vztahu so zdravim zelene, zivotneho prostredia a cloveka. 
Integrujeme zdravotne znevyhodnenych a zranitelnych obcanov. Ziva Zahrada, s. r. o.  analyza pody, kompostovanie, obnova pody, regeneracia pody, zahradne prace, prednaska, zazitok          Servisne poukazky </v>
      </c>
      <c r="AQ23" s="37"/>
    </row>
    <row r="24" ht="15.75" customHeight="1">
      <c r="A24" s="43"/>
      <c r="B24" s="59">
        <v>22.0</v>
      </c>
      <c r="C24" s="40" t="s">
        <v>322</v>
      </c>
      <c r="D24" s="41" t="s">
        <v>66</v>
      </c>
      <c r="E24" s="38" t="str">
        <f t="shared" si="1"/>
        <v>Žilinský kraj, &amp;#32celé Slovensko</v>
      </c>
      <c r="F24" s="42" t="s">
        <v>323</v>
      </c>
      <c r="G24" s="38" t="str">
        <f t="shared" si="2"/>
        <v>ochrana a bezpečnosť , &amp;#32všetky kategórie</v>
      </c>
      <c r="H24" s="42" t="s">
        <v>170</v>
      </c>
      <c r="I24" s="43" t="str">
        <f t="shared" si="3"/>
        <v>21 a viac, &amp;#32všetky možnosti</v>
      </c>
      <c r="J24" s="44" t="str">
        <f t="shared" si="7"/>
        <v>,Register partnerov VS,</v>
      </c>
      <c r="K24" s="45">
        <f t="shared" si="5"/>
        <v>24039.11765</v>
      </c>
      <c r="L24" s="43"/>
      <c r="M24" s="43" t="str">
        <f>IFERROR(__xludf.DUMMYFUNCTION("SPLIT(O24,"","")"),"Oravské Veselé 440")</f>
        <v>Oravské Veselé 440</v>
      </c>
      <c r="N24" s="43" t="str">
        <f>IFERROR(__xludf.DUMMYFUNCTION("""COMPUTED_VALUE""")," 029 62 Oravské Veselé")</f>
        <v> 029 62 Oravské Veselé</v>
      </c>
      <c r="O24" s="42" t="s">
        <v>324</v>
      </c>
      <c r="P24" s="43">
        <v>49.4961873</v>
      </c>
      <c r="Q24" s="43">
        <v>19.3694416</v>
      </c>
      <c r="R24" s="46" t="s">
        <v>325</v>
      </c>
      <c r="S24" s="47" t="s">
        <v>326</v>
      </c>
      <c r="T24" s="63" t="s">
        <v>327</v>
      </c>
      <c r="U24" s="61" t="s">
        <v>328</v>
      </c>
      <c r="V24" s="50" t="s">
        <v>329</v>
      </c>
      <c r="W24" s="55" t="s">
        <v>330</v>
      </c>
      <c r="X24" s="54" t="s">
        <v>322</v>
      </c>
      <c r="Y24" s="46" t="s">
        <v>331</v>
      </c>
      <c r="Z24" s="53" t="s">
        <v>332</v>
      </c>
      <c r="AA24" s="52" t="s">
        <v>64</v>
      </c>
      <c r="AB24" s="55"/>
      <c r="AC24" s="56"/>
      <c r="AD24" s="56"/>
      <c r="AE24" s="55"/>
      <c r="AF24" s="55"/>
      <c r="AG24" s="56"/>
      <c r="AH24" s="56"/>
      <c r="AI24" s="55"/>
      <c r="AJ24" s="55"/>
      <c r="AK24" s="56"/>
      <c r="AL24" s="56"/>
      <c r="AM24" s="47"/>
      <c r="AN24" s="62" t="s">
        <v>39</v>
      </c>
      <c r="AO24" s="64"/>
      <c r="AP24" s="58" t="str">
        <f t="shared" si="6"/>
        <v>KASprof-SECURITY agency s.r.o, r.s.p ochrana a bezpecnost , &amp;#32vsetky kategorie  029 62 Oravske Vesele KASprof SECURITY agency s.r.o, r.s.p na trhu posobi v oblasti straznej sluzby a sukromnej bezpecnosti uz 25 rokov v zmysle § 3 pism. a), b), c), d), e), f), g), h)  i) zakona o sukromnej bezpecnosti na zaklade licencie cislo: PS 001159 vydanej Krajskym riaditelstvom Policajneho zboru v Ziline dna 13.8.2020. Zaroven sme prevadzkovatelom technickej sluzby podla § 7 zakona o sukromnej bezpecnosti, na zaklade licencie cislo: PT001618 vydanej Krajskym riaditelstvom Policajneho zboru v Ziline dna 12.08.2015. 
Snazime sa profilovat  z hladiska odbornosti ako aj kvality na produktivnu a rozvijajucu sa spolocnost, pricom nam zalezi na odbornom raste nasich zamestnancov a skvalitnovani nasich sluzieb. Medzi zakladne sluzby z portfolia spolocnosti patria: ochrana majetku a osob, prevadzka zabezpecovacich a poplachovych systemov.
 Vytvorenim pracovnych prilezitosti pre znevyhodnene a zranitelne osoby, zaroven naplname ciel pri vytvarani spolocensky prospesnej sluzby, a to podporou regionalneho rozvoja a zamestnanosti.
 KASprof-SECURITY agency s.r.o, r.s.p Poskytovanie bezpecnostnej sluzby formou pripojenia na pult centralizovanej ochrany a na videopult. bezpecnostna sluzba, kamerove systemy, zabezpecovacie systemy           Register partnerov VS</v>
      </c>
      <c r="AQ24" s="37"/>
    </row>
    <row r="25" ht="15.75" customHeight="1">
      <c r="A25" s="43"/>
      <c r="B25" s="59">
        <v>23.0</v>
      </c>
      <c r="C25" s="40" t="s">
        <v>333</v>
      </c>
      <c r="D25" s="41" t="s">
        <v>80</v>
      </c>
      <c r="E25" s="38" t="str">
        <f t="shared" si="1"/>
        <v>Trnavský kraj, &amp;#32celé Slovensko</v>
      </c>
      <c r="F25" s="42" t="s">
        <v>334</v>
      </c>
      <c r="G25" s="38" t="str">
        <f t="shared" si="2"/>
        <v>potraviny a nápoje, reklama, obaly, odevy a obuv, bižutéria a darčekové predmety, iné (tovary a služby), &amp;#32všetky kategórie</v>
      </c>
      <c r="H25" s="42" t="s">
        <v>170</v>
      </c>
      <c r="I25" s="43" t="str">
        <f t="shared" si="3"/>
        <v>21 a viac, &amp;#32všetky možnosti</v>
      </c>
      <c r="J25" s="44" t="str">
        <f t="shared" si="7"/>
        <v>,Register partnerov VS,Náhradné plnenie</v>
      </c>
      <c r="K25" s="45">
        <f t="shared" si="5"/>
        <v>31956.4599</v>
      </c>
      <c r="L25" s="43"/>
      <c r="M25" s="43" t="str">
        <f>IFERROR(__xludf.DUMMYFUNCTION("SPLIT(O25,"","")"),"Kukorelliho 7179/12")</f>
        <v>Kukorelliho 7179/12</v>
      </c>
      <c r="N25" s="43" t="str">
        <f>IFERROR(__xludf.DUMMYFUNCTION("""COMPUTED_VALUE""")," 921 01 Piešťany")</f>
        <v> 921 01 Piešťany</v>
      </c>
      <c r="O25" s="42" t="s">
        <v>335</v>
      </c>
      <c r="P25" s="43">
        <v>48.5911483999999</v>
      </c>
      <c r="Q25" s="43">
        <v>17.824363</v>
      </c>
      <c r="R25" s="46" t="s">
        <v>336</v>
      </c>
      <c r="S25" s="47" t="s">
        <v>337</v>
      </c>
      <c r="T25" s="63" t="s">
        <v>338</v>
      </c>
      <c r="U25" s="61" t="s">
        <v>339</v>
      </c>
      <c r="V25" s="50" t="s">
        <v>340</v>
      </c>
      <c r="W25" s="55" t="s">
        <v>341</v>
      </c>
      <c r="X25" s="54" t="s">
        <v>342</v>
      </c>
      <c r="Y25" s="46" t="s">
        <v>343</v>
      </c>
      <c r="Z25" s="53" t="s">
        <v>344</v>
      </c>
      <c r="AA25" s="52" t="s">
        <v>64</v>
      </c>
      <c r="AB25" s="55"/>
      <c r="AC25" s="56"/>
      <c r="AD25" s="56"/>
      <c r="AE25" s="55"/>
      <c r="AF25" s="55"/>
      <c r="AG25" s="56"/>
      <c r="AH25" s="56"/>
      <c r="AI25" s="55"/>
      <c r="AJ25" s="55"/>
      <c r="AK25" s="56"/>
      <c r="AL25" s="56"/>
      <c r="AM25" s="47"/>
      <c r="AN25" s="62" t="s">
        <v>39</v>
      </c>
      <c r="AO25" s="57" t="s">
        <v>40</v>
      </c>
      <c r="AP25" s="58" t="str">
        <f t="shared" si="6"/>
        <v>SLOVENSKA CHRANENA DIELNA s.r.o. potraviny a napoje, reklama, obaly, odevy a obuv, bizuteria a darcekove predmety, ine (tovary a sluzby), &amp;#32vsetky kategorie  921 01 Piestany Pre nasich klientov, ktorymi su najma firmy, obce, OZ, organizacie, skoly, sportove kluby a pod., ponukame v ramci 5 dielni velmi siroke portfolio nasich sluzieb.
V krajcirskej dielni vykonavame krajcirske prace rozneho druhu, aj specificke na mieru, ale najcastejsie sitie pracovneho a sportoveho oblecenia. Dokazeme plnofarebne celoplosne potlacit polyesterovu latku a nasledne z nej sit oblecenie.
V grafickej dielni okrem standartnych grafickych prac aj potlacame a vyrabame reklamne predmety, textil, kalendare, diare. Mame nakupene stroje na plnofarebnu potlac bannerov, roll-up bannerov, plagatov, nalepiek, stroj na sietotlac, tampoprint, razbu, laserovanie na rozne povrchy.
V cukrarni pecieme prioritne medovniky a rozne druhy cajoveho peciva, pocas roka v nej balime aj sypane caje, kavu, oriesky a susene ovocie.
V kreativnej dielni malujeme, vyrabame a zdobime pozdravy, kompletizujeme darcekove a vianocne balenia a vyrabame aj sviecky z vcelich platov.
V dielni manualnych prac, vdaka ktorej fungujeme celorocne, vykonavame balenie aj rozoberanie vyrobkov na dalsie spracovanie, skladanie skrutkovych zostav a krabiciek, kompletizaciu plastovych flasiek pre zvierata, triedenie a cistenie roznych zdravotne nezavadnych materialov.
Sme otvoreni akymkolvek novym vyzvam a radi vyskusame aj nove cinnosti, ak su v nasich priestoroch realizovatelne.  Zamestnavame celorocne 32 zamestnancov so zdravotnym znevyhodnenim. Vo stvrtom kvartali este priberame na vypomoc aj zaujemcov pracujucich na dohodu o vykonani prace, kde taktiez uprednostnujeme tych, co maju akekolvek znevyhodnenie.  Slovenska chranena dielna s.r.o. Sme skutocna chranena dielna s najsirsou ponukou sluzieb.
Sme vsestranni, flexibilni, obetavi.
Jednym pomahame a druhym usetrime. jednoducha manualna praca, montazne sady, triedenie, balenie, skladanie, potlac, sitie, UV potlac, sublimacia, laser, tampo print, vysivka, vysivanie loga, sietotlac, gravirovanie, vianocne pecivo, medovniky, pracovne oblecenie, sportove oblecenie, reklamne predmety, kalendare, diare, vyroba atypickych trofeji a medaili, balicky, darceky           Register partnerov VS</v>
      </c>
      <c r="AQ25" s="37"/>
    </row>
    <row r="26" ht="15.75" customHeight="1">
      <c r="A26" s="43"/>
      <c r="B26" s="59">
        <v>24.0</v>
      </c>
      <c r="C26" s="40" t="s">
        <v>345</v>
      </c>
      <c r="D26" s="41" t="s">
        <v>218</v>
      </c>
      <c r="E26" s="38" t="str">
        <f t="shared" si="1"/>
        <v>Košický kraj, &amp;#32celé Slovensko</v>
      </c>
      <c r="F26" s="42" t="s">
        <v>346</v>
      </c>
      <c r="G26" s="38" t="str">
        <f t="shared" si="2"/>
        <v>čistiace a upratovacie služby, dom a záhrada, stavebníctvo, odpady a recyklácia, iné (tovary a služby), &amp;#32všetky kategórie</v>
      </c>
      <c r="H26" s="42" t="s">
        <v>170</v>
      </c>
      <c r="I26" s="43" t="str">
        <f t="shared" si="3"/>
        <v>21 a viac, &amp;#32všetky možnosti</v>
      </c>
      <c r="J26" s="44" t="str">
        <f t="shared" si="7"/>
        <v>,Register partnerov VS,</v>
      </c>
      <c r="K26" s="45">
        <f t="shared" si="5"/>
        <v>13495.85681</v>
      </c>
      <c r="L26" s="43"/>
      <c r="M26" s="43" t="str">
        <f>IFERROR(__xludf.DUMMYFUNCTION("SPLIT(O26,"","")"),"Štefánikovo námestie 1")</f>
        <v>Štefánikovo námestie 1</v>
      </c>
      <c r="N26" s="43" t="str">
        <f>IFERROR(__xludf.DUMMYFUNCTION("""COMPUTED_VALUE""")," 052 01 Spišská Nová Ves")</f>
        <v> 052 01 Spišská Nová Ves</v>
      </c>
      <c r="O26" s="42" t="s">
        <v>347</v>
      </c>
      <c r="P26" s="43">
        <v>48.9466335</v>
      </c>
      <c r="Q26" s="43">
        <v>20.5598058</v>
      </c>
      <c r="R26" s="46" t="s">
        <v>348</v>
      </c>
      <c r="S26" s="47" t="s">
        <v>349</v>
      </c>
      <c r="T26" s="63" t="s">
        <v>350</v>
      </c>
      <c r="U26" s="61" t="s">
        <v>351</v>
      </c>
      <c r="V26" s="50" t="s">
        <v>352</v>
      </c>
      <c r="W26" s="55" t="s">
        <v>353</v>
      </c>
      <c r="X26" s="54" t="s">
        <v>354</v>
      </c>
      <c r="Y26" s="46" t="s">
        <v>355</v>
      </c>
      <c r="Z26" s="53" t="s">
        <v>356</v>
      </c>
      <c r="AA26" s="52" t="s">
        <v>64</v>
      </c>
      <c r="AB26" s="55"/>
      <c r="AC26" s="56"/>
      <c r="AD26" s="56"/>
      <c r="AE26" s="55"/>
      <c r="AF26" s="55"/>
      <c r="AG26" s="56"/>
      <c r="AH26" s="56"/>
      <c r="AI26" s="55"/>
      <c r="AJ26" s="55"/>
      <c r="AK26" s="56"/>
      <c r="AL26" s="56"/>
      <c r="AM26" s="47"/>
      <c r="AN26" s="62" t="s">
        <v>39</v>
      </c>
      <c r="AO26" s="64"/>
      <c r="AP26" s="58" t="str">
        <f t="shared" si="6"/>
        <v>MEPOS SNV s. r. o. cistiace a upratovacie sluzby, dom a zahrada, stavebnictvo, odpady a recyklacia, ine (tovary a sluzby), &amp;#32vsetky kategorie  052 01 Spisska Nova Ves Technicke sluzby, stavebna cinnost, zemne a vykopove prace, rekonstrukcie budov, chodnikov, upratovanie, zimna udrzba, zvisle dopravne znacenie, starostlivost o zelen, prevadzka kompostarne, MOM. Podpora zamestnanosti znevyhodnenych osob. Stredisko technickych sluzieb Technicka a stavebna cinnost, zemne prace, zvaracske prace, udrzba a rekonstrukcia chodnikov, budov. zemne prace, buranie, vykopove prace, chodniky, kosenie, zimna udrzba, bio odpad, kuchynsky odpad, zabradlie, znacky, zvisle dopravne znacenie           Register partnerov VS</v>
      </c>
      <c r="AQ26" s="37"/>
    </row>
    <row r="27" ht="15.75" customHeight="1">
      <c r="A27" s="43"/>
      <c r="B27" s="59">
        <v>25.0</v>
      </c>
      <c r="C27" s="40" t="s">
        <v>357</v>
      </c>
      <c r="D27" s="41" t="s">
        <v>80</v>
      </c>
      <c r="E27" s="38" t="str">
        <f t="shared" si="1"/>
        <v>Trnavský kraj, &amp;#32celé Slovensko</v>
      </c>
      <c r="F27" s="42" t="s">
        <v>358</v>
      </c>
      <c r="G27" s="38" t="str">
        <f t="shared" si="2"/>
        <v>pre deti, &amp;#32všetky kategórie</v>
      </c>
      <c r="H27" s="42" t="s">
        <v>53</v>
      </c>
      <c r="I27" s="43" t="str">
        <f t="shared" si="3"/>
        <v>1 - 5, &amp;#32všetky možnosti</v>
      </c>
      <c r="J27" s="44" t="str">
        <f t="shared" si="7"/>
        <v>,,Náhradné plnenie</v>
      </c>
      <c r="K27" s="45">
        <f t="shared" si="5"/>
        <v>6660.813501</v>
      </c>
      <c r="L27" s="43"/>
      <c r="M27" s="43" t="str">
        <f>IFERROR(__xludf.DUMMYFUNCTION("SPLIT(O27,"","")"),"Niklová 2190")</f>
        <v>Niklová 2190</v>
      </c>
      <c r="N27" s="43" t="str">
        <f>IFERROR(__xludf.DUMMYFUNCTION("""COMPUTED_VALUE""")," 926 01 Sereď")</f>
        <v> 926 01 Sereď</v>
      </c>
      <c r="O27" s="42" t="s">
        <v>359</v>
      </c>
      <c r="P27" s="43">
        <v>48.2716992</v>
      </c>
      <c r="Q27" s="43">
        <v>17.7373134</v>
      </c>
      <c r="R27" s="46" t="s">
        <v>360</v>
      </c>
      <c r="S27" s="47" t="s">
        <v>361</v>
      </c>
      <c r="T27" s="63" t="s">
        <v>362</v>
      </c>
      <c r="U27" s="61" t="s">
        <v>363</v>
      </c>
      <c r="V27" s="50" t="s">
        <v>364</v>
      </c>
      <c r="W27" s="55" t="s">
        <v>365</v>
      </c>
      <c r="X27" s="54" t="s">
        <v>366</v>
      </c>
      <c r="Y27" s="46" t="s">
        <v>367</v>
      </c>
      <c r="Z27" s="53" t="s">
        <v>368</v>
      </c>
      <c r="AA27" s="52" t="s">
        <v>64</v>
      </c>
      <c r="AB27" s="55"/>
      <c r="AC27" s="56"/>
      <c r="AD27" s="56"/>
      <c r="AE27" s="55"/>
      <c r="AF27" s="55"/>
      <c r="AG27" s="56"/>
      <c r="AH27" s="56"/>
      <c r="AI27" s="55"/>
      <c r="AJ27" s="55"/>
      <c r="AK27" s="56"/>
      <c r="AL27" s="56"/>
      <c r="AM27" s="34"/>
      <c r="AN27" s="55"/>
      <c r="AO27" s="57" t="s">
        <v>40</v>
      </c>
      <c r="AP27" s="58" t="str">
        <f t="shared" si="6"/>
        <v>GOEL media s.r.o. pre deti, &amp;#32vsetky kategorie  926 01 Sered Sme rodinna firma zamerana na rodinu. Venujeme sa vyrobe detskych zavesnych kolisok pod znackou Kidvak, ktore simuluju pohyb dietata v matkinom bruchu, vdaka comu naozaj dobre funguje a prinasa ulavu nielen dietatu, ale aj rodicom. Dalej medzi nase produkty partia hniezda pre babatka, detske deky a termoregulacne vlozky z ovcej vlny urcene do detskych postielok. V nasej sijacej dielni zamestnavame ZTP osoby a nasim cielom je vytvorit viac pracovnych miest, vytvorit pre nasich zamestnancov co najlepsie pracovne prostredie. Podporujeme tiez rodiny s postihnutymi detmi, azylove domy, matky na materskej dovolenke roznymi materialmi na dalsiu tvorbu. KIDVAK Venujeme sa vyrobe detskych zavesnych kolisok pod znackou Kidvak, ktore simuluju pohyb dietata v matkinom bruchu, vdaka comu naozaj dobre funguje a prinasa ulavu nielen dietatu, ale aj rodicom. Dalej medzi nase produkty partia hniezda pre babatka, detske deky a termoregulacne vlozky z ovcej vlny urcene do detskych postielok. dieta, spanok, hacka, hniezdo, detska deka, ovcia vlna, uspavanie           </v>
      </c>
      <c r="AQ27" s="37"/>
    </row>
    <row r="28" ht="15.75" customHeight="1">
      <c r="A28" s="43"/>
      <c r="B28" s="59">
        <v>26.0</v>
      </c>
      <c r="C28" s="40" t="s">
        <v>369</v>
      </c>
      <c r="D28" s="41" t="s">
        <v>94</v>
      </c>
      <c r="E28" s="38" t="str">
        <f t="shared" si="1"/>
        <v>Bratislavský kraj, &amp;#32celé Slovensko</v>
      </c>
      <c r="F28" s="42" t="s">
        <v>370</v>
      </c>
      <c r="G28" s="38" t="str">
        <f t="shared" si="2"/>
        <v>cestovný ruch, kultúra a šport, reklama, potraviny a nápoje, iné (tovary a služby), &amp;#32všetky kategórie</v>
      </c>
      <c r="H28" s="42" t="s">
        <v>53</v>
      </c>
      <c r="I28" s="43" t="str">
        <f t="shared" si="3"/>
        <v>1 - 5, &amp;#32všetky možnosti</v>
      </c>
      <c r="J28" s="44" t="str">
        <f t="shared" si="7"/>
        <v>,Register partnerov VS,Náhradné plnenie</v>
      </c>
      <c r="K28" s="45">
        <f t="shared" si="5"/>
        <v>8255.347892</v>
      </c>
      <c r="L28" s="43"/>
      <c r="M28" s="43" t="str">
        <f>IFERROR(__xludf.DUMMYFUNCTION("SPLIT(O28,"","")"),"Vinice 5562/3")</f>
        <v>Vinice 5562/3</v>
      </c>
      <c r="N28" s="43" t="str">
        <f>IFERROR(__xludf.DUMMYFUNCTION("""COMPUTED_VALUE""")," 902 03 Pezinok")</f>
        <v> 902 03 Pezinok</v>
      </c>
      <c r="O28" s="42" t="s">
        <v>371</v>
      </c>
      <c r="P28" s="43">
        <v>48.269578</v>
      </c>
      <c r="Q28" s="43">
        <v>17.2384144</v>
      </c>
      <c r="R28" s="46" t="s">
        <v>372</v>
      </c>
      <c r="S28" s="47" t="s">
        <v>373</v>
      </c>
      <c r="T28" s="63" t="s">
        <v>374</v>
      </c>
      <c r="U28" s="61" t="s">
        <v>375</v>
      </c>
      <c r="V28" s="50" t="s">
        <v>376</v>
      </c>
      <c r="W28" s="55" t="s">
        <v>377</v>
      </c>
      <c r="X28" s="54" t="s">
        <v>378</v>
      </c>
      <c r="Y28" s="46" t="s">
        <v>379</v>
      </c>
      <c r="Z28" s="53" t="s">
        <v>380</v>
      </c>
      <c r="AA28" s="67" t="s">
        <v>129</v>
      </c>
      <c r="AB28" s="55" t="s">
        <v>381</v>
      </c>
      <c r="AC28" s="56" t="s">
        <v>382</v>
      </c>
      <c r="AD28" s="56" t="s">
        <v>383</v>
      </c>
      <c r="AE28" s="55" t="s">
        <v>64</v>
      </c>
      <c r="AF28" s="55"/>
      <c r="AG28" s="56"/>
      <c r="AH28" s="56"/>
      <c r="AI28" s="55"/>
      <c r="AJ28" s="55"/>
      <c r="AK28" s="56"/>
      <c r="AL28" s="56"/>
      <c r="AM28" s="47"/>
      <c r="AN28" s="62" t="s">
        <v>39</v>
      </c>
      <c r="AO28" s="57" t="s">
        <v>40</v>
      </c>
      <c r="AP28" s="58" t="str">
        <f t="shared" si="6"/>
        <v>Majolika-R, s.r.o.  cestovny ruch, kultura a sport, reklama, potraviny a napoje, ine (tovary a sluzby), &amp;#32vsetky kategorie  902 03 Pezinok Firma sa viac ako 30 rokov venuje hlavne zachovavaniu tradicneho remesla –  vyrobe tradicnej slovenskej ludovej majoliky a uzitkovej keramiky s roznymi logami firiem, nazvami, ci menami. Od roku 2011 fungujeme ako Chranena dielna a do nasej prace sme zacali zaclenovat aj ludi s hendikepom. Pomalymi krocikmi a niekolkomesacnym az niekolkorocnym ucenim dnes nasi hendikepovani kolegovia vyrabaju nadherne vyrobky, na ktore sme vsetci velmi hrdi.
Spajame to najlepsie, co nas region ponuka – vyrobu tradicnej slovenskej ludovej majoliky a vinnu pivnicu, kde si mozu nasi zakaznici vychutnat poharik skveleho regionalneho vinka, ci pochutnat si na slovenskych specialitach.
nasu ponuku sme  rozsirili aj o textilnu vyrobu a spolocne sme zacali sit ochranne ruska. A kedze sme kreativna firma, zriadili sme aj malu prevadzku, kde dodnes predavame bubble waffle, corn-dogy a ine speciality. Momentalne nas mozete najst v areali prirodneho kupaliska Kuchajda v Bratislave a na parkovisku pod hradom Devin. V zimnych mesiacoch iba cez vikendy. V zmysle poskytovania spolocensky prospesnej sluzby podpory zamestnanosti zamestnavame zranitelne a znevyhodnene osoby. Ich zamestnavanim, sledujeme ciel ich (opatovneho) socialneho zaclenenia. Praca s hendikepovanymi a znevyhodnenymi ludmi je pre nas poslanim.
V zmysle poskytovania spolocensky prospesnej sluzby tvorby, rozvoja, ochrany, obnovy a prezentacie duchovnych a kulturnych hodnot nasa spolocnost zachovava dedicstvo nasich otcov – slovensku ludovu majoliku - pre dalsie generacie.  Majolika-R Exkurzie pre turistov, tvorive dielne, keramicke vyrobky pre firmy formou nahradneho plnenia keramika, majolika, slovenska ludova majolika, tvorive dielne, exkurzie Majolika-R Kuchajda Cerstva vyroba bubble-waffli a specialnych corn-dogov (parok v kukuricnom cesticku, aj vegetariansky) obcerstvenie, bubble-waffle, corn dogy, napoje, kava, ...        Register partnerov VS</v>
      </c>
      <c r="AQ28" s="37"/>
    </row>
    <row r="29" ht="15.75" customHeight="1">
      <c r="A29" s="43"/>
      <c r="B29" s="59">
        <v>27.0</v>
      </c>
      <c r="C29" s="75" t="s">
        <v>384</v>
      </c>
      <c r="D29" s="41" t="s">
        <v>51</v>
      </c>
      <c r="E29" s="38" t="str">
        <f t="shared" si="1"/>
        <v>Prešovský kraj, &amp;#32celé Slovensko</v>
      </c>
      <c r="F29" s="42" t="s">
        <v>385</v>
      </c>
      <c r="G29" s="38" t="str">
        <f t="shared" si="2"/>
        <v>iné (tovary a služby), &amp;#32všetky kategórie</v>
      </c>
      <c r="H29" s="42" t="s">
        <v>170</v>
      </c>
      <c r="I29" s="43" t="str">
        <f t="shared" si="3"/>
        <v>21 a viac, &amp;#32všetky možnosti</v>
      </c>
      <c r="J29" s="44" t="str">
        <f t="shared" si="7"/>
        <v>,Register partnerov VS,Náhradné plnenie</v>
      </c>
      <c r="K29" s="45">
        <f t="shared" si="5"/>
        <v>5333.930718</v>
      </c>
      <c r="L29" s="43"/>
      <c r="M29" s="43" t="str">
        <f>IFERROR(__xludf.DUMMYFUNCTION("SPLIT(O29,"","")"),"Traktorová 589/1")</f>
        <v>Traktorová 589/1</v>
      </c>
      <c r="N29" s="43" t="str">
        <f>IFERROR(__xludf.DUMMYFUNCTION("""COMPUTED_VALUE""")," 058 01 Poprad")</f>
        <v> 058 01 Poprad</v>
      </c>
      <c r="O29" s="42" t="s">
        <v>386</v>
      </c>
      <c r="P29" s="43">
        <v>49.0586925</v>
      </c>
      <c r="Q29" s="43">
        <v>20.2793571</v>
      </c>
      <c r="R29" s="46" t="s">
        <v>387</v>
      </c>
      <c r="S29" s="47" t="s">
        <v>388</v>
      </c>
      <c r="T29" s="63" t="s">
        <v>86</v>
      </c>
      <c r="U29" s="61" t="s">
        <v>389</v>
      </c>
      <c r="V29" s="50" t="s">
        <v>390</v>
      </c>
      <c r="W29" s="55" t="s">
        <v>391</v>
      </c>
      <c r="X29" s="54" t="s">
        <v>392</v>
      </c>
      <c r="Y29" s="46" t="s">
        <v>393</v>
      </c>
      <c r="Z29" s="53" t="s">
        <v>394</v>
      </c>
      <c r="AA29" s="52" t="s">
        <v>64</v>
      </c>
      <c r="AB29" s="55"/>
      <c r="AC29" s="56"/>
      <c r="AD29" s="56"/>
      <c r="AE29" s="55"/>
      <c r="AF29" s="55"/>
      <c r="AG29" s="56"/>
      <c r="AH29" s="56"/>
      <c r="AI29" s="55"/>
      <c r="AJ29" s="55"/>
      <c r="AK29" s="56"/>
      <c r="AL29" s="56"/>
      <c r="AM29" s="47"/>
      <c r="AN29" s="62" t="s">
        <v>39</v>
      </c>
      <c r="AO29" s="57" t="s">
        <v>40</v>
      </c>
      <c r="AP29" s="58" t="str">
        <f t="shared" si="6"/>
        <v>UNICOL s.r.o., r.s.p. ine (tovary a sluzby), &amp;#32vsetky kategorie  058 01 Poprad Vyroba plastovych koncentratov pre vyrobu vlaken, vyrobu folii z plastov a rozne koncentraty aditiv do plastovej vyroby. Vyraba vyrobky uplatnitelne na europskom trhu s doplnenim vyrobkov, ktore su na trhu nedostatkove s vysokou spolocenskou a materialnou hodnotou  v oblasti chemickeho  priemyslu.  Unicol s.r.o. Vyroba plastovych koncentratov. plasty, plastove koncentraty, folie, masterbatch, vlakno farby, aditiva, vstrekovanie           Register partnerov VS</v>
      </c>
      <c r="AQ29" s="37"/>
    </row>
    <row r="30" ht="15.75" customHeight="1">
      <c r="A30" s="43"/>
      <c r="B30" s="59">
        <v>28.0</v>
      </c>
      <c r="C30" s="75" t="s">
        <v>395</v>
      </c>
      <c r="D30" s="41" t="s">
        <v>181</v>
      </c>
      <c r="E30" s="38" t="str">
        <f t="shared" si="1"/>
        <v>Banskobystrický kraj, &amp;#32celé Slovensko</v>
      </c>
      <c r="F30" s="42" t="s">
        <v>396</v>
      </c>
      <c r="G30" s="38" t="str">
        <f t="shared" si="2"/>
        <v>poľnohospodárstvo a lesníctvo, dom a záhrada, &amp;#32všetky kategórie</v>
      </c>
      <c r="H30" s="42" t="s">
        <v>96</v>
      </c>
      <c r="I30" s="43" t="str">
        <f t="shared" si="3"/>
        <v>6 - 10, &amp;#32všetky možnosti</v>
      </c>
      <c r="J30" s="44" t="str">
        <f t="shared" si="7"/>
        <v>,Register partnerov VS,</v>
      </c>
      <c r="K30" s="45">
        <f t="shared" si="5"/>
        <v>44120.93062</v>
      </c>
      <c r="L30" s="43"/>
      <c r="M30" s="43" t="str">
        <f>IFERROR(__xludf.DUMMYFUNCTION("SPLIT(O30,"","")"),"Rovňany 146")</f>
        <v>Rovňany 146</v>
      </c>
      <c r="N30" s="43" t="str">
        <f>IFERROR(__xludf.DUMMYFUNCTION("""COMPUTED_VALUE""")," 985 24 Rovňany")</f>
        <v> 985 24 Rovňany</v>
      </c>
      <c r="O30" s="42" t="s">
        <v>397</v>
      </c>
      <c r="P30" s="43">
        <v>48.4482326</v>
      </c>
      <c r="Q30" s="43">
        <v>19.7411424</v>
      </c>
      <c r="R30" s="46" t="s">
        <v>398</v>
      </c>
      <c r="S30" s="47" t="s">
        <v>399</v>
      </c>
      <c r="T30" s="63" t="s">
        <v>86</v>
      </c>
      <c r="U30" s="61" t="s">
        <v>400</v>
      </c>
      <c r="V30" s="50" t="s">
        <v>401</v>
      </c>
      <c r="W30" s="55" t="s">
        <v>402</v>
      </c>
      <c r="X30" s="54" t="s">
        <v>403</v>
      </c>
      <c r="Y30" s="46" t="s">
        <v>404</v>
      </c>
      <c r="Z30" s="53" t="s">
        <v>405</v>
      </c>
      <c r="AA30" s="52" t="s">
        <v>64</v>
      </c>
      <c r="AB30" s="55"/>
      <c r="AC30" s="56"/>
      <c r="AD30" s="56"/>
      <c r="AE30" s="55"/>
      <c r="AF30" s="55"/>
      <c r="AG30" s="56"/>
      <c r="AH30" s="56"/>
      <c r="AI30" s="55"/>
      <c r="AJ30" s="55"/>
      <c r="AK30" s="56"/>
      <c r="AL30" s="56"/>
      <c r="AM30" s="47"/>
      <c r="AN30" s="62" t="s">
        <v>39</v>
      </c>
      <c r="AO30" s="64"/>
      <c r="AP30" s="58" t="str">
        <f t="shared" si="6"/>
        <v>Agro – drevinovy ekosystem BBSK, s.r.o. "registrovany socialny podnik" polnohospodarstvo a lesnictvo, dom a zahrada, &amp;#32vsetky kategorie  985 24 Rovnany Socialny podnik je orientovany na agro - drevinovy ekosystem s chovom vciel. 
Socialny podnik reflektoval na aktualnu situaciu a  ponuka zakazky na kosenie a udrzbu zelene, cim chce pomoct mensim samospravam v Banskobystrickom samospravnom kraji v dobe pandemie, ktorej aktualne chyba potrebna pracovna sila. 
 Socialny polnohospodarsky podnik v Rovnanoch je uspesnym prikladom toho, ako sa prostrednictvom socialnej ekonomiky da vytvorit cesta na trh prace a dostojny zivot prave ludom, ktori su dlhodobo nezamestnani, zdravotne postihnuti alebo inak znevyhodneni. Spolocnost Agro – drevinovy ekosystem BBSK, s.r.o. "registrovany socialny podnik"  Socialny podnik ponuka kosenie zelene, opilovanie stromov, vyraba komponenty z dreva a predava ovocie a zeleninu. kosenie, udrzba zelene, opilovanie stromov, zemne prace, ovocie, zelenina, vyroba komponentov z dreva           Register partnerov VS</v>
      </c>
      <c r="AQ30" s="37"/>
    </row>
    <row r="31" ht="15.75" customHeight="1">
      <c r="A31" s="43"/>
      <c r="B31" s="59">
        <v>29.0</v>
      </c>
      <c r="C31" s="75" t="s">
        <v>406</v>
      </c>
      <c r="D31" s="41" t="s">
        <v>181</v>
      </c>
      <c r="E31" s="38" t="str">
        <f t="shared" si="1"/>
        <v>Banskobystrický kraj, &amp;#32celé Slovensko</v>
      </c>
      <c r="F31" s="42" t="s">
        <v>407</v>
      </c>
      <c r="G31" s="38" t="str">
        <f t="shared" si="2"/>
        <v>doprava, vzdelávanie, kultúra a šport, odpady a recyklácia, reklama, pre deti, bižutéria a darčekové predmety, iné (tovary a služby), &amp;#32všetky kategórie</v>
      </c>
      <c r="H31" s="42" t="s">
        <v>53</v>
      </c>
      <c r="I31" s="43" t="str">
        <f t="shared" si="3"/>
        <v>1 - 5, &amp;#32všetky možnosti</v>
      </c>
      <c r="J31" s="44" t="str">
        <f t="shared" si="7"/>
        <v>,,</v>
      </c>
      <c r="K31" s="45">
        <f t="shared" si="5"/>
        <v>36980.40591</v>
      </c>
      <c r="L31" s="43"/>
      <c r="M31" s="43" t="str">
        <f>IFERROR(__xludf.DUMMYFUNCTION("SPLIT(O31,"","")"),"Telgárt 82")</f>
        <v>Telgárt 82</v>
      </c>
      <c r="N31" s="43" t="str">
        <f>IFERROR(__xludf.DUMMYFUNCTION("""COMPUTED_VALUE""")," 976 73 Telgárt ")</f>
        <v> 976 73 Telgárt </v>
      </c>
      <c r="O31" s="42" t="s">
        <v>408</v>
      </c>
      <c r="P31" s="43">
        <v>48.8562751</v>
      </c>
      <c r="Q31" s="43">
        <v>20.1927537</v>
      </c>
      <c r="R31" s="46" t="s">
        <v>409</v>
      </c>
      <c r="S31" s="47" t="s">
        <v>410</v>
      </c>
      <c r="T31" s="63" t="s">
        <v>411</v>
      </c>
      <c r="U31" s="61" t="s">
        <v>412</v>
      </c>
      <c r="V31" s="50" t="s">
        <v>413</v>
      </c>
      <c r="W31" s="55" t="s">
        <v>414</v>
      </c>
      <c r="X31" s="54" t="s">
        <v>415</v>
      </c>
      <c r="Y31" s="46" t="s">
        <v>416</v>
      </c>
      <c r="Z31" s="53" t="s">
        <v>417</v>
      </c>
      <c r="AA31" s="52" t="s">
        <v>64</v>
      </c>
      <c r="AB31" s="55"/>
      <c r="AC31" s="56"/>
      <c r="AD31" s="56"/>
      <c r="AE31" s="55"/>
      <c r="AF31" s="55"/>
      <c r="AG31" s="56"/>
      <c r="AH31" s="56"/>
      <c r="AI31" s="55"/>
      <c r="AJ31" s="55"/>
      <c r="AK31" s="56"/>
      <c r="AL31" s="56"/>
      <c r="AM31" s="34"/>
      <c r="AN31" s="55"/>
      <c r="AO31" s="64"/>
      <c r="AP31" s="58" t="str">
        <f t="shared" si="6"/>
        <v>Dreveno koliesko s.r.o. doprava, vzdelavanie, kultura a sport, odpady a recyklacia, reklama, pre deti, bizuteria a darcekove predmety, ine (tovary a sluzby), &amp;#32vsetky kategorie  976 73 Telgart  Pre ludi s obmedzenym uplatnenim na standardnom trhu prace poskytujeme prace z domu. Vytvarame pracovne miesta, ktorych ucelom je vyroba drevenych reklamnych a darcekovych predmetov.  Zakladnym principom socialneho podniku Dreveno koliesko/Sucast zivota je vytvaranie pracovnych miest pre ludi s obmedzenym uplatnenim na standardnom trhu prace, a to poskytovanim prace z domu. Empatickym pristupom, respektovanim individualnych obmedzeni zamestnanca, umoznenim flexibilneho riadenia pracovnej doby a jej prisposobenia moznostiam a potrebam zamestnanca, napomahame sklbit pracovny zivot a starostlivost o rodinu v tazkej zivotnej situacii. Dreveno koliesko Jedna sa o pracu na doma s predpripravenymi polotovarmi - dekorovanie a spracovanie drevenych koliesok do finalnej podoby. darcekove predmety, reklamne darceky, edukativne sety pre MS a ZS           </v>
      </c>
      <c r="AQ31" s="37"/>
    </row>
    <row r="32" ht="15.75" customHeight="1">
      <c r="A32" s="43"/>
      <c r="B32" s="59">
        <v>30.0</v>
      </c>
      <c r="C32" s="75" t="s">
        <v>418</v>
      </c>
      <c r="D32" s="41" t="s">
        <v>51</v>
      </c>
      <c r="E32" s="38" t="str">
        <f t="shared" si="1"/>
        <v>Prešovský kraj, &amp;#32celé Slovensko</v>
      </c>
      <c r="F32" s="42" t="s">
        <v>419</v>
      </c>
      <c r="G32" s="38" t="str">
        <f t="shared" si="2"/>
        <v>dom a záhrada, stavebníctvo, odevy a obuv, pre deti, bižutéria a darčekové predmety, kultúra a šport, &amp;#32všetky kategórie</v>
      </c>
      <c r="H32" s="42" t="s">
        <v>170</v>
      </c>
      <c r="I32" s="43" t="str">
        <f t="shared" si="3"/>
        <v>21 a viac, &amp;#32všetky možnosti</v>
      </c>
      <c r="J32" s="44" t="str">
        <f t="shared" si="7"/>
        <v>Servisné poukážky,Register partnerov VS,Náhradné plnenie</v>
      </c>
      <c r="K32" s="45">
        <f t="shared" si="5"/>
        <v>1285.707732</v>
      </c>
      <c r="L32" s="43"/>
      <c r="M32" s="43" t="str">
        <f>IFERROR(__xludf.DUMMYFUNCTION("SPLIT(O32,"","")"),"Strojárska 2060/95")</f>
        <v>Strojárska 2060/95</v>
      </c>
      <c r="N32" s="43" t="str">
        <f>IFERROR(__xludf.DUMMYFUNCTION("""COMPUTED_VALUE""")," 069 01 Snina")</f>
        <v> 069 01 Snina</v>
      </c>
      <c r="O32" s="42" t="s">
        <v>420</v>
      </c>
      <c r="P32" s="43">
        <v>48.9879904</v>
      </c>
      <c r="Q32" s="43">
        <v>22.1514579</v>
      </c>
      <c r="R32" s="46" t="s">
        <v>421</v>
      </c>
      <c r="S32" s="47" t="s">
        <v>422</v>
      </c>
      <c r="T32" s="63" t="s">
        <v>86</v>
      </c>
      <c r="U32" s="61" t="s">
        <v>423</v>
      </c>
      <c r="V32" s="50" t="s">
        <v>424</v>
      </c>
      <c r="W32" s="76" t="s">
        <v>425</v>
      </c>
      <c r="X32" s="54" t="s">
        <v>426</v>
      </c>
      <c r="Y32" s="46" t="s">
        <v>427</v>
      </c>
      <c r="Z32" s="53" t="s">
        <v>428</v>
      </c>
      <c r="AA32" s="52" t="s">
        <v>64</v>
      </c>
      <c r="AB32" s="55"/>
      <c r="AC32" s="56"/>
      <c r="AD32" s="56"/>
      <c r="AE32" s="55"/>
      <c r="AF32" s="55"/>
      <c r="AG32" s="56"/>
      <c r="AH32" s="56"/>
      <c r="AI32" s="55"/>
      <c r="AJ32" s="55"/>
      <c r="AK32" s="56"/>
      <c r="AL32" s="56"/>
      <c r="AM32" s="77" t="s">
        <v>321</v>
      </c>
      <c r="AN32" s="62" t="s">
        <v>39</v>
      </c>
      <c r="AO32" s="57" t="s">
        <v>40</v>
      </c>
      <c r="AP32" s="58" t="str">
        <f t="shared" si="6"/>
        <v>Mestsky podnik Snina, s. r. o.  dom a zahrada, stavebnictvo, odevy a obuv, pre deti, bizuteria a darcekove predmety, kultura a sport, &amp;#32vsetky kategorie  069 01 Snina Remeselna dielna - vysivane kroje, rucne vysivane vyrobky a darcekove predmety (e-shop www.pomozkupou.sk), stavebna cinnost, starostlivost o domacnost a zahradu, prevadzka plavarne a wellness. Zamestnavame znevyhodnenych uchadzacov o zamestnanie a zdravotne znevyhodnenych. Mestsky podnik Snina Rucne vyrabane darcekove predmety, sitie krojov, stavebna cinnost kroje, sperky, plavaren, wellness          Servisne poukazky Register partnerov VS</v>
      </c>
      <c r="AQ32" s="37"/>
    </row>
    <row r="33" ht="15.75" customHeight="1">
      <c r="A33" s="43"/>
      <c r="B33" s="59">
        <v>31.0</v>
      </c>
      <c r="C33" s="75" t="s">
        <v>429</v>
      </c>
      <c r="D33" s="41" t="s">
        <v>229</v>
      </c>
      <c r="E33" s="38" t="str">
        <f t="shared" si="1"/>
        <v>Nitriansky kraj, &amp;#32celé Slovensko</v>
      </c>
      <c r="F33" s="42" t="s">
        <v>430</v>
      </c>
      <c r="G33" s="38" t="str">
        <f t="shared" si="2"/>
        <v>dom a záhrada, odpady a recyklácia, reklama, odevy a obuv, pre deti, bižutéria a darčekové predmety, zvieratá, &amp;#32všetky kategórie</v>
      </c>
      <c r="H33" s="42" t="s">
        <v>96</v>
      </c>
      <c r="I33" s="43" t="str">
        <f t="shared" si="3"/>
        <v>6 - 10, &amp;#32všetky možnosti</v>
      </c>
      <c r="J33" s="44" t="str">
        <f t="shared" si="7"/>
        <v>,Register partnerov VS,Náhradné plnenie</v>
      </c>
      <c r="K33" s="45">
        <f t="shared" si="5"/>
        <v>21609.93472</v>
      </c>
      <c r="L33" s="43"/>
      <c r="M33" s="43" t="str">
        <f>IFERROR(__xludf.DUMMYFUNCTION("SPLIT(O33,"","")"),"Nitrianska Blatnica 493")</f>
        <v>Nitrianska Blatnica 493</v>
      </c>
      <c r="N33" s="43" t="str">
        <f>IFERROR(__xludf.DUMMYFUNCTION("""COMPUTED_VALUE""")," 956 05 Nitrianska Blatnica")</f>
        <v> 956 05 Nitrianska Blatnica</v>
      </c>
      <c r="O33" s="42" t="s">
        <v>431</v>
      </c>
      <c r="P33" s="43">
        <v>48.5568375999999</v>
      </c>
      <c r="Q33" s="43">
        <v>17.9666089</v>
      </c>
      <c r="R33" s="46" t="s">
        <v>432</v>
      </c>
      <c r="S33" s="47" t="s">
        <v>433</v>
      </c>
      <c r="T33" s="63" t="s">
        <v>86</v>
      </c>
      <c r="U33" s="61" t="s">
        <v>434</v>
      </c>
      <c r="V33" s="50" t="s">
        <v>435</v>
      </c>
      <c r="W33" s="55" t="s">
        <v>436</v>
      </c>
      <c r="X33" s="54" t="s">
        <v>437</v>
      </c>
      <c r="Y33" s="46" t="s">
        <v>438</v>
      </c>
      <c r="Z33" s="53" t="s">
        <v>439</v>
      </c>
      <c r="AA33" s="52" t="s">
        <v>64</v>
      </c>
      <c r="AB33" s="55"/>
      <c r="AC33" s="56"/>
      <c r="AD33" s="46"/>
      <c r="AE33" s="55"/>
      <c r="AF33" s="55"/>
      <c r="AG33" s="56"/>
      <c r="AH33" s="56"/>
      <c r="AI33" s="55"/>
      <c r="AJ33" s="55"/>
      <c r="AK33" s="56"/>
      <c r="AL33" s="56"/>
      <c r="AM33" s="47"/>
      <c r="AN33" s="62" t="s">
        <v>39</v>
      </c>
      <c r="AO33" s="57" t="s">
        <v>40</v>
      </c>
      <c r="AP33" s="58" t="str">
        <f t="shared" si="6"/>
        <v>upcycle, s.r.o. dom a zahrada, odpady a recyklacia, reklama, odevy a obuv, pre deti, bizuteria a darcekove predmety, zvierata, &amp;#32vsetky kategorie  956 05 Nitrianska Blatnica Darcekove a reklamne predmety, male calunene vyrobky, vyrobky z latok, vyrobky z prebytkov vyroby sedaciek. Zamestnavame znevyhodnene osoby, vyuzivame materialy z vyroby sedaciek, ktore by inak skoncili na skladke - dostavaju druhu sancu ako reklamne a darcekove predmety. Upcycle s.r.o. Navleky na kvetinace, exterierove a interierove sedaky, zvieratka, pelechy pre zvierata. reklamne predmety, darcekove predmety, sedaky, podusky, pelech, pes,           Register partnerov VS</v>
      </c>
      <c r="AQ33" s="37"/>
    </row>
    <row r="34" ht="15.75" customHeight="1">
      <c r="A34" s="43"/>
      <c r="B34" s="59">
        <v>32.0</v>
      </c>
      <c r="C34" s="75" t="s">
        <v>440</v>
      </c>
      <c r="D34" s="41" t="s">
        <v>218</v>
      </c>
      <c r="E34" s="38" t="str">
        <f t="shared" si="1"/>
        <v>Košický kraj, &amp;#32celé Slovensko</v>
      </c>
      <c r="F34" s="42" t="s">
        <v>441</v>
      </c>
      <c r="G34" s="38" t="str">
        <f t="shared" si="2"/>
        <v>čistiace a upratovacie služby, stavebníctvo, kultúra a šport, reklama, dom a záhrada, &amp;#32všetky kategórie</v>
      </c>
      <c r="H34" s="42" t="s">
        <v>96</v>
      </c>
      <c r="I34" s="43" t="str">
        <f t="shared" si="3"/>
        <v>6 - 10, &amp;#32všetky možnosti</v>
      </c>
      <c r="J34" s="44" t="str">
        <f t="shared" si="7"/>
        <v>,Register partnerov VS,</v>
      </c>
      <c r="K34" s="45">
        <f t="shared" si="5"/>
        <v>3960.816163</v>
      </c>
      <c r="L34" s="43"/>
      <c r="M34" s="43" t="str">
        <f>IFERROR(__xludf.DUMMYFUNCTION("SPLIT(O34,"","")"),"Teplička 83")</f>
        <v>Teplička 83</v>
      </c>
      <c r="N34" s="43" t="str">
        <f>IFERROR(__xludf.DUMMYFUNCTION("""COMPUTED_VALUE""")," 052 01 Teplička")</f>
        <v> 052 01 Teplička</v>
      </c>
      <c r="O34" s="42" t="s">
        <v>442</v>
      </c>
      <c r="P34" s="43">
        <v>48.9085568</v>
      </c>
      <c r="Q34" s="43">
        <v>20.5890743</v>
      </c>
      <c r="R34" s="46" t="s">
        <v>443</v>
      </c>
      <c r="S34" s="47" t="s">
        <v>444</v>
      </c>
      <c r="T34" s="63" t="s">
        <v>86</v>
      </c>
      <c r="U34" s="61" t="s">
        <v>445</v>
      </c>
      <c r="V34" s="50" t="s">
        <v>446</v>
      </c>
      <c r="W34" s="55" t="s">
        <v>447</v>
      </c>
      <c r="X34" s="54" t="s">
        <v>440</v>
      </c>
      <c r="Y34" s="46" t="s">
        <v>448</v>
      </c>
      <c r="Z34" s="53" t="s">
        <v>449</v>
      </c>
      <c r="AA34" s="52" t="s">
        <v>64</v>
      </c>
      <c r="AB34" s="55"/>
      <c r="AC34" s="56"/>
      <c r="AD34" s="56"/>
      <c r="AE34" s="55"/>
      <c r="AF34" s="55"/>
      <c r="AG34" s="56"/>
      <c r="AH34" s="56"/>
      <c r="AI34" s="55"/>
      <c r="AJ34" s="55"/>
      <c r="AK34" s="56"/>
      <c r="AL34" s="56"/>
      <c r="AM34" s="47"/>
      <c r="AN34" s="62" t="s">
        <v>39</v>
      </c>
      <c r="AO34" s="64"/>
      <c r="AP34" s="58" t="str">
        <f t="shared" si="6"/>
        <v>T-servis Teplicka, s.r.o. cistiace a upratovacie sluzby, stavebnictvo, kultura a sport, reklama, dom a zahrada, &amp;#32vsetky kategorie  052 01 Teplicka Stavebna cinnost, sitie obecnych vlajok, organizovanie spolocenskych podujati. Zamestnavanim znevyhodnenych osob a ich integraciou do spolocnosti. T-servis Teplicka, s.r.o. Realizacia stavieb, obnova verejnych priestranstiev, organizacia spolocenskych podujati. vlajky obce, nakupne tasky z latky, revitalizacia zelene, prenajom zariadeni           Register partnerov VS</v>
      </c>
      <c r="AQ34" s="37"/>
    </row>
    <row r="35" ht="15.75" customHeight="1">
      <c r="A35" s="43"/>
      <c r="B35" s="59">
        <v>33.0</v>
      </c>
      <c r="C35" s="78" t="s">
        <v>450</v>
      </c>
      <c r="D35" s="41" t="s">
        <v>181</v>
      </c>
      <c r="E35" s="38" t="str">
        <f t="shared" si="1"/>
        <v>Banskobystrický kraj, &amp;#32celé Slovensko</v>
      </c>
      <c r="F35" s="42" t="s">
        <v>451</v>
      </c>
      <c r="G35" s="38" t="str">
        <f t="shared" si="2"/>
        <v>potraviny a nápoje, iné (tovary a služby), &amp;#32všetky kategórie</v>
      </c>
      <c r="H35" s="42" t="s">
        <v>82</v>
      </c>
      <c r="I35" s="43" t="str">
        <f t="shared" si="3"/>
        <v>11 - 15, &amp;#32všetky možnosti</v>
      </c>
      <c r="J35" s="44" t="str">
        <f t="shared" si="7"/>
        <v>,Register partnerov VS,Náhradné plnenie</v>
      </c>
      <c r="K35" s="45">
        <f t="shared" si="5"/>
        <v>1327.279078</v>
      </c>
      <c r="L35" s="43"/>
      <c r="M35" s="43" t="str">
        <f>IFERROR(__xludf.DUMMYFUNCTION("SPLIT(O35,"","")"),"Príboj 552/62")</f>
        <v>Príboj 552/62</v>
      </c>
      <c r="N35" s="43" t="str">
        <f>IFERROR(__xludf.DUMMYFUNCTION("""COMPUTED_VALUE""")," 976 13 Slovenská Ľupča")</f>
        <v> 976 13 Slovenská Ľupča</v>
      </c>
      <c r="O35" s="42" t="s">
        <v>452</v>
      </c>
      <c r="P35" s="43">
        <v>48.7517456</v>
      </c>
      <c r="Q35" s="43">
        <v>19.2338247</v>
      </c>
      <c r="R35" s="46" t="s">
        <v>453</v>
      </c>
      <c r="S35" s="47" t="s">
        <v>454</v>
      </c>
      <c r="T35" s="63" t="s">
        <v>86</v>
      </c>
      <c r="U35" s="61" t="s">
        <v>455</v>
      </c>
      <c r="V35" s="66" t="s">
        <v>456</v>
      </c>
      <c r="W35" s="55" t="s">
        <v>457</v>
      </c>
      <c r="X35" s="54" t="s">
        <v>458</v>
      </c>
      <c r="Y35" s="46" t="s">
        <v>459</v>
      </c>
      <c r="Z35" s="53" t="s">
        <v>460</v>
      </c>
      <c r="AA35" s="52" t="s">
        <v>64</v>
      </c>
      <c r="AB35" s="55"/>
      <c r="AC35" s="56"/>
      <c r="AD35" s="56"/>
      <c r="AE35" s="55"/>
      <c r="AF35" s="55"/>
      <c r="AG35" s="56"/>
      <c r="AH35" s="56"/>
      <c r="AI35" s="55"/>
      <c r="AJ35" s="55"/>
      <c r="AK35" s="56"/>
      <c r="AL35" s="56"/>
      <c r="AM35" s="47"/>
      <c r="AN35" s="62" t="s">
        <v>39</v>
      </c>
      <c r="AO35" s="57" t="s">
        <v>40</v>
      </c>
      <c r="AP35" s="58" t="str">
        <f t="shared" si="6"/>
        <v>Pavel MALEC s.r.o., registrovany socialny podnik potraviny a napoje, ine (tovary a sluzby), &amp;#32vsetky kategorie  976 13 Slovenska Lupca Vyroba a predaj kupelnych oblatok. Pracovne miesta su obsadene pracovnikmi ZTP. Pavel Malec s.r.o., registrovany socialny podnik Vyroba kupelnych oblatok. cukrovinky, oblatky, kupelne oblatky           Register partnerov VS</v>
      </c>
      <c r="AQ35" s="37"/>
    </row>
    <row r="36" ht="15.75" customHeight="1">
      <c r="A36" s="43"/>
      <c r="B36" s="59">
        <v>34.0</v>
      </c>
      <c r="C36" s="78" t="s">
        <v>461</v>
      </c>
      <c r="D36" s="41" t="s">
        <v>181</v>
      </c>
      <c r="E36" s="38" t="str">
        <f t="shared" si="1"/>
        <v>Banskobystrický kraj, &amp;#32celé Slovensko</v>
      </c>
      <c r="F36" s="42" t="s">
        <v>462</v>
      </c>
      <c r="G36" s="38" t="str">
        <f t="shared" si="2"/>
        <v>stavebníctvo, ubytovacie a stravovacie služby, kultúra a šport, iné (tovary a služby), &amp;#32všetky kategórie</v>
      </c>
      <c r="H36" s="42" t="s">
        <v>82</v>
      </c>
      <c r="I36" s="43" t="str">
        <f t="shared" si="3"/>
        <v>11 - 15, &amp;#32všetky možnosti</v>
      </c>
      <c r="J36" s="44" t="str">
        <f t="shared" si="7"/>
        <v>,Register partnerov VS,Náhradné plnenie</v>
      </c>
      <c r="K36" s="45">
        <f t="shared" si="5"/>
        <v>6889.441009</v>
      </c>
      <c r="L36" s="43"/>
      <c r="M36" s="43" t="str">
        <f>IFERROR(__xludf.DUMMYFUNCTION("SPLIT(O36,"","")"),"Židlovo 414/5")</f>
        <v>Židlovo 414/5</v>
      </c>
      <c r="N36" s="43" t="str">
        <f>IFERROR(__xludf.DUMMYFUNCTION("""COMPUTED_VALUE""")," 977 01 Brezno")</f>
        <v> 977 01 Brezno</v>
      </c>
      <c r="O36" s="42" t="s">
        <v>463</v>
      </c>
      <c r="P36" s="43">
        <v>48.807894</v>
      </c>
      <c r="Q36" s="43">
        <v>19.6481735</v>
      </c>
      <c r="R36" s="46" t="s">
        <v>464</v>
      </c>
      <c r="S36" s="47" t="s">
        <v>465</v>
      </c>
      <c r="T36" s="63" t="s">
        <v>466</v>
      </c>
      <c r="U36" s="61" t="s">
        <v>467</v>
      </c>
      <c r="V36" s="50" t="s">
        <v>468</v>
      </c>
      <c r="W36" s="55" t="s">
        <v>469</v>
      </c>
      <c r="X36" s="54" t="s">
        <v>461</v>
      </c>
      <c r="Y36" s="46" t="s">
        <v>470</v>
      </c>
      <c r="Z36" s="53" t="s">
        <v>471</v>
      </c>
      <c r="AA36" s="52" t="s">
        <v>64</v>
      </c>
      <c r="AB36" s="55"/>
      <c r="AC36" s="56"/>
      <c r="AD36" s="56"/>
      <c r="AE36" s="55"/>
      <c r="AF36" s="55"/>
      <c r="AG36" s="56"/>
      <c r="AH36" s="56"/>
      <c r="AI36" s="55"/>
      <c r="AJ36" s="55"/>
      <c r="AK36" s="56"/>
      <c r="AL36" s="56"/>
      <c r="AM36" s="47"/>
      <c r="AN36" s="62" t="s">
        <v>39</v>
      </c>
      <c r="AO36" s="57" t="s">
        <v>40</v>
      </c>
      <c r="AP36" s="58" t="str">
        <f t="shared" si="6"/>
        <v>HARIKOE s.r.o. stavebnictvo, ubytovacie a stravovacie sluzby, kultura a sport, ine (tovary a sluzby), &amp;#32vsetky kategorie  977 01 Brezno Svojim zakaznikom ponukame stavebne prace, vratane vykopovych a zemnych prac, ako aj izolacie stavieb striekanou penou strojom wintermann xpress. V ramci stavebnej cinnosti sa taktiez venujeme vyrobe modularnych domov. Okrem stavebnych prac sa nasa spolocnost venuje aj organizovaniu kulturnych, zabavnych, sportovych a spolocenskych udalosti, teambuildingov, technickemu zabezpeceniu roznych podujati a poskytovaniu cateringu. Zamestnavame zdravotne znevyhodnene osoby. HARIKOE s.r.o. Ponukame stavebne prace, zemne a vykopove prace, vyrobu modularnych domov, organizovanie sportovych, zabavnych a spolocenskych udalosti, catering. stavebne prace, zemne prace, vykopove prace, buracie prace, modularne domy, catering, spolocenske udalosti, teambuilding           Register partnerov VS</v>
      </c>
      <c r="AQ36" s="37"/>
    </row>
    <row r="37" ht="15.75" customHeight="1">
      <c r="A37" s="43"/>
      <c r="B37" s="59">
        <v>35.0</v>
      </c>
      <c r="C37" s="78" t="s">
        <v>472</v>
      </c>
      <c r="D37" s="41" t="s">
        <v>134</v>
      </c>
      <c r="E37" s="38" t="str">
        <f t="shared" si="1"/>
        <v>Trenčiansky kraj, &amp;#32celé Slovensko</v>
      </c>
      <c r="F37" s="42" t="s">
        <v>473</v>
      </c>
      <c r="G37" s="38" t="str">
        <f t="shared" si="2"/>
        <v>auto-moto, &amp;#32všetky kategórie</v>
      </c>
      <c r="H37" s="42" t="s">
        <v>96</v>
      </c>
      <c r="I37" s="43" t="str">
        <f t="shared" si="3"/>
        <v>6 - 10, &amp;#32všetky možnosti</v>
      </c>
      <c r="J37" s="44" t="str">
        <f t="shared" si="7"/>
        <v>,,</v>
      </c>
      <c r="K37" s="45">
        <f t="shared" si="5"/>
        <v>25383.61292</v>
      </c>
      <c r="L37" s="43"/>
      <c r="M37" s="43" t="str">
        <f>IFERROR(__xludf.DUMMYFUNCTION("SPLIT(O37,"","")"),"Sama Chalupku 295/2")</f>
        <v>Sama Chalupku 295/2</v>
      </c>
      <c r="N37" s="43" t="str">
        <f>IFERROR(__xludf.DUMMYFUNCTION("""COMPUTED_VALUE""")," 971 01 Prievidza")</f>
        <v> 971 01 Prievidza</v>
      </c>
      <c r="O37" s="42" t="s">
        <v>474</v>
      </c>
      <c r="P37" s="43">
        <v>48.7759852999999</v>
      </c>
      <c r="Q37" s="43">
        <v>18.6027969</v>
      </c>
      <c r="R37" s="46" t="s">
        <v>475</v>
      </c>
      <c r="S37" s="47" t="s">
        <v>476</v>
      </c>
      <c r="T37" s="63" t="s">
        <v>477</v>
      </c>
      <c r="U37" s="61" t="s">
        <v>478</v>
      </c>
      <c r="V37" s="50" t="s">
        <v>479</v>
      </c>
      <c r="W37" s="55" t="s">
        <v>480</v>
      </c>
      <c r="X37" s="54" t="s">
        <v>481</v>
      </c>
      <c r="Y37" s="46" t="s">
        <v>482</v>
      </c>
      <c r="Z37" s="53" t="s">
        <v>483</v>
      </c>
      <c r="AA37" s="52" t="s">
        <v>64</v>
      </c>
      <c r="AB37" s="55"/>
      <c r="AC37" s="56"/>
      <c r="AD37" s="56"/>
      <c r="AE37" s="55"/>
      <c r="AF37" s="55"/>
      <c r="AG37" s="56"/>
      <c r="AH37" s="56"/>
      <c r="AI37" s="55"/>
      <c r="AJ37" s="55"/>
      <c r="AK37" s="56"/>
      <c r="AL37" s="56"/>
      <c r="AM37" s="34"/>
      <c r="AN37" s="55"/>
      <c r="AO37" s="64"/>
      <c r="AP37" s="58" t="str">
        <f t="shared" si="6"/>
        <v>Naburalsom s. r. o. auto-moto, &amp;#32vsetky kategorie  971 01 Prievidza Spolocnost sa zaobera predovsetkym maloobchodnym a velkoobchodnym predajom automobilovych suciastok, a to prostrednictvom internetoveho predaja cez weby www.naburalsom.sk a www.autodielyshop.sk. Odberatelom je na 90 % koncovy zakaznik. Zamestnavanim znevyhodnenych uchadzacov o zamestnanie. Naburalsom s.r.o. RSP Ponukame autodoplnky a autopotreby. autodoplnky, autopotreby, autodiely           </v>
      </c>
      <c r="AQ37" s="37"/>
    </row>
    <row r="38" ht="15.75" customHeight="1">
      <c r="A38" s="43"/>
      <c r="B38" s="59">
        <v>37.0</v>
      </c>
      <c r="C38" s="78" t="s">
        <v>484</v>
      </c>
      <c r="D38" s="41" t="s">
        <v>66</v>
      </c>
      <c r="E38" s="38" t="str">
        <f t="shared" si="1"/>
        <v>Žilinský kraj, &amp;#32celé Slovensko</v>
      </c>
      <c r="F38" s="42" t="s">
        <v>485</v>
      </c>
      <c r="G38" s="38" t="str">
        <f t="shared" si="2"/>
        <v>dom a záhrada, nábytok a bytové doplnky, &amp;#32všetky kategórie</v>
      </c>
      <c r="H38" s="42" t="s">
        <v>96</v>
      </c>
      <c r="I38" s="43" t="str">
        <f t="shared" si="3"/>
        <v>6 - 10, &amp;#32všetky možnosti</v>
      </c>
      <c r="J38" s="44" t="str">
        <f t="shared" si="7"/>
        <v>,Register partnerov VS,Náhradné plnenie</v>
      </c>
      <c r="K38" s="45">
        <f t="shared" si="5"/>
        <v>5710.020658</v>
      </c>
      <c r="L38" s="43"/>
      <c r="M38" s="43" t="str">
        <f>IFERROR(__xludf.DUMMYFUNCTION("SPLIT(O38,"","")"),"Svätoplukova 3230/5")</f>
        <v>Svätoplukova 3230/5</v>
      </c>
      <c r="N38" s="43" t="str">
        <f>IFERROR(__xludf.DUMMYFUNCTION("""COMPUTED_VALUE""")," 010 01 Žilina")</f>
        <v> 010 01 Žilina</v>
      </c>
      <c r="O38" s="42" t="s">
        <v>486</v>
      </c>
      <c r="P38" s="43">
        <v>49.2060417</v>
      </c>
      <c r="Q38" s="43">
        <v>18.7465654</v>
      </c>
      <c r="R38" s="46" t="s">
        <v>487</v>
      </c>
      <c r="S38" s="47" t="s">
        <v>488</v>
      </c>
      <c r="T38" s="63" t="s">
        <v>86</v>
      </c>
      <c r="U38" s="61" t="s">
        <v>489</v>
      </c>
      <c r="V38" s="50" t="s">
        <v>479</v>
      </c>
      <c r="W38" s="55" t="s">
        <v>480</v>
      </c>
      <c r="X38" s="54" t="s">
        <v>490</v>
      </c>
      <c r="Y38" s="46" t="s">
        <v>491</v>
      </c>
      <c r="Z38" s="53" t="s">
        <v>492</v>
      </c>
      <c r="AA38" s="52" t="s">
        <v>64</v>
      </c>
      <c r="AB38" s="55"/>
      <c r="AC38" s="56"/>
      <c r="AD38" s="56"/>
      <c r="AE38" s="55"/>
      <c r="AF38" s="55"/>
      <c r="AG38" s="56"/>
      <c r="AH38" s="56"/>
      <c r="AI38" s="55"/>
      <c r="AJ38" s="55"/>
      <c r="AK38" s="56"/>
      <c r="AL38" s="56"/>
      <c r="AM38" s="47"/>
      <c r="AN38" s="62" t="s">
        <v>39</v>
      </c>
      <c r="AO38" s="57" t="s">
        <v>40</v>
      </c>
      <c r="AP38" s="58" t="str">
        <f t="shared" si="6"/>
        <v>WMS, s. r. o. dom a zahrada, nabytok a bytove doplnky, &amp;#32vsetky kategorie  010 01 Zilina Venujeme sa najma prevadzkovaniu internetoveho obchodu. Tovary a sluzby su ponukane
prostrednictvom online predaja na webstranke www.ZdriemniSi.sk.
Nase produkty: matrace, podlozky, doplnky do spalne. Zamestnanost znevyhodnenych a zranitelnych osob. WMS s.r.o. Ponukame matrace, podlozky, doplnky do spalne. matrace, podlozky, doplnky do spalne           Register partnerov VS</v>
      </c>
      <c r="AQ38" s="37"/>
    </row>
    <row r="39" ht="15.75" customHeight="1">
      <c r="A39" s="43"/>
      <c r="B39" s="59">
        <v>38.0</v>
      </c>
      <c r="C39" s="78" t="s">
        <v>493</v>
      </c>
      <c r="D39" s="41" t="s">
        <v>134</v>
      </c>
      <c r="E39" s="38" t="str">
        <f t="shared" si="1"/>
        <v>Trenčiansky kraj, &amp;#32celé Slovensko</v>
      </c>
      <c r="F39" s="42" t="s">
        <v>494</v>
      </c>
      <c r="G39" s="38" t="str">
        <f t="shared" si="2"/>
        <v>čistiace a upratovacie služby, pre deti, &amp;#32všetky kategórie</v>
      </c>
      <c r="H39" s="42" t="s">
        <v>82</v>
      </c>
      <c r="I39" s="43" t="str">
        <f t="shared" si="3"/>
        <v>11 - 15, &amp;#32všetky možnosti</v>
      </c>
      <c r="J39" s="44" t="str">
        <f t="shared" si="7"/>
        <v>,Register partnerov VS,Náhradné plnenie</v>
      </c>
      <c r="K39" s="45">
        <f t="shared" si="5"/>
        <v>24364.8346</v>
      </c>
      <c r="L39" s="43"/>
      <c r="M39" s="43" t="str">
        <f>IFERROR(__xludf.DUMMYFUNCTION("SPLIT(O39,"","")"),"Diviacka Nová Ves 124")</f>
        <v>Diviacka Nová Ves 124</v>
      </c>
      <c r="N39" s="43" t="str">
        <f>IFERROR(__xludf.DUMMYFUNCTION("""COMPUTED_VALUE""")," 972 24 Diviacka Nová Ves")</f>
        <v> 972 24 Diviacka Nová Ves</v>
      </c>
      <c r="O39" s="42" t="s">
        <v>495</v>
      </c>
      <c r="P39" s="43">
        <v>48.7465901</v>
      </c>
      <c r="Q39" s="43">
        <v>18.4949179</v>
      </c>
      <c r="R39" s="46" t="s">
        <v>496</v>
      </c>
      <c r="S39" s="47" t="s">
        <v>488</v>
      </c>
      <c r="T39" s="63" t="s">
        <v>86</v>
      </c>
      <c r="U39" s="61" t="s">
        <v>497</v>
      </c>
      <c r="V39" s="50" t="s">
        <v>479</v>
      </c>
      <c r="W39" s="55" t="s">
        <v>498</v>
      </c>
      <c r="X39" s="54" t="s">
        <v>499</v>
      </c>
      <c r="Y39" s="46" t="s">
        <v>500</v>
      </c>
      <c r="Z39" s="53" t="s">
        <v>501</v>
      </c>
      <c r="AA39" s="52" t="s">
        <v>64</v>
      </c>
      <c r="AB39" s="55"/>
      <c r="AC39" s="56"/>
      <c r="AD39" s="56"/>
      <c r="AE39" s="55"/>
      <c r="AF39" s="55"/>
      <c r="AG39" s="56"/>
      <c r="AH39" s="56"/>
      <c r="AI39" s="55"/>
      <c r="AJ39" s="55"/>
      <c r="AK39" s="56"/>
      <c r="AL39" s="56"/>
      <c r="AM39" s="47"/>
      <c r="AN39" s="62" t="s">
        <v>39</v>
      </c>
      <c r="AO39" s="57" t="s">
        <v>40</v>
      </c>
      <c r="AP39" s="58" t="str">
        <f t="shared" si="6"/>
        <v>SINO, o. z., r. s. p. cistiace a upratovacie sluzby, pre deti, &amp;#32vsetky kategorie  972 24 Diviacka Nova Ves Vykonavame upratovacie sluzby, sluzby opatrovania deti v domacnosti, rozne ine sluzby. Zamestnanost znevyhodnenych a zranitelnych osob. SINO o.z. RSP Vykonavame upratovacie sluzby a opatrovanie deti v domacom prostredi. upratovanie, upratovacie sluzby, opatrovanie deti v domacom prostredi, babysitting           Register partnerov VS</v>
      </c>
      <c r="AQ39" s="37"/>
    </row>
    <row r="40" ht="15.75" customHeight="1">
      <c r="A40" s="43"/>
      <c r="B40" s="59">
        <v>39.0</v>
      </c>
      <c r="C40" s="79" t="s">
        <v>502</v>
      </c>
      <c r="D40" s="80" t="s">
        <v>218</v>
      </c>
      <c r="E40" s="38" t="str">
        <f t="shared" si="1"/>
        <v>Košický kraj, &amp;#32celé Slovensko</v>
      </c>
      <c r="F40" s="80" t="s">
        <v>503</v>
      </c>
      <c r="G40" s="38" t="str">
        <f t="shared" si="2"/>
        <v>ubytovacie a stravovacie služby, potraviny a nápoje, &amp;#32všetky kategórie</v>
      </c>
      <c r="H40" s="80" t="s">
        <v>170</v>
      </c>
      <c r="I40" s="43" t="str">
        <f t="shared" si="3"/>
        <v>21 a viac, &amp;#32všetky možnosti</v>
      </c>
      <c r="J40" s="44" t="str">
        <f t="shared" si="7"/>
        <v>,,Náhradné plnenie</v>
      </c>
      <c r="K40" s="45">
        <f t="shared" si="5"/>
        <v>41265.77169</v>
      </c>
      <c r="L40" s="43"/>
      <c r="M40" s="43" t="str">
        <f>IFERROR(__xludf.DUMMYFUNCTION("SPLIT(O40,"","")"),"Honce 121")</f>
        <v>Honce 121</v>
      </c>
      <c r="N40" s="43" t="str">
        <f>IFERROR(__xludf.DUMMYFUNCTION("""COMPUTED_VALUE""")," 049 32 Honce")</f>
        <v> 049 32 Honce</v>
      </c>
      <c r="O40" s="80" t="s">
        <v>504</v>
      </c>
      <c r="P40" s="81">
        <v>48.66795</v>
      </c>
      <c r="Q40" s="81">
        <v>20.40546</v>
      </c>
      <c r="R40" s="82" t="s">
        <v>505</v>
      </c>
      <c r="S40" s="83" t="s">
        <v>506</v>
      </c>
      <c r="T40" s="63" t="s">
        <v>86</v>
      </c>
      <c r="U40" s="61" t="s">
        <v>507</v>
      </c>
      <c r="V40" s="84" t="s">
        <v>508</v>
      </c>
      <c r="W40" s="85" t="s">
        <v>509</v>
      </c>
      <c r="X40" s="85" t="s">
        <v>510</v>
      </c>
      <c r="Y40" s="82" t="s">
        <v>511</v>
      </c>
      <c r="Z40" s="86" t="s">
        <v>512</v>
      </c>
      <c r="AA40" s="87" t="s">
        <v>129</v>
      </c>
      <c r="AB40" s="85" t="s">
        <v>513</v>
      </c>
      <c r="AC40" s="82" t="s">
        <v>514</v>
      </c>
      <c r="AD40" s="56"/>
      <c r="AE40" s="73" t="s">
        <v>129</v>
      </c>
      <c r="AF40" s="85" t="s">
        <v>515</v>
      </c>
      <c r="AG40" s="82" t="s">
        <v>516</v>
      </c>
      <c r="AH40" s="56"/>
      <c r="AI40" s="55"/>
      <c r="AJ40" s="55"/>
      <c r="AK40" s="56"/>
      <c r="AL40" s="56"/>
      <c r="AM40" s="85"/>
      <c r="AN40" s="88"/>
      <c r="AO40" s="57" t="s">
        <v>40</v>
      </c>
      <c r="AP40" s="58" t="str">
        <f t="shared" si="6"/>
        <v>FAUSTULUS, s. r. o. ubytovacie a stravovacie sluzby, potraviny a napoje, &amp;#32vsetky kategorie  049 32 Honce Ako RSP prevadzkujeme 3 prevadzky. Prva je Deaf kebab Roznava - rychle obcerstvenie zamerane najma na KEBAB, druha - Deaf KEBAB a PIZZA Revuca - nejde len o rychle obcerstvenie, ale o plnohodnotnu restauraciu. V obidvoch spominanych prevadzkach ponukame prijemne posedenie pri chutnom jedle, mame utulne interierove priestory, krasne letne terasy a interierove detske ihriska, aby sa rodicia mohli v klude najest a deticky vysantit. A tretia prevadzka je  Pohostinstvo u seseda Sklabina - male pohostinstvo v obci Sklabina. Nase podnikanie sme zacali ako chranena dielna, v ktorej pracovali nepocujuci zamestnanci. Neskor sme prijali aj zamestnancov s inym zdravotnym postihnutim a dnes zamestnavame znevyhodnene aj zranitelne osoby. V priemere mame cca 70% prave takychto zamestnancov, cim nadmieru splname dosahovanie pozitivneho socialneho vplyvu. Deaf kebab Roznava Predaj rychleho obcerstvenia, najma kebabu. Pekna utulna restauracia s dvomi terasami, detskym interierovym ihriskom a aj donaskovou sluzbou. restauracia, rychle obcerstvenie, kebab, pizza, jedlo Deaf KEBAB a PIZZA Revuca Restauracia zamerana na predaj kebabu, pizze, denneho menu. Utulny interier, velka letna terasa, detsky kutik pre rodiny s detskym interierovym ihriskom a aj s donaskovou sluzbou.  Pohostinstvo u SUSEDA Male utulne dedinske pohostinstvo s fajciarskou aj nefajciarskou castou a s letnou terasou.      </v>
      </c>
      <c r="AQ40" s="37"/>
    </row>
    <row r="41" ht="15.75" customHeight="1">
      <c r="A41" s="43"/>
      <c r="B41" s="59">
        <v>40.0</v>
      </c>
      <c r="C41" s="78" t="s">
        <v>517</v>
      </c>
      <c r="D41" s="41" t="s">
        <v>181</v>
      </c>
      <c r="E41" s="38" t="str">
        <f t="shared" si="1"/>
        <v>Banskobystrický kraj, &amp;#32celé Slovensko</v>
      </c>
      <c r="F41" s="42" t="s">
        <v>518</v>
      </c>
      <c r="G41" s="38" t="str">
        <f t="shared" si="2"/>
        <v>kultúra a šport, odevy a obuv, bižutéria a darčekové predmety, &amp;#32všetky kategórie</v>
      </c>
      <c r="H41" s="42" t="s">
        <v>96</v>
      </c>
      <c r="I41" s="43" t="str">
        <f t="shared" si="3"/>
        <v>6 - 10, &amp;#32všetky možnosti</v>
      </c>
      <c r="J41" s="44" t="str">
        <f t="shared" si="7"/>
        <v>,Register partnerov VS,</v>
      </c>
      <c r="K41" s="45">
        <f t="shared" si="5"/>
        <v>40938.16246</v>
      </c>
      <c r="L41" s="43"/>
      <c r="M41" s="43" t="str">
        <f>IFERROR(__xludf.DUMMYFUNCTION("SPLIT(O41,"","")"),"Záhradná 933/3A")</f>
        <v>Záhradná 933/3A</v>
      </c>
      <c r="N41" s="43" t="str">
        <f>IFERROR(__xludf.DUMMYFUNCTION("""COMPUTED_VALUE""")," 962 12 Detva")</f>
        <v> 962 12 Detva</v>
      </c>
      <c r="O41" s="42" t="s">
        <v>519</v>
      </c>
      <c r="P41" s="43">
        <v>48.5416581</v>
      </c>
      <c r="Q41" s="43">
        <v>19.4046866</v>
      </c>
      <c r="R41" s="46" t="s">
        <v>520</v>
      </c>
      <c r="S41" s="47" t="s">
        <v>521</v>
      </c>
      <c r="T41" s="63" t="s">
        <v>522</v>
      </c>
      <c r="U41" s="61" t="s">
        <v>523</v>
      </c>
      <c r="V41" s="50" t="s">
        <v>524</v>
      </c>
      <c r="W41" s="55" t="s">
        <v>525</v>
      </c>
      <c r="X41" s="54" t="s">
        <v>526</v>
      </c>
      <c r="Y41" s="46" t="s">
        <v>527</v>
      </c>
      <c r="Z41" s="53" t="s">
        <v>528</v>
      </c>
      <c r="AA41" s="52" t="s">
        <v>64</v>
      </c>
      <c r="AB41" s="55"/>
      <c r="AC41" s="56"/>
      <c r="AD41" s="56"/>
      <c r="AE41" s="55"/>
      <c r="AF41" s="55"/>
      <c r="AG41" s="56"/>
      <c r="AH41" s="56"/>
      <c r="AI41" s="55"/>
      <c r="AJ41" s="55"/>
      <c r="AK41" s="56"/>
      <c r="AL41" s="56"/>
      <c r="AM41" s="47"/>
      <c r="AN41" s="62" t="s">
        <v>39</v>
      </c>
      <c r="AO41" s="64"/>
      <c r="AP41" s="58" t="str">
        <f t="shared" si="6"/>
        <v>Slovenske ludove umenie - Helena Fekiacova s. r. o. kultura a sport, odevy a obuv, bizuteria a darcekove predmety, &amp;#32vsetky kategorie  962 12 Detva Zaoberame sa vyrobou a predajom ludovo-umeleckych vyrobkov. Venujeme sa tiez vyrobe ludovych sucasti , etno mody, ludovych doplnkov a v neposlednom rade aj liturgickych odevov a doplnkov. Nas registrovany socialny podnik zamestnava zdravotne znevyhodnene osoby a osoby, ktore si dlhodobo nemozu najst pracu. Slovenske ludove umenie - Helena Fekiacova s.r.o. Zaoberame sa vyrobou a predajom ludovo-umeleckych vyrobkov, ludovych krojov, ludovych doplnkov, etno mody a liturgickych textilii. ludove kroje, etno moda, liturgicke textilie, ludove doplnky           Register partnerov VS</v>
      </c>
      <c r="AQ41" s="37"/>
    </row>
    <row r="42" ht="15.75" customHeight="1">
      <c r="A42" s="43"/>
      <c r="B42" s="59">
        <v>41.0</v>
      </c>
      <c r="C42" s="78" t="s">
        <v>529</v>
      </c>
      <c r="D42" s="41" t="s">
        <v>94</v>
      </c>
      <c r="E42" s="38" t="str">
        <f t="shared" si="1"/>
        <v>Bratislavský kraj, &amp;#32celé Slovensko</v>
      </c>
      <c r="F42" s="42" t="s">
        <v>244</v>
      </c>
      <c r="G42" s="38" t="str">
        <f t="shared" si="2"/>
        <v>potraviny a nápoje, &amp;#32všetky kategórie</v>
      </c>
      <c r="H42" s="42" t="s">
        <v>53</v>
      </c>
      <c r="I42" s="43" t="str">
        <f t="shared" si="3"/>
        <v>1 - 5, &amp;#32všetky možnosti</v>
      </c>
      <c r="J42" s="44" t="str">
        <f t="shared" si="7"/>
        <v>,,Náhradné plnenie</v>
      </c>
      <c r="K42" s="45">
        <f t="shared" si="5"/>
        <v>30214.83146</v>
      </c>
      <c r="L42" s="43"/>
      <c r="M42" s="43" t="str">
        <f>IFERROR(__xludf.DUMMYFUNCTION("SPLIT(O42,"","")"),"Račianska 1509/31")</f>
        <v>Račianska 1509/31</v>
      </c>
      <c r="N42" s="43" t="str">
        <f>IFERROR(__xludf.DUMMYFUNCTION("""COMPUTED_VALUE""")," 831 02 Bratislava")</f>
        <v> 831 02 Bratislava</v>
      </c>
      <c r="O42" s="42" t="s">
        <v>530</v>
      </c>
      <c r="P42" s="43">
        <v>48.1617195</v>
      </c>
      <c r="Q42" s="43">
        <v>17.1233805</v>
      </c>
      <c r="R42" s="46" t="s">
        <v>531</v>
      </c>
      <c r="S42" s="47" t="s">
        <v>532</v>
      </c>
      <c r="T42" s="63" t="s">
        <v>533</v>
      </c>
      <c r="U42" s="61" t="s">
        <v>534</v>
      </c>
      <c r="V42" s="50" t="s">
        <v>535</v>
      </c>
      <c r="W42" s="55" t="s">
        <v>536</v>
      </c>
      <c r="X42" s="54" t="s">
        <v>537</v>
      </c>
      <c r="Y42" s="46" t="s">
        <v>538</v>
      </c>
      <c r="Z42" s="53" t="s">
        <v>539</v>
      </c>
      <c r="AA42" s="52" t="s">
        <v>64</v>
      </c>
      <c r="AB42" s="55"/>
      <c r="AC42" s="56"/>
      <c r="AD42" s="56"/>
      <c r="AE42" s="55"/>
      <c r="AF42" s="55"/>
      <c r="AG42" s="56"/>
      <c r="AH42" s="56"/>
      <c r="AI42" s="55"/>
      <c r="AJ42" s="55"/>
      <c r="AK42" s="56"/>
      <c r="AL42" s="56"/>
      <c r="AM42" s="34"/>
      <c r="AN42" s="55"/>
      <c r="AO42" s="57" t="s">
        <v>40</v>
      </c>
      <c r="AP42" s="58" t="str">
        <f t="shared" si="6"/>
        <v>Cacaofe s. r. o. potraviny a napoje, &amp;#32vsetky kategorie  831 02 Bratislava Cacaofe s.r.o. je mensia firma, ktora pod znackou Kakaw Co+ dovaza 
a distribuuje premiove kakao a kakaove produkty z Latinskej Ameriky 
na Slovensko uz od roku 2018.
Tento rok sa splnila aj druha cast sna a stali sme sa socialnym 
podnikom s vlastnou integracnou baliarnou, v ktorej sa tazsie 
zamestnatelni ludia ucia pracovnym navykom, zodpovednosti 
a sebadovere.
 Spolocnost prispieva k dosahovaniu pozitivneho socialneho vplyvu poskytovanim spolocensky prospesnej sluzby v oblasti zamestnanosti, a to zamestnavanim znevyhodnenych a/alebo zranitelnych osob. Tieto si tak osvoja pracovne navyky a ziskaju nove zrucnosti pre vykon povolania, co zvysi sance na ich opatovne spolocenske zaclenenie beruc do uvahy ich novonadobudnutu mieru financnej autonomie a samostatnosti, sebadovery ci schopnosti fungovat v prostredi pracovneho kolektivu. Uvedene bude mat na osoby pozitivny socialny vplyv. Dojde k odstraneniu vylucenia tychto osob a k ich zacleneniu z okraja spolocnosti do realneho zivota. Kakaw Co+ Ponukame vyber toho najchutnejsieho, najzdravsieho 
a najzaujimavejsieho odrodoveho kakaa, cokolady a vyrobkov z nich, co sme ochutnali a spoznali v Latinskej Amerike. 
Tieto produkty pochadzaju z indianskych komunit, ktore pouzivaju 
kakao uz tisicky rokov a v minulosti ho povazovali za jedlo Bohov, urcene len pre vyvolenych. odrodove kakao, kava, cokolada, susene ovocie, kakaove snacks, produkty na pripravu kakaovych a cokoladovych napojov           </v>
      </c>
      <c r="AQ42" s="37"/>
    </row>
    <row r="43" ht="15.75" customHeight="1">
      <c r="A43" s="43"/>
      <c r="B43" s="59">
        <v>42.0</v>
      </c>
      <c r="C43" s="78" t="s">
        <v>540</v>
      </c>
      <c r="D43" s="41" t="s">
        <v>229</v>
      </c>
      <c r="E43" s="38" t="str">
        <f t="shared" si="1"/>
        <v>Nitriansky kraj, &amp;#32celé Slovensko</v>
      </c>
      <c r="F43" s="42" t="s">
        <v>244</v>
      </c>
      <c r="G43" s="38" t="str">
        <f t="shared" si="2"/>
        <v>potraviny a nápoje, &amp;#32všetky kategórie</v>
      </c>
      <c r="H43" s="42" t="s">
        <v>53</v>
      </c>
      <c r="I43" s="43" t="str">
        <f t="shared" si="3"/>
        <v>1 - 5, &amp;#32všetky možnosti</v>
      </c>
      <c r="J43" s="44" t="str">
        <f t="shared" si="7"/>
        <v>,Register partnerov VS,</v>
      </c>
      <c r="K43" s="45">
        <f t="shared" si="5"/>
        <v>18956.60946</v>
      </c>
      <c r="L43" s="43"/>
      <c r="M43" s="43" t="str">
        <f>IFERROR(__xludf.DUMMYFUNCTION("SPLIT(O43,"","")"),"Čeľadince 3")</f>
        <v>Čeľadince 3</v>
      </c>
      <c r="N43" s="43" t="str">
        <f>IFERROR(__xludf.DUMMYFUNCTION("""COMPUTED_VALUE""")," 956 16 Čeľadince")</f>
        <v> 956 16 Čeľadince</v>
      </c>
      <c r="O43" s="42" t="s">
        <v>541</v>
      </c>
      <c r="P43" s="43">
        <v>48.5099445</v>
      </c>
      <c r="Q43" s="43">
        <v>18.1712845</v>
      </c>
      <c r="R43" s="46" t="s">
        <v>542</v>
      </c>
      <c r="S43" s="47" t="s">
        <v>543</v>
      </c>
      <c r="T43" s="63" t="s">
        <v>544</v>
      </c>
      <c r="U43" s="61" t="s">
        <v>545</v>
      </c>
      <c r="V43" s="50" t="s">
        <v>546</v>
      </c>
      <c r="W43" s="55" t="s">
        <v>547</v>
      </c>
      <c r="X43" s="54" t="s">
        <v>548</v>
      </c>
      <c r="Y43" s="46" t="s">
        <v>542</v>
      </c>
      <c r="Z43" s="53" t="s">
        <v>549</v>
      </c>
      <c r="AA43" s="52" t="s">
        <v>64</v>
      </c>
      <c r="AB43" s="55"/>
      <c r="AC43" s="56"/>
      <c r="AD43" s="56"/>
      <c r="AE43" s="55"/>
      <c r="AF43" s="55"/>
      <c r="AG43" s="56"/>
      <c r="AH43" s="56"/>
      <c r="AI43" s="55"/>
      <c r="AJ43" s="55"/>
      <c r="AK43" s="56"/>
      <c r="AL43" s="56"/>
      <c r="AM43" s="47"/>
      <c r="AN43" s="62" t="s">
        <v>39</v>
      </c>
      <c r="AO43" s="64"/>
      <c r="AP43" s="58" t="str">
        <f t="shared" si="6"/>
        <v>Cevas s. r. o. potraviny a napoje, &amp;#32vsetky kategorie  956 16 Celadince Vyrabame a ponukame domace cestoviny. Integrujeme zdravotne a socialne znevyhodnenych zamestnancov do pracovneho procesu a poskytujeme sluzby zdravotne a socialne znevyhodnenym spoluobcanom. Cevas s. r. .o. Vyrabame a ponukame domace cestoviny. cestoviny, gastro, slize           Register partnerov VS</v>
      </c>
      <c r="AQ43" s="37"/>
    </row>
    <row r="44" ht="15.75" customHeight="1">
      <c r="A44" s="43"/>
      <c r="B44" s="59">
        <v>43.0</v>
      </c>
      <c r="C44" s="78" t="s">
        <v>550</v>
      </c>
      <c r="D44" s="41" t="s">
        <v>218</v>
      </c>
      <c r="E44" s="38" t="str">
        <f t="shared" si="1"/>
        <v>Košický kraj, &amp;#32celé Slovensko</v>
      </c>
      <c r="F44" s="42" t="s">
        <v>551</v>
      </c>
      <c r="G44" s="38" t="str">
        <f t="shared" si="2"/>
        <v>dom a záhrada, stavebníctvo, kultúra a šport, odevy a obuv, nábytok a bytové doplnky, bižutéria a darčekové predmety, kovovýroba, &amp;#32všetky kategórie</v>
      </c>
      <c r="H44" s="42" t="s">
        <v>82</v>
      </c>
      <c r="I44" s="43" t="str">
        <f t="shared" si="3"/>
        <v>11 - 15, &amp;#32všetky možnosti</v>
      </c>
      <c r="J44" s="44" t="str">
        <f t="shared" si="7"/>
        <v>,,Náhradné plnenie</v>
      </c>
      <c r="K44" s="45">
        <f t="shared" si="5"/>
        <v>31523.23259</v>
      </c>
      <c r="L44" s="43"/>
      <c r="M44" s="43" t="str">
        <f>IFERROR(__xludf.DUMMYFUNCTION("SPLIT(O44,"","")"),"Oľšavská 24")</f>
        <v>Oľšavská 24</v>
      </c>
      <c r="N44" s="43" t="str">
        <f>IFERROR(__xludf.DUMMYFUNCTION("""COMPUTED_VALUE""")," 044 24 Poproč")</f>
        <v> 044 24 Poproč</v>
      </c>
      <c r="O44" s="42" t="s">
        <v>552</v>
      </c>
      <c r="P44" s="43">
        <v>48.7146392</v>
      </c>
      <c r="Q44" s="43">
        <v>20.9807251</v>
      </c>
      <c r="R44" s="46" t="s">
        <v>553</v>
      </c>
      <c r="S44" s="47" t="s">
        <v>554</v>
      </c>
      <c r="T44" s="63" t="s">
        <v>555</v>
      </c>
      <c r="U44" s="61" t="s">
        <v>556</v>
      </c>
      <c r="V44" s="50" t="s">
        <v>557</v>
      </c>
      <c r="W44" s="55" t="s">
        <v>558</v>
      </c>
      <c r="X44" s="54" t="s">
        <v>559</v>
      </c>
      <c r="Y44" s="46" t="s">
        <v>560</v>
      </c>
      <c r="Z44" s="53" t="s">
        <v>561</v>
      </c>
      <c r="AA44" s="52" t="s">
        <v>64</v>
      </c>
      <c r="AB44" s="55"/>
      <c r="AC44" s="56"/>
      <c r="AD44" s="56"/>
      <c r="AE44" s="55"/>
      <c r="AF44" s="55"/>
      <c r="AG44" s="56"/>
      <c r="AH44" s="56"/>
      <c r="AI44" s="55"/>
      <c r="AJ44" s="55"/>
      <c r="AK44" s="56"/>
      <c r="AL44" s="56"/>
      <c r="AM44" s="34"/>
      <c r="AN44" s="55"/>
      <c r="AO44" s="57" t="s">
        <v>40</v>
      </c>
      <c r="AP44" s="58" t="str">
        <f t="shared" si="6"/>
        <v>Sluzby obce Poproc s. r. o., r. s. p. dom a zahrada, stavebnictvo, kultura a sport, odevy a obuv, nabytok a bytove doplnky, bizuteria a darcekove predmety, kovovyroba, &amp;#32vsetky kategorie  044 24 Poproc Nas socialny podnik aktualne ponuka sluzby krajcirskej a aranzerskej dielne (oprava a sitie odevov, vyroba darcekovych predmetov, ikeban a pod.), sluzby zvaracskej dielne (napr. vyroba plotovych dielcov a pod.), sluzby montazno - stolarskej dielne, stavebne prace (oprava a udrzba budov - interier, exterier, napr. montaz podlah, sadrokartonove podhlady a priecky, obklady stien, stavby oploteni, chodniky a spevnenie ploch...), sluzby treningoveho centra - skupinove a individualne treningy na ziskanie pohybovych navykov na podporu zdraveho zivotneho stylu. Zamestnavananim znevyhodenych osob. Sluzby obce Poproc s.r.o., r.s.p. Krajcirska a aranzerska dielna (oprava odevov, sitie na zakazku, darcekove predmety, ikebany, vyzdoba na slavnostne prilezitosti), montazno- stolarska dielna (drevovyroba), zvaracska dielna, stavebne prace, treningove centrum. stavebne prace, kovovyroba, drevovyroba, kosenie, ikebany, ruska, darcekove predmety, odevy, cvicenie           </v>
      </c>
      <c r="AQ44" s="37"/>
    </row>
    <row r="45" ht="15.75" customHeight="1">
      <c r="A45" s="43"/>
      <c r="B45" s="59">
        <v>44.0</v>
      </c>
      <c r="C45" s="78" t="s">
        <v>562</v>
      </c>
      <c r="D45" s="41" t="s">
        <v>229</v>
      </c>
      <c r="E45" s="38" t="str">
        <f t="shared" si="1"/>
        <v>Nitriansky kraj, &amp;#32celé Slovensko</v>
      </c>
      <c r="F45" s="42" t="s">
        <v>244</v>
      </c>
      <c r="G45" s="38" t="str">
        <f t="shared" si="2"/>
        <v>potraviny a nápoje, &amp;#32všetky kategórie</v>
      </c>
      <c r="H45" s="42" t="s">
        <v>53</v>
      </c>
      <c r="I45" s="43" t="str">
        <f t="shared" si="3"/>
        <v>1 - 5, &amp;#32všetky možnosti</v>
      </c>
      <c r="J45" s="44" t="str">
        <f t="shared" si="7"/>
        <v>,,</v>
      </c>
      <c r="K45" s="45">
        <f t="shared" si="5"/>
        <v>11508.43418</v>
      </c>
      <c r="L45" s="43"/>
      <c r="M45" s="43" t="str">
        <f>IFERROR(__xludf.DUMMYFUNCTION("SPLIT(O45,"","")"),"Horné Semerovce 146")</f>
        <v>Horné Semerovce 146</v>
      </c>
      <c r="N45" s="43" t="str">
        <f>IFERROR(__xludf.DUMMYFUNCTION("""COMPUTED_VALUE""")," 935 84 Horné Semerovce")</f>
        <v> 935 84 Horné Semerovce</v>
      </c>
      <c r="O45" s="42" t="s">
        <v>563</v>
      </c>
      <c r="P45" s="43">
        <v>48.1260749</v>
      </c>
      <c r="Q45" s="43">
        <v>18.8797638</v>
      </c>
      <c r="R45" s="46" t="s">
        <v>564</v>
      </c>
      <c r="S45" s="47" t="s">
        <v>565</v>
      </c>
      <c r="T45" s="63" t="s">
        <v>86</v>
      </c>
      <c r="U45" s="61" t="s">
        <v>566</v>
      </c>
      <c r="V45" s="50" t="s">
        <v>567</v>
      </c>
      <c r="W45" s="55" t="s">
        <v>568</v>
      </c>
      <c r="X45" s="54" t="s">
        <v>569</v>
      </c>
      <c r="Y45" s="46" t="s">
        <v>570</v>
      </c>
      <c r="Z45" s="53" t="s">
        <v>571</v>
      </c>
      <c r="AA45" s="52" t="s">
        <v>64</v>
      </c>
      <c r="AB45" s="55"/>
      <c r="AC45" s="56"/>
      <c r="AD45" s="56"/>
      <c r="AE45" s="55"/>
      <c r="AF45" s="55"/>
      <c r="AG45" s="56"/>
      <c r="AH45" s="56"/>
      <c r="AI45" s="55"/>
      <c r="AJ45" s="55"/>
      <c r="AK45" s="56"/>
      <c r="AL45" s="56"/>
      <c r="AM45" s="34"/>
      <c r="AN45" s="55"/>
      <c r="AO45" s="64"/>
      <c r="AP45" s="58" t="str">
        <f t="shared" si="6"/>
        <v>ABB Group, spol. s r. o. potraviny a napoje, &amp;#32vsetky kategorie  935 84 Horne Semerovce Regionalne vyrobky Zamestnavame znevyhodnene a zranitelne osoby, predavame regionalne vyrobky. Potraviny rozlicny tovar Predavame regionalne hand made vyrobky.  regionalne vyrobky, hand made           </v>
      </c>
      <c r="AQ45" s="37"/>
    </row>
    <row r="46" ht="15.75" customHeight="1">
      <c r="A46" s="43"/>
      <c r="B46" s="59">
        <v>45.0</v>
      </c>
      <c r="C46" s="78" t="s">
        <v>572</v>
      </c>
      <c r="D46" s="41" t="s">
        <v>229</v>
      </c>
      <c r="E46" s="38" t="str">
        <f t="shared" si="1"/>
        <v>Nitriansky kraj, &amp;#32celé Slovensko</v>
      </c>
      <c r="F46" s="42" t="s">
        <v>573</v>
      </c>
      <c r="G46" s="38" t="str">
        <f t="shared" si="2"/>
        <v>čistiace a upratovacie služby, iné (tovary a služby), &amp;#32všetky kategórie</v>
      </c>
      <c r="H46" s="42" t="s">
        <v>96</v>
      </c>
      <c r="I46" s="43" t="str">
        <f t="shared" si="3"/>
        <v>6 - 10, &amp;#32všetky možnosti</v>
      </c>
      <c r="J46" s="44" t="str">
        <f t="shared" si="7"/>
        <v>,,Náhradné plnenie</v>
      </c>
      <c r="K46" s="45">
        <f t="shared" si="5"/>
        <v>38297.43952</v>
      </c>
      <c r="L46" s="43"/>
      <c r="M46" s="43" t="str">
        <f>IFERROR(__xludf.DUMMYFUNCTION("SPLIT(O46,"","")"),"Bernolákova 175/66")</f>
        <v>Bernolákova 175/66</v>
      </c>
      <c r="N46" s="43" t="str">
        <f>IFERROR(__xludf.DUMMYFUNCTION("""COMPUTED_VALUE""")," 953 01 Zlaté Moravce")</f>
        <v> 953 01 Zlaté Moravce</v>
      </c>
      <c r="O46" s="42" t="s">
        <v>574</v>
      </c>
      <c r="P46" s="43">
        <v>48.3873316</v>
      </c>
      <c r="Q46" s="43">
        <v>18.4016064</v>
      </c>
      <c r="R46" s="46" t="s">
        <v>575</v>
      </c>
      <c r="S46" s="47" t="s">
        <v>576</v>
      </c>
      <c r="T46" s="63" t="s">
        <v>86</v>
      </c>
      <c r="U46" s="61" t="s">
        <v>577</v>
      </c>
      <c r="V46" s="50" t="s">
        <v>578</v>
      </c>
      <c r="W46" s="55" t="s">
        <v>579</v>
      </c>
      <c r="X46" s="54" t="s">
        <v>580</v>
      </c>
      <c r="Y46" s="46" t="s">
        <v>581</v>
      </c>
      <c r="Z46" s="53" t="s">
        <v>582</v>
      </c>
      <c r="AA46" s="52" t="s">
        <v>64</v>
      </c>
      <c r="AB46" s="55"/>
      <c r="AC46" s="56"/>
      <c r="AD46" s="56"/>
      <c r="AE46" s="55"/>
      <c r="AF46" s="55"/>
      <c r="AG46" s="56"/>
      <c r="AH46" s="56"/>
      <c r="AI46" s="55"/>
      <c r="AJ46" s="55"/>
      <c r="AK46" s="56"/>
      <c r="AL46" s="56"/>
      <c r="AM46" s="34"/>
      <c r="AN46" s="55"/>
      <c r="AO46" s="57" t="s">
        <v>40</v>
      </c>
      <c r="AP46" s="58" t="str">
        <f t="shared" si="6"/>
        <v>MARION ZM s. r. o. cistiace a upratovacie sluzby, ine (tovary a sluzby), &amp;#32vsetky kategorie  953 01 Zlate Moravce Firma MARION ZM s.r.o. RSP ponuka pracie a cistiace sluzby pre obyvatelstvo, firmy, skoly, hotely, motely, obecne urady. Zameriavame sa hlavne na kvalitu ponukanych sluzieb, ale nasi zakaznici velmi ocenuju vyhotovenie zakazky v kratkom case bez priplatku. Hlavnym cielom spolocnosti ako verejnoprospesneho podniku je dosahovanie materialneho pozitivneho socialneho vplyvu v oblasti poskytovania sluzieb. Pozitivny socialny vplyv verejnoprospesneho podniku sa prejavuje podporou zamestnanosti prostrednictvom zamestnavania znevyhodnenych a zranitelnych osob. Pracovna, manglovna MARION ZM s.r.o. Prevadzkovanie pracovne a cistiarne. pracovna, manglovna, zehlenie           </v>
      </c>
      <c r="AQ46" s="37"/>
    </row>
    <row r="47" ht="15.75" customHeight="1">
      <c r="A47" s="43"/>
      <c r="B47" s="59">
        <v>46.0</v>
      </c>
      <c r="C47" s="78" t="s">
        <v>583</v>
      </c>
      <c r="D47" s="41" t="s">
        <v>51</v>
      </c>
      <c r="E47" s="38" t="str">
        <f t="shared" si="1"/>
        <v>Prešovský kraj, &amp;#32celé Slovensko</v>
      </c>
      <c r="F47" s="42" t="s">
        <v>584</v>
      </c>
      <c r="G47" s="38" t="str">
        <f t="shared" si="2"/>
        <v>stavebníctvo, doprava, &amp;#32všetky kategórie</v>
      </c>
      <c r="H47" s="42" t="s">
        <v>82</v>
      </c>
      <c r="I47" s="43" t="str">
        <f t="shared" si="3"/>
        <v>11 - 15, &amp;#32všetky možnosti</v>
      </c>
      <c r="J47" s="44" t="str">
        <f t="shared" si="7"/>
        <v>,Register partnerov VS,Náhradné plnenie</v>
      </c>
      <c r="K47" s="45">
        <f t="shared" si="5"/>
        <v>25624.763</v>
      </c>
      <c r="L47" s="43"/>
      <c r="M47" s="43" t="str">
        <f>IFERROR(__xludf.DUMMYFUNCTION("SPLIT(O47,"","")"),"Probstnerova cesta 9")</f>
        <v>Probstnerova cesta 9</v>
      </c>
      <c r="N47" s="43" t="str">
        <f>IFERROR(__xludf.DUMMYFUNCTION("""COMPUTED_VALUE""")," 054 01 Levoča")</f>
        <v> 054 01 Levoča</v>
      </c>
      <c r="O47" s="42" t="s">
        <v>585</v>
      </c>
      <c r="P47" s="43">
        <v>49.0207334</v>
      </c>
      <c r="Q47" s="43">
        <v>20.5846235</v>
      </c>
      <c r="R47" s="46" t="s">
        <v>586</v>
      </c>
      <c r="S47" s="47" t="s">
        <v>587</v>
      </c>
      <c r="T47" s="63" t="s">
        <v>86</v>
      </c>
      <c r="U47" s="61" t="s">
        <v>588</v>
      </c>
      <c r="V47" s="66" t="s">
        <v>589</v>
      </c>
      <c r="W47" s="55" t="s">
        <v>590</v>
      </c>
      <c r="X47" s="54" t="s">
        <v>583</v>
      </c>
      <c r="Y47" s="46" t="s">
        <v>591</v>
      </c>
      <c r="Z47" s="53" t="s">
        <v>592</v>
      </c>
      <c r="AA47" s="52" t="s">
        <v>64</v>
      </c>
      <c r="AB47" s="55"/>
      <c r="AC47" s="56"/>
      <c r="AD47" s="56"/>
      <c r="AE47" s="55"/>
      <c r="AF47" s="55"/>
      <c r="AG47" s="56"/>
      <c r="AH47" s="56"/>
      <c r="AI47" s="55"/>
      <c r="AJ47" s="55"/>
      <c r="AK47" s="56"/>
      <c r="AL47" s="56"/>
      <c r="AM47" s="47"/>
      <c r="AN47" s="62" t="s">
        <v>39</v>
      </c>
      <c r="AO47" s="57" t="s">
        <v>40</v>
      </c>
      <c r="AP47" s="58" t="str">
        <f t="shared" si="6"/>
        <v>Socialny podnik mesta Levoca, s.r.o., r.s.p. stavebnictvo, doprava, &amp;#32vsetky kategorie  054 01 Levoca Ponukame svojim zakaznikom stavebnu cinnost. Zamestnavame ludi, ktori sa na trhu prace tazko zamestnaju - zamestnavanie znevyhodnenych osob. Socialny podnik mesta Levoca, s.r.o., r.s.p. Stavebna cinnost, nakladna cestna doprava s celkovou hmotnostou do 3,5 t, prenajom hnutelnych veci. murarstvo, izolaterstvo, pripravne prace k realizacii stavby, stavba, stavby, prestavba, prestavby, nakladna cestna doprava vozidlami s celkovou hmotnostou do 3,5 t, pripojne vozidlo           Register partnerov VS</v>
      </c>
      <c r="AQ47" s="37"/>
    </row>
    <row r="48" ht="15.75" customHeight="1">
      <c r="A48" s="43"/>
      <c r="B48" s="59">
        <v>47.0</v>
      </c>
      <c r="C48" s="78" t="s">
        <v>593</v>
      </c>
      <c r="D48" s="41" t="s">
        <v>134</v>
      </c>
      <c r="E48" s="38" t="str">
        <f t="shared" si="1"/>
        <v>Trenčiansky kraj, &amp;#32celé Slovensko</v>
      </c>
      <c r="F48" s="42" t="s">
        <v>594</v>
      </c>
      <c r="G48" s="38" t="str">
        <f t="shared" si="2"/>
        <v>odevy a obuv, ochrana a bezpečnosť, &amp;#32všetky kategórie</v>
      </c>
      <c r="H48" s="42" t="s">
        <v>170</v>
      </c>
      <c r="I48" s="43" t="str">
        <f t="shared" si="3"/>
        <v>21 a viac, &amp;#32všetky možnosti</v>
      </c>
      <c r="J48" s="44" t="str">
        <f t="shared" si="7"/>
        <v>,Register partnerov VS,Náhradné plnenie</v>
      </c>
      <c r="K48" s="45">
        <f t="shared" si="5"/>
        <v>31206.21834</v>
      </c>
      <c r="L48" s="43"/>
      <c r="M48" s="43" t="str">
        <f>IFERROR(__xludf.DUMMYFUNCTION("SPLIT(O48,"","")"),"Dolná Mariková 551")</f>
        <v>Dolná Mariková 551</v>
      </c>
      <c r="N48" s="43" t="str">
        <f>IFERROR(__xludf.DUMMYFUNCTION("""COMPUTED_VALUE""")," 018 02 Dolná Mariková")</f>
        <v> 018 02 Dolná Mariková</v>
      </c>
      <c r="O48" s="42" t="s">
        <v>595</v>
      </c>
      <c r="P48" s="43">
        <v>49.2081595999999</v>
      </c>
      <c r="Q48" s="43">
        <v>18.3562136</v>
      </c>
      <c r="R48" s="46" t="s">
        <v>596</v>
      </c>
      <c r="S48" s="47" t="s">
        <v>597</v>
      </c>
      <c r="T48" s="63" t="s">
        <v>598</v>
      </c>
      <c r="U48" s="61" t="s">
        <v>599</v>
      </c>
      <c r="V48" s="50" t="s">
        <v>600</v>
      </c>
      <c r="W48" s="55" t="s">
        <v>601</v>
      </c>
      <c r="X48" s="54" t="s">
        <v>602</v>
      </c>
      <c r="Y48" s="46" t="s">
        <v>603</v>
      </c>
      <c r="Z48" s="53" t="s">
        <v>604</v>
      </c>
      <c r="AA48" s="52" t="s">
        <v>64</v>
      </c>
      <c r="AB48" s="55"/>
      <c r="AC48" s="56"/>
      <c r="AD48" s="56"/>
      <c r="AE48" s="55"/>
      <c r="AF48" s="55"/>
      <c r="AG48" s="56"/>
      <c r="AH48" s="56"/>
      <c r="AI48" s="55"/>
      <c r="AJ48" s="55"/>
      <c r="AK48" s="56"/>
      <c r="AL48" s="56"/>
      <c r="AM48" s="47"/>
      <c r="AN48" s="62" t="s">
        <v>39</v>
      </c>
      <c r="AO48" s="57" t="s">
        <v>40</v>
      </c>
      <c r="AP48" s="58" t="str">
        <f t="shared" si="6"/>
        <v>E L S T R O T E , spol. s r.o. odevy a obuv, ochrana a bezpecnost, &amp;#32vsetky kategorie  018 02 Dolna Marikova V nasej ponuke je vyroba zdravotnej, pracovnej a turistickej obuvi, predaj ochrannych pracovnych prostriedkov (velkoobchod, maloobchod,internetovy predaj); nasi zakaznici su vyrobne podniky, obchodne firmy, nemocnice, gastrosluzby, skoly, agropotreby, drobne prevadzky a sluzby, atd. Zamestnavame ciastocne invalidnych a zdravotne znevyhodnenych pracovnikov. ELSTROTE spo. s r.o. Vyroba pracovnej, zdravotnej a turistickej obuvi, velkoobchod a maloobchod s ochrannymi pracovnymi pomockami, internetovy predaj. pracovna obuv, pracovne odevy, pracovne rukavice, ochranne pracovne prostriedky, drogeria, maska, postroj, filter, respirator, lano, prilba, karabina, ruksak, opasok           Register partnerov VS</v>
      </c>
      <c r="AQ48" s="37"/>
    </row>
    <row r="49" ht="15.75" customHeight="1">
      <c r="A49" s="43"/>
      <c r="B49" s="59">
        <v>48.0</v>
      </c>
      <c r="C49" s="78" t="s">
        <v>605</v>
      </c>
      <c r="D49" s="41" t="s">
        <v>66</v>
      </c>
      <c r="E49" s="38" t="str">
        <f t="shared" si="1"/>
        <v>Žilinský kraj, &amp;#32celé Slovensko</v>
      </c>
      <c r="F49" s="42" t="s">
        <v>606</v>
      </c>
      <c r="G49" s="38" t="str">
        <f t="shared" si="2"/>
        <v>reklama, odevy a obuv, &amp;#32všetky kategórie</v>
      </c>
      <c r="H49" s="42" t="s">
        <v>96</v>
      </c>
      <c r="I49" s="43" t="str">
        <f t="shared" si="3"/>
        <v>6 - 10, &amp;#32všetky možnosti</v>
      </c>
      <c r="J49" s="44" t="str">
        <f t="shared" si="7"/>
        <v>,Register partnerov VS,Náhradné plnenie</v>
      </c>
      <c r="K49" s="45">
        <f t="shared" si="5"/>
        <v>35692.20729</v>
      </c>
      <c r="L49" s="43"/>
      <c r="M49" s="43" t="str">
        <f>IFERROR(__xludf.DUMMYFUNCTION("SPLIT(O49,"","")"),"Za Havlovci 1814")</f>
        <v>Za Havlovci 1814</v>
      </c>
      <c r="N49" s="43" t="str">
        <f>IFERROR(__xludf.DUMMYFUNCTION("""COMPUTED_VALUE""")," 031 01 Liptovský Mikuláš")</f>
        <v> 031 01 Liptovský Mikuláš</v>
      </c>
      <c r="O49" s="42" t="s">
        <v>607</v>
      </c>
      <c r="P49" s="43">
        <v>49.075872</v>
      </c>
      <c r="Q49" s="43">
        <v>19.6191847</v>
      </c>
      <c r="R49" s="46" t="s">
        <v>608</v>
      </c>
      <c r="S49" s="47" t="s">
        <v>609</v>
      </c>
      <c r="T49" s="63" t="s">
        <v>610</v>
      </c>
      <c r="U49" s="61" t="s">
        <v>611</v>
      </c>
      <c r="V49" s="50" t="s">
        <v>612</v>
      </c>
      <c r="W49" s="55" t="s">
        <v>613</v>
      </c>
      <c r="X49" s="54" t="s">
        <v>614</v>
      </c>
      <c r="Y49" s="46" t="s">
        <v>615</v>
      </c>
      <c r="Z49" s="53" t="s">
        <v>616</v>
      </c>
      <c r="AA49" s="52" t="s">
        <v>64</v>
      </c>
      <c r="AB49" s="55"/>
      <c r="AC49" s="56"/>
      <c r="AD49" s="56"/>
      <c r="AE49" s="55"/>
      <c r="AF49" s="55"/>
      <c r="AG49" s="56"/>
      <c r="AH49" s="56"/>
      <c r="AI49" s="55"/>
      <c r="AJ49" s="55"/>
      <c r="AK49" s="56"/>
      <c r="AL49" s="56"/>
      <c r="AM49" s="47"/>
      <c r="AN49" s="62" t="s">
        <v>39</v>
      </c>
      <c r="AO49" s="57" t="s">
        <v>40</v>
      </c>
      <c r="AP49" s="58" t="str">
        <f t="shared" si="6"/>
        <v>IPATEX, s. r. o. reklama, odevy a obuv, &amp;#32vsetky kategorie  031 01 Liptovsky Mikulas Ponukame strojove vysivanie na rozny textil, potlace na textil, sublimacnu tlac - vyrobu sportovych dresov, potlac na reklamne predmety Zamestnavame ZTP IPATEX, s.r.o. Vysivanie, potlace na textil, sublimacna tlac textilu, potlac reklamnych predmetov vysivky, nasivky, vlajky a vlajocky, folklorne vysivky, potlac textilu, rusko, vyroba dresov, bufky, fan sale, reklamne predmety, klucenky, privesky, odznaky, pera, hrnceky, dazdniky...           Register partnerov VS</v>
      </c>
      <c r="AQ49" s="37"/>
    </row>
    <row r="50" ht="15.75" customHeight="1">
      <c r="A50" s="43"/>
      <c r="B50" s="59">
        <v>49.0</v>
      </c>
      <c r="C50" s="78" t="s">
        <v>617</v>
      </c>
      <c r="D50" s="41" t="s">
        <v>134</v>
      </c>
      <c r="E50" s="38" t="str">
        <f t="shared" si="1"/>
        <v>Trenčiansky kraj, &amp;#32celé Slovensko</v>
      </c>
      <c r="F50" s="42" t="s">
        <v>618</v>
      </c>
      <c r="G50" s="38" t="str">
        <f t="shared" si="2"/>
        <v>stavebníctvo, dom a záhrada, iné (tovary a služby), &amp;#32všetky kategórie</v>
      </c>
      <c r="H50" s="42" t="s">
        <v>53</v>
      </c>
      <c r="I50" s="43" t="str">
        <f t="shared" si="3"/>
        <v>1 - 5, &amp;#32všetky možnosti</v>
      </c>
      <c r="J50" s="44" t="str">
        <f t="shared" si="7"/>
        <v>,,Náhradné plnenie</v>
      </c>
      <c r="K50" s="45">
        <f t="shared" si="5"/>
        <v>15438.76324</v>
      </c>
      <c r="L50" s="43"/>
      <c r="M50" s="43" t="str">
        <f>IFERROR(__xludf.DUMMYFUNCTION("SPLIT(O50,"","")"),"Šútovce 39")</f>
        <v>Šútovce 39</v>
      </c>
      <c r="N50" s="43" t="str">
        <f>IFERROR(__xludf.DUMMYFUNCTION("""COMPUTED_VALUE""")," 972 02 Šútovce")</f>
        <v> 972 02 Šútovce</v>
      </c>
      <c r="O50" s="42" t="s">
        <v>619</v>
      </c>
      <c r="P50" s="43">
        <v>48.803306</v>
      </c>
      <c r="Q50" s="43">
        <v>18.5369853</v>
      </c>
      <c r="R50" s="46" t="s">
        <v>620</v>
      </c>
      <c r="S50" s="47" t="s">
        <v>621</v>
      </c>
      <c r="T50" s="63" t="s">
        <v>86</v>
      </c>
      <c r="U50" s="61" t="s">
        <v>622</v>
      </c>
      <c r="V50" s="66" t="s">
        <v>623</v>
      </c>
      <c r="W50" s="55" t="s">
        <v>624</v>
      </c>
      <c r="X50" s="54" t="s">
        <v>617</v>
      </c>
      <c r="Y50" s="46" t="s">
        <v>625</v>
      </c>
      <c r="Z50" s="53" t="s">
        <v>626</v>
      </c>
      <c r="AA50" s="52" t="s">
        <v>64</v>
      </c>
      <c r="AB50" s="55"/>
      <c r="AC50" s="56"/>
      <c r="AD50" s="56"/>
      <c r="AE50" s="55"/>
      <c r="AF50" s="55"/>
      <c r="AG50" s="56"/>
      <c r="AH50" s="56"/>
      <c r="AI50" s="55"/>
      <c r="AJ50" s="55"/>
      <c r="AK50" s="56"/>
      <c r="AL50" s="56"/>
      <c r="AM50" s="34"/>
      <c r="AN50" s="55"/>
      <c r="AO50" s="57" t="s">
        <v>40</v>
      </c>
      <c r="AP50" s="58" t="str">
        <f t="shared" si="6"/>
        <v>OBECNY PODNIK SUTOVCE s.r.o. stavebnictvo, dom a zahrada, ine (tovary a sluzby), &amp;#32vsetky kategorie  972 02 Sutovce Podnikatelska aktivita socialneho podniku vychadza z potreby drobnych jednoduchych udrziavacich prac, z realizacie vystavby investicnych zamerov obce, z potreby udrzania cistoty a poriadku v obci a z dopytu obcanov po zabezpeceni pomoci pri celorocnej a sezonnej udrzbe svojich nehnutelnosti. Prostrednictvom realizovanych sluzieb podniku su uspokojovane potreby nielen obcanov, ale aj obce. Na vykon podnikatelskych aktivit je vyuzivany majetok obce – komunalna technika, pripadne remeselne naradie a pracovne pomocky. Sluzby, ktore su predmetom cinnosti socialneho podniku, su dostupne vsetkym obcanom obce bez rozdielu. Obcania mozu svoje objednavky nahlasovat priamo pracovnikom. Cela hospodarska cinnost je prevazne uskutocnovana na uzemi obce Sutovce pre obcanov obce. Pristup k sluzbam je pre obcanov jednoduchy, ceny za poskytovane sluzby su nastavene na primeranu hladinu, ktoru su obcania – prijimatelia sluzieb - schopni akceptovat. Obec ma zabezpecenu pravidelnu udrzbu a starostlivost o svoj majetok a o bytove domy, bez potreby rozsirenia spoluprace v oblasti spravcovstva bytovych domov. OBECNY PODNIK SUTOVCE s.r.o. Podnikatelska aktivita socialneho podniku vychadza z potreby drobnych jednoduchych udrziavacich prac, z realizacie vystavby investicnych zamerov obce, z potreby udrzania cistoty a poriadku v obci a z dopytu obcanov po zabezpeceni pomoci pri celorocnej a sezonnej udrzbe svojich nehnutelnosti. Prostrednictvom realizovanych sluzieb podniku budu uspokojovane potreby nielen obcanov, ale aj obce. Na vykon podnikatelskych aktivit bude vyuzivany majetok obce – komunalna technika, pripadne remeselne naradie a pracovne pomocky. stavebna cinnost, cistota v obci, sezonna udrzba nehnutelnosti, opravy v dome           </v>
      </c>
      <c r="AQ50" s="37"/>
    </row>
    <row r="51" ht="15.75" customHeight="1">
      <c r="A51" s="43"/>
      <c r="B51" s="59">
        <v>50.0</v>
      </c>
      <c r="C51" s="78" t="s">
        <v>627</v>
      </c>
      <c r="D51" s="41" t="s">
        <v>134</v>
      </c>
      <c r="E51" s="38" t="str">
        <f t="shared" si="1"/>
        <v>Trenčiansky kraj, &amp;#32celé Slovensko</v>
      </c>
      <c r="F51" s="42" t="s">
        <v>628</v>
      </c>
      <c r="G51" s="38" t="str">
        <f t="shared" si="2"/>
        <v>počítačová a kancelárska technika, &amp;#32všetky kategórie</v>
      </c>
      <c r="H51" s="42" t="s">
        <v>96</v>
      </c>
      <c r="I51" s="43" t="str">
        <f t="shared" si="3"/>
        <v>6 - 10, &amp;#32všetky možnosti</v>
      </c>
      <c r="J51" s="44" t="str">
        <f t="shared" si="7"/>
        <v>,Register partnerov VS,Náhradné plnenie</v>
      </c>
      <c r="K51" s="45">
        <f t="shared" si="5"/>
        <v>26704.92753</v>
      </c>
      <c r="L51" s="43"/>
      <c r="M51" s="43" t="str">
        <f>IFERROR(__xludf.DUMMYFUNCTION("SPLIT(O51,"","")"),"Nedožerská cesta 2")</f>
        <v>Nedožerská cesta 2</v>
      </c>
      <c r="N51" s="43" t="str">
        <f>IFERROR(__xludf.DUMMYFUNCTION("""COMPUTED_VALUE""")," 971 01 Prievidza")</f>
        <v> 971 01 Prievidza</v>
      </c>
      <c r="O51" s="42" t="s">
        <v>629</v>
      </c>
      <c r="P51" s="43">
        <v>48.7799963</v>
      </c>
      <c r="Q51" s="43">
        <v>18.6279792</v>
      </c>
      <c r="R51" s="46" t="s">
        <v>630</v>
      </c>
      <c r="S51" s="47" t="s">
        <v>465</v>
      </c>
      <c r="T51" s="63" t="s">
        <v>631</v>
      </c>
      <c r="U51" s="61" t="s">
        <v>632</v>
      </c>
      <c r="V51" s="50" t="s">
        <v>633</v>
      </c>
      <c r="W51" s="55" t="s">
        <v>634</v>
      </c>
      <c r="X51" s="54" t="s">
        <v>635</v>
      </c>
      <c r="Y51" s="46" t="s">
        <v>636</v>
      </c>
      <c r="Z51" s="53" t="s">
        <v>637</v>
      </c>
      <c r="AA51" s="52" t="s">
        <v>64</v>
      </c>
      <c r="AB51" s="55"/>
      <c r="AC51" s="56"/>
      <c r="AD51" s="56"/>
      <c r="AE51" s="55"/>
      <c r="AF51" s="55"/>
      <c r="AG51" s="56"/>
      <c r="AH51" s="56"/>
      <c r="AI51" s="55"/>
      <c r="AJ51" s="55"/>
      <c r="AK51" s="56"/>
      <c r="AL51" s="56"/>
      <c r="AM51" s="47"/>
      <c r="AN51" s="62" t="s">
        <v>39</v>
      </c>
      <c r="AO51" s="57" t="s">
        <v>40</v>
      </c>
      <c r="AP51" s="58" t="str">
        <f t="shared" si="6"/>
        <v>CHANGE COMPUTER s.r.o. pocitacova a kancelarska technika, &amp;#32vsetky kategorie  971 01 Prievidza Predaj a servis vypoctovej techniky a prislusenstva. Zamestnavame zdravotne znevyhodnene osoby. CHANGE COMPUTER Predaj a servis vypoctovej techniky. Vypoctova technika, pocitace, notebooky, IT prislusenstvo, servis IT, kancelarska technika. PC tasky, batohy, repasovanie, cartridge, toner           Register partnerov VS</v>
      </c>
      <c r="AQ51" s="37"/>
    </row>
    <row r="52" ht="15.75" customHeight="1">
      <c r="A52" s="43"/>
      <c r="B52" s="59">
        <v>51.0</v>
      </c>
      <c r="C52" s="78" t="s">
        <v>638</v>
      </c>
      <c r="D52" s="41" t="s">
        <v>66</v>
      </c>
      <c r="E52" s="38" t="str">
        <f t="shared" si="1"/>
        <v>Žilinský kraj, &amp;#32celé Slovensko</v>
      </c>
      <c r="F52" s="42" t="s">
        <v>639</v>
      </c>
      <c r="G52" s="38" t="str">
        <f t="shared" si="2"/>
        <v>čistiace a upratovacie služby, dom a záhrada, &amp;#32všetky kategórie</v>
      </c>
      <c r="H52" s="42" t="s">
        <v>53</v>
      </c>
      <c r="I52" s="43" t="str">
        <f t="shared" si="3"/>
        <v>1 - 5, &amp;#32všetky možnosti</v>
      </c>
      <c r="J52" s="44" t="str">
        <f t="shared" si="7"/>
        <v>,,</v>
      </c>
      <c r="K52" s="45">
        <f t="shared" si="5"/>
        <v>22063.80183</v>
      </c>
      <c r="L52" s="43"/>
      <c r="M52" s="43" t="str">
        <f>IFERROR(__xludf.DUMMYFUNCTION("SPLIT(O52,"","")"),"Petra Mendela 1877/15")</f>
        <v>Petra Mendela 1877/15</v>
      </c>
      <c r="N52" s="43" t="str">
        <f>IFERROR(__xludf.DUMMYFUNCTION("""COMPUTED_VALUE""")," 038 53 Turany")</f>
        <v> 038 53 Turany</v>
      </c>
      <c r="O52" s="42" t="s">
        <v>640</v>
      </c>
      <c r="P52" s="43">
        <v>49.1086269</v>
      </c>
      <c r="Q52" s="43">
        <v>19.0435968</v>
      </c>
      <c r="R52" s="46" t="s">
        <v>641</v>
      </c>
      <c r="S52" s="47" t="s">
        <v>642</v>
      </c>
      <c r="T52" s="63" t="s">
        <v>643</v>
      </c>
      <c r="U52" s="61" t="s">
        <v>644</v>
      </c>
      <c r="V52" s="50" t="s">
        <v>645</v>
      </c>
      <c r="W52" s="55" t="s">
        <v>646</v>
      </c>
      <c r="X52" s="54" t="s">
        <v>647</v>
      </c>
      <c r="Y52" s="46" t="s">
        <v>641</v>
      </c>
      <c r="Z52" s="53" t="s">
        <v>648</v>
      </c>
      <c r="AA52" s="52" t="s">
        <v>64</v>
      </c>
      <c r="AB52" s="55"/>
      <c r="AC52" s="56"/>
      <c r="AD52" s="56"/>
      <c r="AE52" s="55"/>
      <c r="AF52" s="55"/>
      <c r="AG52" s="56"/>
      <c r="AH52" s="56"/>
      <c r="AI52" s="55"/>
      <c r="AJ52" s="55"/>
      <c r="AK52" s="56"/>
      <c r="AL52" s="56"/>
      <c r="AM52" s="34"/>
      <c r="AN52" s="55"/>
      <c r="AO52" s="64"/>
      <c r="AP52" s="58" t="str">
        <f t="shared" si="6"/>
        <v>JD Cleaning, s. r. o. cistiace a upratovacie sluzby, dom a zahrada, &amp;#32vsetky kategorie  038 53 Turany Cielom podnikania nasej spolocnosti je poskytovanie vsestrannych sluzieb v oblasti upratovania, udrzby, upravy a skraslovania bytov, domov, ubytovacich zariadeni, penzionov, nebytovych priestorov, firiem, zahrad a ich okolia. Nasou snahou ako socialneho podniku je zaroven aj poskytovanie zamestnania, pracovnych skusenosti, pracovnych zrucnosti a navykov pre zdravotne znevyhodnenych ludi.
Nase upratovacie sluzby su poskytovane velmi sirokemu spektru obyvatelstva. Ponukame ich nielen fyzickym osobam , ale aj ubytovacim zariadeniam. Su vhodne pre apartmany, hotely, hostely, chaty, kulturne domy, byty, nebytove zariadenia, domy, zahrady, ale aj pre osamelych ludi na dochodku a pre ludi s velkym pracovnym zatazenim.  Nasa hlavna propagacia su vsetci nasi spokojni zakaznici. Sme v nemalej miere prospesni pre nasu spolocnost aj okolie, pretoze ludia so zdravotnymi problemami a obmedzeniami maju casto problem zamestnat sa. My zamestnavame prave taketo osoby a ponukame im pracu, uplatnenie a realizaciu na trhu prace. Tym, ze su zaradene do pracovneho procesu, obnovuju si svoje pracovne navyky a sebarealizaciu, cim upevnujeme ich sebavedomie. JD Cleaning, s. r o. Cielom podnikania nasej spolocnosti je poskytovanie vsestrannych sluzieb v oblasti upratovania, udrzby, upravy a skraslovania bytov, domov, ubytovacich zariadeni, penzionov, nebytovych priestorov, firiem, zahrad a ich okolia. Nasou snahou ako socialneho podniku je zaroven aj poskytovanie zamestnania, pracovnych skusenosti, pracovnych zrucnosti a navykov pre zdravotne znevyhodnenych ludi.
Nase upratovacie sluzby su poskytovane velmi sirokemu spektru obyvatelstva. Ponukame ich nielen fyzickym osobam , ale aj ubytovacim zariadeniam. Su vhodne pre apartmany, hotely, hostely, chaty, kulturne domy, byty, nebytove zariadenia, domy, zahrady, ale aj pre osamelych ludi na dochodku a pre ludi s velkym pracovnym zatazenim.  Nasa hlavna propagacia su vsetci nasi spokojni zakaznici. upratovanie, upratovacie sluzby, udrzba, zahradne prace, upratovanie bytovych priestorov,  upratovanie nebytovych priestorov           </v>
      </c>
      <c r="AQ52" s="37"/>
    </row>
    <row r="53" ht="15.75" customHeight="1">
      <c r="A53" s="43"/>
      <c r="B53" s="59">
        <v>52.0</v>
      </c>
      <c r="C53" s="78" t="s">
        <v>649</v>
      </c>
      <c r="D53" s="41" t="s">
        <v>51</v>
      </c>
      <c r="E53" s="38" t="str">
        <f t="shared" si="1"/>
        <v>Prešovský kraj, &amp;#32celé Slovensko</v>
      </c>
      <c r="F53" s="42" t="s">
        <v>108</v>
      </c>
      <c r="G53" s="38" t="str">
        <f t="shared" si="2"/>
        <v>čistiace a upratovacie služby, stavebníctvo, &amp;#32všetky kategórie</v>
      </c>
      <c r="H53" s="42" t="s">
        <v>53</v>
      </c>
      <c r="I53" s="43" t="str">
        <f t="shared" si="3"/>
        <v>1 - 5, &amp;#32všetky možnosti</v>
      </c>
      <c r="J53" s="44" t="str">
        <f t="shared" si="7"/>
        <v>,,</v>
      </c>
      <c r="K53" s="45">
        <f t="shared" si="5"/>
        <v>9043.433554</v>
      </c>
      <c r="L53" s="43"/>
      <c r="M53" s="43" t="str">
        <f>IFERROR(__xludf.DUMMYFUNCTION("SPLIT(O53,"","")"),"Študentská 1458/21")</f>
        <v>Študentská 1458/21</v>
      </c>
      <c r="N53" s="43" t="str">
        <f>IFERROR(__xludf.DUMMYFUNCTION("""COMPUTED_VALUE""")," 069 01 Snina ")</f>
        <v> 069 01 Snina </v>
      </c>
      <c r="O53" s="42" t="s">
        <v>650</v>
      </c>
      <c r="P53" s="43">
        <v>48.9953851</v>
      </c>
      <c r="Q53" s="43">
        <v>22.1604983</v>
      </c>
      <c r="R53" s="46" t="s">
        <v>651</v>
      </c>
      <c r="S53" s="47" t="s">
        <v>652</v>
      </c>
      <c r="T53" s="63" t="s">
        <v>86</v>
      </c>
      <c r="U53" s="61" t="s">
        <v>653</v>
      </c>
      <c r="V53" s="50" t="s">
        <v>654</v>
      </c>
      <c r="W53" s="55" t="s">
        <v>655</v>
      </c>
      <c r="X53" s="54" t="s">
        <v>656</v>
      </c>
      <c r="Y53" s="46" t="s">
        <v>657</v>
      </c>
      <c r="Z53" s="53" t="s">
        <v>658</v>
      </c>
      <c r="AA53" s="52" t="s">
        <v>64</v>
      </c>
      <c r="AB53" s="55"/>
      <c r="AC53" s="56"/>
      <c r="AD53" s="56"/>
      <c r="AE53" s="55"/>
      <c r="AF53" s="55"/>
      <c r="AG53" s="56"/>
      <c r="AH53" s="56"/>
      <c r="AI53" s="55"/>
      <c r="AJ53" s="55"/>
      <c r="AK53" s="56"/>
      <c r="AL53" s="56"/>
      <c r="AM53" s="34"/>
      <c r="AN53" s="55"/>
      <c r="AO53" s="64"/>
      <c r="AP53" s="58" t="str">
        <f t="shared" si="6"/>
        <v>IMUNITAS s. r. o. cistiace a upratovacie sluzby, stavebnictvo, &amp;#32vsetky kategorie  069 01 Snina  Ponukame upratovacie sluzby, stavebne prace. Integrujeme ludi s fyzickym znevyhodnenim do pracovneho procesu. RSP Stavebne prace, upratovacie sluzby. stavebne prace, upratovacie sluzby, upratovanie           </v>
      </c>
      <c r="AQ53" s="37"/>
    </row>
    <row r="54" ht="15.75" customHeight="1">
      <c r="A54" s="43"/>
      <c r="B54" s="59">
        <v>53.0</v>
      </c>
      <c r="C54" s="78" t="s">
        <v>659</v>
      </c>
      <c r="D54" s="41" t="s">
        <v>51</v>
      </c>
      <c r="E54" s="38" t="str">
        <f t="shared" si="1"/>
        <v>Prešovský kraj, &amp;#32celé Slovensko</v>
      </c>
      <c r="F54" s="42" t="s">
        <v>258</v>
      </c>
      <c r="G54" s="38" t="str">
        <f t="shared" si="2"/>
        <v>odevy a obuv, &amp;#32všetky kategórie</v>
      </c>
      <c r="H54" s="42" t="s">
        <v>170</v>
      </c>
      <c r="I54" s="43" t="str">
        <f t="shared" si="3"/>
        <v>21 a viac, &amp;#32všetky možnosti</v>
      </c>
      <c r="J54" s="44" t="str">
        <f t="shared" si="7"/>
        <v>,Register partnerov VS,</v>
      </c>
      <c r="K54" s="45">
        <f t="shared" si="5"/>
        <v>6888.211956</v>
      </c>
      <c r="L54" s="43"/>
      <c r="M54" s="43" t="str">
        <f>IFERROR(__xludf.DUMMYFUNCTION("SPLIT(O54,"","")"),"Duklianska 19")</f>
        <v>Duklianska 19</v>
      </c>
      <c r="N54" s="43" t="str">
        <f>IFERROR(__xludf.DUMMYFUNCTION("""COMPUTED_VALUE""")," 085 01 Bardejov")</f>
        <v> 085 01 Bardejov</v>
      </c>
      <c r="O54" s="42" t="s">
        <v>660</v>
      </c>
      <c r="P54" s="43">
        <v>49.3070353</v>
      </c>
      <c r="Q54" s="43">
        <v>21.2934375</v>
      </c>
      <c r="R54" s="46" t="s">
        <v>661</v>
      </c>
      <c r="S54" s="47" t="s">
        <v>662</v>
      </c>
      <c r="T54" s="63" t="s">
        <v>663</v>
      </c>
      <c r="U54" s="61" t="s">
        <v>664</v>
      </c>
      <c r="V54" s="50" t="s">
        <v>665</v>
      </c>
      <c r="W54" s="55" t="s">
        <v>666</v>
      </c>
      <c r="X54" s="54" t="s">
        <v>667</v>
      </c>
      <c r="Y54" s="46" t="s">
        <v>661</v>
      </c>
      <c r="Z54" s="53" t="s">
        <v>668</v>
      </c>
      <c r="AA54" s="52" t="s">
        <v>64</v>
      </c>
      <c r="AB54" s="55"/>
      <c r="AC54" s="56"/>
      <c r="AD54" s="56"/>
      <c r="AE54" s="55"/>
      <c r="AF54" s="55"/>
      <c r="AG54" s="56"/>
      <c r="AH54" s="56"/>
      <c r="AI54" s="55"/>
      <c r="AJ54" s="55"/>
      <c r="AK54" s="56"/>
      <c r="AL54" s="56"/>
      <c r="AM54" s="47"/>
      <c r="AN54" s="62" t="s">
        <v>39</v>
      </c>
      <c r="AO54" s="64"/>
      <c r="AP54" s="58" t="str">
        <f t="shared" si="6"/>
        <v>JAS Bardejov, s. r. o. odevy a obuv, &amp;#32vsetky kategorie  085 01 Bardejov Vyroba obuvi - robime sijacie a montazne prace pri vyrobe obuvi. Zamestnavame 35 zamestnancov, z toho je 89% znevyhodnenych osob. JAS Bardejov, s.r.o. Vyroba obuvi - robime sijacie a montazne prace pri vyrobe obuvi. vyroba obuvi, sitie a montaz pri vyrobe obuvi           Register partnerov VS</v>
      </c>
      <c r="AQ54" s="37"/>
    </row>
    <row r="55" ht="15.75" customHeight="1">
      <c r="A55" s="43"/>
      <c r="B55" s="59">
        <v>54.0</v>
      </c>
      <c r="C55" s="89" t="s">
        <v>669</v>
      </c>
      <c r="D55" s="41" t="s">
        <v>134</v>
      </c>
      <c r="E55" s="38" t="str">
        <f t="shared" si="1"/>
        <v>Trenčiansky kraj, &amp;#32celé Slovensko</v>
      </c>
      <c r="F55" s="42" t="s">
        <v>670</v>
      </c>
      <c r="G55" s="38" t="str">
        <f t="shared" si="2"/>
        <v>elektro, počítačová a kancelárska technika, iné (tovary a služby), &amp;#32všetky kategórie</v>
      </c>
      <c r="H55" s="42" t="s">
        <v>96</v>
      </c>
      <c r="I55" s="43" t="str">
        <f t="shared" si="3"/>
        <v>6 - 10, &amp;#32všetky možnosti</v>
      </c>
      <c r="J55" s="44" t="str">
        <f t="shared" si="7"/>
        <v>,Register partnerov VS,</v>
      </c>
      <c r="K55" s="45">
        <f t="shared" si="5"/>
        <v>3799.025286</v>
      </c>
      <c r="L55" s="43"/>
      <c r="M55" s="43" t="str">
        <f>IFERROR(__xludf.DUMMYFUNCTION("SPLIT(O55,"","")"),"Vajanského 4")</f>
        <v>Vajanského 4</v>
      </c>
      <c r="N55" s="43" t="str">
        <f>IFERROR(__xludf.DUMMYFUNCTION("""COMPUTED_VALUE""")," 911 01 Trenčín ")</f>
        <v> 911 01 Trenčín </v>
      </c>
      <c r="O55" s="42" t="s">
        <v>671</v>
      </c>
      <c r="P55" s="43">
        <v>48.8937332</v>
      </c>
      <c r="Q55" s="43">
        <v>18.0381107</v>
      </c>
      <c r="R55" s="46" t="s">
        <v>672</v>
      </c>
      <c r="S55" s="47" t="s">
        <v>673</v>
      </c>
      <c r="T55" s="63" t="s">
        <v>674</v>
      </c>
      <c r="U55" s="61" t="s">
        <v>675</v>
      </c>
      <c r="V55" s="50" t="s">
        <v>676</v>
      </c>
      <c r="W55" s="76" t="s">
        <v>677</v>
      </c>
      <c r="X55" s="54" t="s">
        <v>678</v>
      </c>
      <c r="Y55" s="46" t="s">
        <v>679</v>
      </c>
      <c r="Z55" s="53" t="s">
        <v>680</v>
      </c>
      <c r="AA55" s="67" t="s">
        <v>129</v>
      </c>
      <c r="AB55" s="55" t="s">
        <v>681</v>
      </c>
      <c r="AC55" s="56" t="s">
        <v>679</v>
      </c>
      <c r="AD55" s="56" t="s">
        <v>682</v>
      </c>
      <c r="AE55" s="73" t="s">
        <v>129</v>
      </c>
      <c r="AF55" s="55" t="s">
        <v>683</v>
      </c>
      <c r="AG55" s="56" t="s">
        <v>684</v>
      </c>
      <c r="AH55" s="46" t="s">
        <v>685</v>
      </c>
      <c r="AI55" s="90" t="s">
        <v>129</v>
      </c>
      <c r="AJ55" s="91" t="s">
        <v>686</v>
      </c>
      <c r="AK55" s="56" t="s">
        <v>687</v>
      </c>
      <c r="AL55" s="56"/>
      <c r="AM55" s="47"/>
      <c r="AN55" s="62" t="s">
        <v>39</v>
      </c>
      <c r="AO55" s="64"/>
      <c r="AP55" s="58" t="str">
        <f t="shared" si="6"/>
        <v>Error s.r.o. elektro, pocitacova a kancelarska technika, ine (tovary a sluzby), &amp;#32vsetky kategorie  911 01 Trencin  Servis a predaj mobilov, pocitacov a prislusenstva. Opravujeme, zastavujeme, nastavujeme a instalujeme takmer vsetky komunikacne zariadenia informacnych technologii. Robime doplnkove sluzby, poradenstvo a oboznamenie klienta / zakaznika v oblasti IT. Ponukame tiez sluzby Packeta a 4ka . Nase sluzby su pre vsetky vekove kategorie bez ohladu na pohlavie. Vyuzivaju ich fyzicke osoby aj firmy na svoje pracovne, studijne , ochranne, sluzobne i ostatne bezne ucely. Opravujeme a repasujeme zariadenia, cim mame aj priaznivy vplyv na ekologiu. Error IDEA Ilava Ponukame servis a predaj mobilov, pocitacov a prislusenstva; poradenstvo v oblasti IT, sluzby dopravcu Packeta a operatora 4ka. Servis, mobil, mobily, pocitac, pocitace, 4ka, prislusenstvo, kryty, obaly, puzdra, ochranne skla, zasielkovna, packeta, displej, repasovanie, herna konzola Error Prior Trencin Ponukame servis a predaj mobilov, pocitacov a prislusenstva; poradenstvo v oblasti IT, sluzby dopravcu Packeta a operatora 4ka. Servis, mobil, mobily, pocitac, pocitace, 4ka, prislusenstvo, kryty, obaly, puzdra, ochranne skla, zasielkovna, packeta, displej Error Juzanka Trencin Servis a predaj mobilov, pocitacov a prislusenstva, poradenstvo v oblasti IT, sluzby dopravcu Packeta a operatora 4ka. Servis, mobil, mobily, pocitac, pocitace , 4ka , prislusenstvo , kryty, obaly, puzdra, ochranne skla, zasielkovna, packeta, displej,  Error OD Maj Ponukame servis a predaj mobilov, pocitacov a prislusenstva, poradenstvo v oblasti IT, sluzby dopravcu Packeta a operatora 4ka.   Register partnerov VS</v>
      </c>
      <c r="AQ55" s="37"/>
    </row>
    <row r="56" ht="15.75" customHeight="1">
      <c r="A56" s="43"/>
      <c r="B56" s="59">
        <v>55.0</v>
      </c>
      <c r="C56" s="78" t="s">
        <v>688</v>
      </c>
      <c r="D56" s="41" t="s">
        <v>66</v>
      </c>
      <c r="E56" s="38" t="str">
        <f t="shared" si="1"/>
        <v>Žilinský kraj, &amp;#32celé Slovensko</v>
      </c>
      <c r="F56" s="42" t="s">
        <v>689</v>
      </c>
      <c r="G56" s="38" t="str">
        <f t="shared" si="2"/>
        <v>dom a záhrada, stavebníctvo, &amp;#32všetky kategórie</v>
      </c>
      <c r="H56" s="42" t="s">
        <v>68</v>
      </c>
      <c r="I56" s="43" t="str">
        <f t="shared" si="3"/>
        <v>16 - 20, &amp;#32všetky možnosti</v>
      </c>
      <c r="J56" s="44" t="str">
        <f t="shared" si="7"/>
        <v>,Register partnerov VS,Náhradné plnenie</v>
      </c>
      <c r="K56" s="45">
        <f t="shared" si="5"/>
        <v>39334.66944</v>
      </c>
      <c r="L56" s="43"/>
      <c r="M56" s="43" t="str">
        <f>IFERROR(__xludf.DUMMYFUNCTION("SPLIT(O56,"","")"),"Hlavná 136/159")</f>
        <v>Hlavná 136/159</v>
      </c>
      <c r="N56" s="43" t="str">
        <f>IFERROR(__xludf.DUMMYFUNCTION("""COMPUTED_VALUE""")," 013 14 Kamenná Poruba")</f>
        <v> 013 14 Kamenná Poruba</v>
      </c>
      <c r="O56" s="42" t="s">
        <v>690</v>
      </c>
      <c r="P56" s="43">
        <v>49.0889335</v>
      </c>
      <c r="Q56" s="43">
        <v>18.6874985</v>
      </c>
      <c r="R56" s="56" t="s">
        <v>691</v>
      </c>
      <c r="S56" s="69" t="s">
        <v>692</v>
      </c>
      <c r="T56" s="70" t="s">
        <v>86</v>
      </c>
      <c r="U56" s="61" t="s">
        <v>693</v>
      </c>
      <c r="V56" s="50" t="s">
        <v>694</v>
      </c>
      <c r="W56" s="55" t="s">
        <v>695</v>
      </c>
      <c r="X56" s="71" t="s">
        <v>688</v>
      </c>
      <c r="Y56" s="72" t="s">
        <v>696</v>
      </c>
      <c r="Z56" s="53" t="s">
        <v>697</v>
      </c>
      <c r="AA56" s="52" t="s">
        <v>64</v>
      </c>
      <c r="AB56" s="55"/>
      <c r="AC56" s="56"/>
      <c r="AD56" s="56"/>
      <c r="AE56" s="55"/>
      <c r="AF56" s="55"/>
      <c r="AG56" s="56"/>
      <c r="AH56" s="56"/>
      <c r="AI56" s="55"/>
      <c r="AJ56" s="55"/>
      <c r="AK56" s="56"/>
      <c r="AL56" s="56"/>
      <c r="AM56" s="92"/>
      <c r="AN56" s="62" t="s">
        <v>39</v>
      </c>
      <c r="AO56" s="57" t="s">
        <v>40</v>
      </c>
      <c r="AP56" s="58" t="str">
        <f t="shared" si="6"/>
        <v>Porubske sluzby, s.r.o. dom a zahrada, stavebnictvo, &amp;#32vsetky kategorie  013 14 Kamenna Poruba Nasa spolocnost sa venuje najma cinnostiam suvisiacim so spravou a zveladovanim majetku obce, s udrzbou verejnych priestranstiev a tiez sluzbam pre obyvatelstvo, ako su stavebne prace, zemne a buracie prace, cistiace a upratovacie sluzby, zber a triedenie komunalnych odpadov, prevadzka zberneho dvora, udrzba verejnej zelene.                                                                           Vponuke mame stavebne prace, zemne a buracie prace (minibager 3,8 t, Bobcat S650, nakladne auto 12 t s hakovym nosicom kontajnerov) a udrzba zelene (kosacka Kubota G261HD 54, kosacka Alko, krovinorezy, malotraktor s bocnym mulcovacom, vyvetvovacia pila, a i.). Okrem sluzieb pre obec a jej obyvatelov  nasa polocnost prispieva k dosahovaniu pozitivneho socialneho vplyvu poskytovanim spolocensky prospesnej sluzby v oblasti zamestnanosti, a to zamestnavanim zranitelnych osob a/alebo znevyhodnenych osob s cielom ich pracovnej integracie. Chceme posilnit ich pracovne zrucnosti, navyky a zaclenovanie sa do pracovneho kolektivu. Porubske sluzby, s.r.o. Stavebne prace, zemne a buracie prace, udrzba zelene. stavebne prace, zemne a buracie prace, minibager 3,8 t, Bobcat S650, nakladne auto 12 t s hakovym nosicom kontajnerov, udrzba zelene, traktorova kosacka Kubota G261HD 54, kosacka Alko, krovinorezy, malotraktor s bocnym mulcovacom, vyvetvovacia pila, udrzba verejneho priestranstva           Register partnerov VS</v>
      </c>
      <c r="AQ56" s="37"/>
    </row>
    <row r="57" ht="15.75" customHeight="1">
      <c r="A57" s="43"/>
      <c r="B57" s="59">
        <v>56.0</v>
      </c>
      <c r="C57" s="78" t="s">
        <v>698</v>
      </c>
      <c r="D57" s="41" t="s">
        <v>134</v>
      </c>
      <c r="E57" s="38" t="str">
        <f t="shared" si="1"/>
        <v>Trenčiansky kraj, &amp;#32celé Slovensko</v>
      </c>
      <c r="F57" s="42" t="s">
        <v>699</v>
      </c>
      <c r="G57" s="38" t="str">
        <f t="shared" si="2"/>
        <v>auto-moto, iné (tovary a služby), &amp;#32všetky kategórie</v>
      </c>
      <c r="H57" s="42" t="s">
        <v>53</v>
      </c>
      <c r="I57" s="43" t="str">
        <f t="shared" si="3"/>
        <v>1 - 5, &amp;#32všetky možnosti</v>
      </c>
      <c r="J57" s="44" t="str">
        <f t="shared" si="7"/>
        <v>,,</v>
      </c>
      <c r="K57" s="45">
        <f t="shared" si="5"/>
        <v>26796.66808</v>
      </c>
      <c r="L57" s="43"/>
      <c r="M57" s="43" t="str">
        <f>IFERROR(__xludf.DUMMYFUNCTION("SPLIT(O57,"","")"),"Východná 301/40")</f>
        <v>Východná 301/40</v>
      </c>
      <c r="N57" s="43" t="str">
        <f>IFERROR(__xludf.DUMMYFUNCTION("""COMPUTED_VALUE""")," 972 16 Prievidza")</f>
        <v> 972 16 Prievidza</v>
      </c>
      <c r="O57" s="42" t="s">
        <v>700</v>
      </c>
      <c r="P57" s="43">
        <v>48.7686273</v>
      </c>
      <c r="Q57" s="43">
        <v>18.6362586</v>
      </c>
      <c r="R57" s="46" t="s">
        <v>701</v>
      </c>
      <c r="S57" s="69" t="s">
        <v>702</v>
      </c>
      <c r="T57" s="70" t="s">
        <v>703</v>
      </c>
      <c r="U57" s="61" t="s">
        <v>704</v>
      </c>
      <c r="V57" s="50" t="s">
        <v>705</v>
      </c>
      <c r="W57" s="55" t="s">
        <v>706</v>
      </c>
      <c r="X57" s="71" t="s">
        <v>707</v>
      </c>
      <c r="Y57" s="72" t="s">
        <v>708</v>
      </c>
      <c r="Z57" s="53" t="s">
        <v>709</v>
      </c>
      <c r="AA57" s="52" t="s">
        <v>64</v>
      </c>
      <c r="AB57" s="55"/>
      <c r="AC57" s="56"/>
      <c r="AD57" s="56"/>
      <c r="AE57" s="55"/>
      <c r="AF57" s="55"/>
      <c r="AG57" s="56"/>
      <c r="AH57" s="56"/>
      <c r="AI57" s="55"/>
      <c r="AJ57" s="55"/>
      <c r="AK57" s="56"/>
      <c r="AL57" s="56"/>
      <c r="AM57" s="34"/>
      <c r="AN57" s="55"/>
      <c r="AO57" s="64"/>
      <c r="AP57" s="58" t="str">
        <f t="shared" si="6"/>
        <v>Flowie, s. r. o. auto-moto, ine (tovary a sluzby), &amp;#32vsetky kategorie  972 16 Prievidza Ponukame vyrobu a predaj voni do auta a interieru, predaj sviecok, darcekovych predmetov, ponukame darcekove balenia pre firmy a aj pre fyzicke osoby. Nasi pracovnici maju problem zamestnat sa zo zdravotnych dovodov, u nas maju moznost spolocenskeho uplatenia s prihliadnutim na ich zdravotny stav. Flowie s.r.o. Ponukame na predaj vonne sviecky, oleje, aromalampy, vone do auta, difuzery sviecky, vonne sviecky, oleje, aromalampy, vone do auta, difuzery           </v>
      </c>
      <c r="AQ57" s="37"/>
    </row>
    <row r="58" ht="15.75" customHeight="1">
      <c r="A58" s="43"/>
      <c r="B58" s="59">
        <v>57.0</v>
      </c>
      <c r="C58" s="78" t="s">
        <v>710</v>
      </c>
      <c r="D58" s="41" t="s">
        <v>134</v>
      </c>
      <c r="E58" s="38" t="str">
        <f t="shared" si="1"/>
        <v>Trenčiansky kraj, &amp;#32celé Slovensko</v>
      </c>
      <c r="F58" s="42" t="s">
        <v>711</v>
      </c>
      <c r="G58" s="38" t="str">
        <f t="shared" si="2"/>
        <v>stavebníctvo, vzdelávanie, &amp;#32všetky kategórie</v>
      </c>
      <c r="H58" s="42" t="s">
        <v>82</v>
      </c>
      <c r="I58" s="43" t="str">
        <f t="shared" si="3"/>
        <v>11 - 15, &amp;#32všetky možnosti</v>
      </c>
      <c r="J58" s="44" t="str">
        <f t="shared" si="7"/>
        <v>,Register partnerov VS,Náhradné plnenie</v>
      </c>
      <c r="K58" s="45">
        <f t="shared" si="5"/>
        <v>34031.03219</v>
      </c>
      <c r="L58" s="43"/>
      <c r="M58" s="43" t="str">
        <f>IFERROR(__xludf.DUMMYFUNCTION("SPLIT(O58,"","")"),"Železničná 3/A")</f>
        <v>Železničná 3/A</v>
      </c>
      <c r="N58" s="43" t="str">
        <f>IFERROR(__xludf.DUMMYFUNCTION("""COMPUTED_VALUE""")," 915 01 Nové Mesto nad Váhom")</f>
        <v> 915 01 Nové Mesto nad Váhom</v>
      </c>
      <c r="O58" s="42" t="s">
        <v>712</v>
      </c>
      <c r="P58" s="43">
        <v>48.7442717</v>
      </c>
      <c r="Q58" s="43">
        <v>17.8311001</v>
      </c>
      <c r="R58" s="46" t="s">
        <v>713</v>
      </c>
      <c r="S58" s="69" t="s">
        <v>714</v>
      </c>
      <c r="T58" s="70" t="s">
        <v>715</v>
      </c>
      <c r="U58" s="61" t="s">
        <v>716</v>
      </c>
      <c r="V58" s="50" t="s">
        <v>717</v>
      </c>
      <c r="W58" s="55" t="s">
        <v>718</v>
      </c>
      <c r="X58" s="71" t="s">
        <v>719</v>
      </c>
      <c r="Y58" s="72" t="s">
        <v>720</v>
      </c>
      <c r="Z58" s="53" t="s">
        <v>721</v>
      </c>
      <c r="AA58" s="52" t="s">
        <v>64</v>
      </c>
      <c r="AB58" s="55"/>
      <c r="AC58" s="56"/>
      <c r="AD58" s="56"/>
      <c r="AE58" s="55"/>
      <c r="AF58" s="55"/>
      <c r="AG58" s="56"/>
      <c r="AH58" s="56"/>
      <c r="AI58" s="55"/>
      <c r="AJ58" s="55"/>
      <c r="AK58" s="56"/>
      <c r="AL58" s="56"/>
      <c r="AM58" s="47"/>
      <c r="AN58" s="62" t="s">
        <v>39</v>
      </c>
      <c r="AO58" s="57" t="s">
        <v>40</v>
      </c>
      <c r="AP58" s="58" t="str">
        <f t="shared" si="6"/>
        <v>CSA SAMOTY s. r. o. stavebnictvo, vzdelavanie, &amp;#32vsetky kategorie  915 01 Nove Mesto nad Vahom Hlavnou podnikatelskou cinnostou nasej spolocnosti je poskytovat komplexne sluzby v oblasti spravy a udrzby nehnutelnosti.
V spolocnosti CSA SAMOTY s. r. o. ide o integraciu cinnosti v ramci organizacie na zabezpecenie a realizaciu dohodnutych sluzieb, kam patri najma sprava budov, ale aj ostatne sluzby spojene s priestorom a podporou zamestnancov spolocnosti. Dalsimi cinnostami spolocnosti su  pripravne a stavebne prace, ako aj organizovanie vzdelavacich cinnosti zameranych najma na stavebnu a konstrukcnu cinnost. Od 1.1.2021 zamestnavame najma regionalnych spolupracovnikov so znizenou pracovnou schopnostou. CSA SAMOTY s.r.o. Nasou viziou v oblasti facility manazmentu je podpora rastu spolocnosti, znizenie prevadzkovych (rezijnych) nakladov, znizenie rizik suvisiacich s prenajmom priestorov u externych partnerov a rozvoj dlhodobej udrzatelnosti nasho podnikania zameraneho na meratelny pozitivny socialny vplyv v regione. facility manazment, stavebne prace, sprava budov, vzdelavanie pre stavebne a konstrukcne prace           Register partnerov VS</v>
      </c>
      <c r="AQ58" s="37"/>
    </row>
    <row r="59" ht="15.75" customHeight="1">
      <c r="A59" s="43"/>
      <c r="B59" s="59">
        <v>58.0</v>
      </c>
      <c r="C59" s="78" t="s">
        <v>722</v>
      </c>
      <c r="D59" s="41" t="s">
        <v>51</v>
      </c>
      <c r="E59" s="38" t="str">
        <f t="shared" si="1"/>
        <v>Prešovský kraj, &amp;#32celé Slovensko</v>
      </c>
      <c r="F59" s="42" t="s">
        <v>723</v>
      </c>
      <c r="G59" s="38" t="str">
        <f t="shared" si="2"/>
        <v>čistiace a upratovacie služby, &amp;#32všetky kategórie</v>
      </c>
      <c r="H59" s="42" t="s">
        <v>53</v>
      </c>
      <c r="I59" s="43" t="str">
        <f t="shared" si="3"/>
        <v>1 - 5, &amp;#32všetky možnosti</v>
      </c>
      <c r="J59" s="44" t="str">
        <f t="shared" si="7"/>
        <v>,Register partnerov VS,</v>
      </c>
      <c r="K59" s="45">
        <f t="shared" si="5"/>
        <v>4325.91947</v>
      </c>
      <c r="L59" s="43"/>
      <c r="M59" s="43" t="str">
        <f>IFERROR(__xludf.DUMMYFUNCTION("SPLIT(O59,"","")"),"Vyšné Ružbachy 125")</f>
        <v>Vyšné Ružbachy 125</v>
      </c>
      <c r="N59" s="43" t="str">
        <f>IFERROR(__xludf.DUMMYFUNCTION("""COMPUTED_VALUE""")," 065 02 Vyšné Ružbachy")</f>
        <v> 065 02 Vyšné Ružbachy</v>
      </c>
      <c r="O59" s="42" t="s">
        <v>724</v>
      </c>
      <c r="P59" s="43">
        <v>49.3084579999999</v>
      </c>
      <c r="Q59" s="43">
        <v>20.5632523</v>
      </c>
      <c r="R59" s="46" t="s">
        <v>725</v>
      </c>
      <c r="S59" s="69" t="s">
        <v>726</v>
      </c>
      <c r="T59" s="70" t="s">
        <v>86</v>
      </c>
      <c r="U59" s="61" t="s">
        <v>727</v>
      </c>
      <c r="V59" s="50" t="s">
        <v>728</v>
      </c>
      <c r="W59" s="55" t="s">
        <v>729</v>
      </c>
      <c r="X59" s="71" t="s">
        <v>730</v>
      </c>
      <c r="Y59" s="72" t="s">
        <v>731</v>
      </c>
      <c r="Z59" s="53" t="s">
        <v>732</v>
      </c>
      <c r="AA59" s="52" t="s">
        <v>64</v>
      </c>
      <c r="AB59" s="55"/>
      <c r="AC59" s="56"/>
      <c r="AD59" s="56"/>
      <c r="AE59" s="55"/>
      <c r="AF59" s="55"/>
      <c r="AG59" s="56"/>
      <c r="AH59" s="56"/>
      <c r="AI59" s="55"/>
      <c r="AJ59" s="55"/>
      <c r="AK59" s="56"/>
      <c r="AL59" s="56"/>
      <c r="AM59" s="47"/>
      <c r="AN59" s="62" t="s">
        <v>39</v>
      </c>
      <c r="AO59" s="64"/>
      <c r="AP59" s="58" t="str">
        <f t="shared" si="6"/>
        <v>Duha VR s. r. o., r. s. p.  cistiace a upratovacie sluzby, &amp;#32vsetky kategorie  065 02 Vysne Ruzbachy Sme pracovna a cistiaren. Zapajame do pracovneho zivota dlhodobo nezamestnanych a socialne vylucenych. Duha VR s.r.o. Pracovna a cistiaren. pranie, cistenie satstva, zehlenie           Register partnerov VS</v>
      </c>
      <c r="AQ59" s="37"/>
    </row>
    <row r="60" ht="15.75" customHeight="1">
      <c r="A60" s="43"/>
      <c r="B60" s="59">
        <v>59.0</v>
      </c>
      <c r="C60" s="78" t="s">
        <v>733</v>
      </c>
      <c r="D60" s="41" t="s">
        <v>66</v>
      </c>
      <c r="E60" s="38" t="str">
        <f t="shared" si="1"/>
        <v>Žilinský kraj, &amp;#32celé Slovensko</v>
      </c>
      <c r="F60" s="42" t="s">
        <v>734</v>
      </c>
      <c r="G60" s="38" t="str">
        <f t="shared" si="2"/>
        <v>nábytok a bytové doplnky, &amp;#32všetky kategórie</v>
      </c>
      <c r="H60" s="42" t="s">
        <v>96</v>
      </c>
      <c r="I60" s="43" t="str">
        <f t="shared" si="3"/>
        <v>6 - 10, &amp;#32všetky možnosti</v>
      </c>
      <c r="J60" s="44" t="str">
        <f t="shared" si="7"/>
        <v>,,</v>
      </c>
      <c r="K60" s="45">
        <f t="shared" si="5"/>
        <v>26835.54288</v>
      </c>
      <c r="L60" s="43"/>
      <c r="M60" s="43" t="str">
        <f>IFERROR(__xludf.DUMMYFUNCTION("SPLIT(O60,"","")"),"Nákladné nádražie 9739")</f>
        <v>Nákladné nádražie 9739</v>
      </c>
      <c r="N60" s="43" t="str">
        <f>IFERROR(__xludf.DUMMYFUNCTION("""COMPUTED_VALUE""")," 038 61 Martin")</f>
        <v> 038 61 Martin</v>
      </c>
      <c r="O60" s="42" t="s">
        <v>735</v>
      </c>
      <c r="P60" s="43">
        <v>49.1092021</v>
      </c>
      <c r="Q60" s="43">
        <v>18.9381736</v>
      </c>
      <c r="R60" s="46" t="s">
        <v>736</v>
      </c>
      <c r="S60" s="69" t="s">
        <v>737</v>
      </c>
      <c r="T60" s="70" t="s">
        <v>738</v>
      </c>
      <c r="U60" s="61" t="s">
        <v>739</v>
      </c>
      <c r="V60" s="50" t="s">
        <v>740</v>
      </c>
      <c r="W60" s="55" t="s">
        <v>741</v>
      </c>
      <c r="X60" s="71" t="s">
        <v>742</v>
      </c>
      <c r="Y60" s="72" t="s">
        <v>743</v>
      </c>
      <c r="Z60" s="53" t="s">
        <v>744</v>
      </c>
      <c r="AA60" s="52" t="s">
        <v>64</v>
      </c>
      <c r="AB60" s="55"/>
      <c r="AC60" s="56"/>
      <c r="AD60" s="56"/>
      <c r="AE60" s="55"/>
      <c r="AF60" s="55"/>
      <c r="AG60" s="56"/>
      <c r="AH60" s="56"/>
      <c r="AI60" s="55"/>
      <c r="AJ60" s="55"/>
      <c r="AK60" s="56"/>
      <c r="AL60" s="56"/>
      <c r="AM60" s="34"/>
      <c r="AN60" s="55"/>
      <c r="AO60" s="64"/>
      <c r="AP60" s="58" t="str">
        <f t="shared" si="6"/>
        <v>ATYP INTERIER SERVIS, s. r. o., r. s. p. nabytok a bytove doplnky, &amp;#32vsetky kategorie  038 61 Martin Vyrabame nabytok vsetkeho druhu na mieru - kuchyne, skrine, kancelarsky nabytok, rozny dalsi nabytok. Vykonavame sluzby na podporu registrovaneho rozvoja a zamestnanosti. Atyp kuchynske studio Nabytok na mieru, kuchyne, skrine, kancelarsky nabytok a ostatny nabytok. drevovyroba, nabytok na mieru, kuchyne, skrine, kancelarsky nabytok, nabytok           </v>
      </c>
      <c r="AQ60" s="37"/>
    </row>
    <row r="61" ht="15.75" customHeight="1">
      <c r="A61" s="43"/>
      <c r="B61" s="59">
        <v>60.0</v>
      </c>
      <c r="C61" s="78" t="s">
        <v>745</v>
      </c>
      <c r="D61" s="41" t="s">
        <v>134</v>
      </c>
      <c r="E61" s="38" t="str">
        <f t="shared" si="1"/>
        <v>Trenčiansky kraj, &amp;#32celé Slovensko</v>
      </c>
      <c r="F61" s="42" t="s">
        <v>746</v>
      </c>
      <c r="G61" s="38" t="str">
        <f t="shared" si="2"/>
        <v>stavebníctvo, dom a záhrada, iné (tovary a služby), zvieratá, &amp;#32všetky kategórie</v>
      </c>
      <c r="H61" s="42" t="s">
        <v>82</v>
      </c>
      <c r="I61" s="43" t="str">
        <f t="shared" si="3"/>
        <v>11 - 15, &amp;#32všetky možnosti</v>
      </c>
      <c r="J61" s="44" t="str">
        <f t="shared" si="7"/>
        <v>,Register partnerov VS,Náhradné plnenie</v>
      </c>
      <c r="K61" s="45">
        <f t="shared" si="5"/>
        <v>30755.0134</v>
      </c>
      <c r="L61" s="43"/>
      <c r="M61" s="43" t="str">
        <f>IFERROR(__xludf.DUMMYFUNCTION("SPLIT(O61,"","")"),"Na doline 177/5")</f>
        <v>Na doline 177/5</v>
      </c>
      <c r="N61" s="43" t="str">
        <f>IFERROR(__xludf.DUMMYFUNCTION("""COMPUTED_VALUE""")," 916 21 Čachtice ")</f>
        <v> 916 21 Čachtice </v>
      </c>
      <c r="O61" s="42" t="s">
        <v>747</v>
      </c>
      <c r="P61" s="43">
        <v>48.7169473</v>
      </c>
      <c r="Q61" s="43">
        <v>17.7851837</v>
      </c>
      <c r="R61" s="46" t="s">
        <v>748</v>
      </c>
      <c r="S61" s="69" t="s">
        <v>749</v>
      </c>
      <c r="T61" s="70" t="s">
        <v>86</v>
      </c>
      <c r="U61" s="61" t="s">
        <v>750</v>
      </c>
      <c r="V61" s="50" t="s">
        <v>751</v>
      </c>
      <c r="W61" s="55" t="s">
        <v>752</v>
      </c>
      <c r="X61" s="71" t="s">
        <v>745</v>
      </c>
      <c r="Y61" s="72" t="s">
        <v>753</v>
      </c>
      <c r="Z61" s="53" t="s">
        <v>754</v>
      </c>
      <c r="AA61" s="52" t="s">
        <v>64</v>
      </c>
      <c r="AB61" s="55"/>
      <c r="AC61" s="56"/>
      <c r="AD61" s="56"/>
      <c r="AE61" s="55"/>
      <c r="AF61" s="55"/>
      <c r="AG61" s="56"/>
      <c r="AH61" s="56"/>
      <c r="AI61" s="55"/>
      <c r="AJ61" s="55"/>
      <c r="AK61" s="56"/>
      <c r="AL61" s="56"/>
      <c r="AM61" s="47"/>
      <c r="AN61" s="62" t="s">
        <v>39</v>
      </c>
      <c r="AO61" s="57" t="s">
        <v>40</v>
      </c>
      <c r="AP61" s="58" t="str">
        <f t="shared" si="6"/>
        <v>STAVJAM s.r.o. stavebnictvo, dom a zahrada, ine (tovary a sluzby), zvierata, &amp;#32vsetky kategorie  916 21 Cachtice  Ponukame stavebne prace: vystavba a opravy bytov, domov a priemyselnych objektov, vystavba a rekonstrukcie spevnenych ploch, zateplovanie.
Nasa obchodna cinnost: nepotravinovy tovar dennej potreby - drogisticky, papierensky, kuchynsky, farby, hracky, potreby pre zahradu, krmiva pre zvierata. Podporujeme zamestnanost prostrednictvom zamestnavania znevyhodnenych alebo zranitelnych osob. STAVJAM s.r.o. V prevadzkarni ponukame maloobchodny predaj nepotravinoveho tovaru a stavebne prace prevazne v Trencianskom kraji. maloobchod, stavebne prace           Register partnerov VS</v>
      </c>
      <c r="AQ61" s="37"/>
    </row>
    <row r="62" ht="15.75" customHeight="1">
      <c r="A62" s="43"/>
      <c r="B62" s="59">
        <v>61.0</v>
      </c>
      <c r="C62" s="78" t="s">
        <v>755</v>
      </c>
      <c r="D62" s="41" t="s">
        <v>66</v>
      </c>
      <c r="E62" s="38" t="str">
        <f t="shared" si="1"/>
        <v>Žilinský kraj, &amp;#32celé Slovensko</v>
      </c>
      <c r="F62" s="42" t="s">
        <v>756</v>
      </c>
      <c r="G62" s="38" t="str">
        <f t="shared" si="2"/>
        <v>čistiace a upratovacie služby, stavebníctvo, doprava, odpady a recyklácia, &amp;#32všetky kategórie</v>
      </c>
      <c r="H62" s="42" t="s">
        <v>53</v>
      </c>
      <c r="I62" s="43" t="str">
        <f t="shared" si="3"/>
        <v>1 - 5, &amp;#32všetky možnosti</v>
      </c>
      <c r="J62" s="44" t="str">
        <f t="shared" si="7"/>
        <v>,Register partnerov VS,</v>
      </c>
      <c r="K62" s="45">
        <f t="shared" si="5"/>
        <v>7775.991959</v>
      </c>
      <c r="L62" s="43"/>
      <c r="M62" s="43" t="str">
        <f>IFERROR(__xludf.DUMMYFUNCTION("SPLIT(O62,"","")"),"Osloboditeľov 83/91")</f>
        <v>Osloboditeľov 83/91</v>
      </c>
      <c r="N62" s="43" t="str">
        <f>IFERROR(__xludf.DUMMYFUNCTION("""COMPUTED_VALUE""")," 038 53 Turany")</f>
        <v> 038 53 Turany</v>
      </c>
      <c r="O62" s="42" t="s">
        <v>757</v>
      </c>
      <c r="P62" s="43">
        <v>49.1165867</v>
      </c>
      <c r="Q62" s="43">
        <v>19.0352317</v>
      </c>
      <c r="R62" s="46" t="s">
        <v>758</v>
      </c>
      <c r="S62" s="69" t="s">
        <v>759</v>
      </c>
      <c r="T62" s="70" t="s">
        <v>86</v>
      </c>
      <c r="U62" s="61" t="s">
        <v>760</v>
      </c>
      <c r="V62" s="66" t="s">
        <v>761</v>
      </c>
      <c r="W62" s="55" t="s">
        <v>762</v>
      </c>
      <c r="X62" s="71" t="s">
        <v>763</v>
      </c>
      <c r="Y62" s="72" t="s">
        <v>764</v>
      </c>
      <c r="Z62" s="53" t="s">
        <v>765</v>
      </c>
      <c r="AA62" s="52" t="s">
        <v>64</v>
      </c>
      <c r="AB62" s="55"/>
      <c r="AC62" s="56"/>
      <c r="AD62" s="56"/>
      <c r="AE62" s="55"/>
      <c r="AF62" s="55"/>
      <c r="AG62" s="56"/>
      <c r="AH62" s="56"/>
      <c r="AI62" s="55"/>
      <c r="AJ62" s="55"/>
      <c r="AK62" s="56"/>
      <c r="AL62" s="56"/>
      <c r="AM62" s="47"/>
      <c r="AN62" s="62" t="s">
        <v>39</v>
      </c>
      <c r="AO62" s="64"/>
      <c r="AP62" s="58" t="str">
        <f t="shared" si="6"/>
        <v>Mestsky podnik sluzieb Turany, s. r. o. cistiace a upratovacie sluzby, stavebnictvo, doprava, odpady a recyklacia, &amp;#32vsetky kategorie  038 53 Turany Nakolko sme mlady podnik, ponukame zatial sluzby pri separovanom zbere, upratovacie sluzby a pomocne prace v predskolskych zariadeniach. V zamestnavani pracovnikov so zdravotnym a inym znevyhodnenim. Mestsky podnik sluzieb Turany, s.r.o., registrovany socialny podnik Cistiace a upratovacie sluzby, pomocne prace v kuchyni, separovanie odpadu. zberny dvor, skolske zariadenie, cistenie, upratovanie, separovanie odpadu           Register partnerov VS</v>
      </c>
      <c r="AQ62" s="37"/>
    </row>
    <row r="63" ht="15.75" customHeight="1">
      <c r="A63" s="43"/>
      <c r="B63" s="59">
        <v>63.0</v>
      </c>
      <c r="C63" s="78" t="s">
        <v>766</v>
      </c>
      <c r="D63" s="41" t="s">
        <v>229</v>
      </c>
      <c r="E63" s="38" t="str">
        <f t="shared" si="1"/>
        <v>Nitriansky kraj, &amp;#32celé Slovensko</v>
      </c>
      <c r="F63" s="42" t="s">
        <v>767</v>
      </c>
      <c r="G63" s="38" t="str">
        <f t="shared" si="2"/>
        <v>čistiace a upratovacie služby, vzdelávanie, účtovníctvo a poradenstvo, dom a záhrada, &amp;#32všetky kategórie</v>
      </c>
      <c r="H63" s="42" t="s">
        <v>53</v>
      </c>
      <c r="I63" s="43" t="str">
        <f t="shared" si="3"/>
        <v>1 - 5, &amp;#32všetky možnosti</v>
      </c>
      <c r="J63" s="44" t="str">
        <f t="shared" si="7"/>
        <v>,Register partnerov VS,Náhradné plnenie</v>
      </c>
      <c r="K63" s="45">
        <f t="shared" si="5"/>
        <v>26055.24716</v>
      </c>
      <c r="L63" s="43"/>
      <c r="M63" s="43" t="str">
        <f>IFERROR(__xludf.DUMMYFUNCTION("SPLIT(O63,"","")"),"Mlynská 2238")</f>
        <v>Mlynská 2238</v>
      </c>
      <c r="N63" s="43" t="str">
        <f>IFERROR(__xludf.DUMMYFUNCTION("""COMPUTED_VALUE""")," 934 01 Levice")</f>
        <v> 934 01 Levice</v>
      </c>
      <c r="O63" s="42" t="s">
        <v>768</v>
      </c>
      <c r="P63" s="43">
        <v>48.2173252</v>
      </c>
      <c r="Q63" s="43">
        <v>18.6031416</v>
      </c>
      <c r="R63" s="46" t="s">
        <v>769</v>
      </c>
      <c r="S63" s="69" t="s">
        <v>770</v>
      </c>
      <c r="T63" s="70" t="s">
        <v>771</v>
      </c>
      <c r="U63" s="61" t="s">
        <v>772</v>
      </c>
      <c r="V63" s="66" t="s">
        <v>773</v>
      </c>
      <c r="W63" s="55" t="s">
        <v>774</v>
      </c>
      <c r="X63" s="71" t="s">
        <v>766</v>
      </c>
      <c r="Y63" s="72" t="s">
        <v>775</v>
      </c>
      <c r="Z63" s="53" t="s">
        <v>776</v>
      </c>
      <c r="AA63" s="52" t="s">
        <v>64</v>
      </c>
      <c r="AB63" s="55"/>
      <c r="AC63" s="56"/>
      <c r="AD63" s="56"/>
      <c r="AE63" s="55"/>
      <c r="AF63" s="55"/>
      <c r="AG63" s="56"/>
      <c r="AH63" s="56"/>
      <c r="AI63" s="55"/>
      <c r="AJ63" s="55"/>
      <c r="AK63" s="56"/>
      <c r="AL63" s="56"/>
      <c r="AM63" s="47"/>
      <c r="AN63" s="62" t="s">
        <v>39</v>
      </c>
      <c r="AO63" s="57" t="s">
        <v>40</v>
      </c>
      <c r="AP63" s="58" t="str">
        <f t="shared" si="6"/>
        <v>Aptet ISP, druzstvo cistiace a upratovacie sluzby, vzdelavanie, uctovnictvo a poradenstvo, dom a zahrada, &amp;#32vsetky kategorie  934 01 Levice Aptet ISP, druzstvo vzniklo v roku 2019. Zakladajuci clenovia druzstva posobia od roku 2014 v mimovladnej neziskovej organizacii Aptet n.o., ktorej poslanim je pomoct ludom adaptovat sa na zmeny, ktore suvisia so starnutim a pripravovat ich na starobu. Obe tieto organizacie zdielaju spolocnu viziu, poslanie, hodnoty, brand i webovy priestor - https://aptet.sk/. Nase socialne podnikanie je zamerane na ponuku:
• sluzieb Informacno-monitorovacieho centra,
• tovarov prostrednictvom e-shopu OTVORENY OBCHOD - https://www.otvorenyobchod.sk/,
• sluzieb uctovnictva a miezd,
• administrativne a personalne sluzby,
• vzdelavanie, facilitacia, poradenstvo,
• spravovanie socialnych sieti,
• zabezpecenie starostlivosti o dom a zahradu 
V registrovanom socialnom podniku aktualne pracuju len tazko zdravotne postihnuti zamestnanci. Vytvarame pracovne miesta pre znevyhodnenych a zranitelnych a integrujeme ich na trh prace. Pomahame ludom, ktori chcu pracovat, vzdelavat sa a posuvat sa dalej. Aptet ISP, druzstvo Nase socialne podnikanie je zamerane na ponuku:
• sluzieb Informacno-monitorovacieho centra,
• tovarov prostrednictvom e-shopu OTVORENY OBCHOD - https://www.otvorenyobchod.sk/,
• sluzieb uctovnictva a miezd,
• administrativne a personalne sluzby,
• vzdelavanie, facilitacia, poradenstvo,
• spravovanie socialnych sieti,
• zabezpecenie starostlivosti o dom a zahradu  vzdelavanie, poradenstvo, informacie, monitoring, otvoreny obchod, kancelaria, skola, kosenie, upratovanie, sprava socialnej siete, copywritting, uctovnictvo           Register partnerov VS</v>
      </c>
      <c r="AQ63" s="37"/>
    </row>
    <row r="64" ht="15.75" customHeight="1">
      <c r="A64" s="43"/>
      <c r="B64" s="59">
        <v>64.0</v>
      </c>
      <c r="C64" s="78" t="s">
        <v>777</v>
      </c>
      <c r="D64" s="41" t="s">
        <v>66</v>
      </c>
      <c r="E64" s="38" t="str">
        <f t="shared" si="1"/>
        <v>Žilinský kraj, &amp;#32celé Slovensko</v>
      </c>
      <c r="F64" s="42" t="s">
        <v>778</v>
      </c>
      <c r="G64" s="38" t="str">
        <f t="shared" si="2"/>
        <v>čistiace a upratovacie služby, dom a záhrada, stavebníctvo, kultúra a šport, odpady a recyklácia, reklama, &amp;#32všetky kategórie</v>
      </c>
      <c r="H64" s="42" t="s">
        <v>96</v>
      </c>
      <c r="I64" s="43" t="str">
        <f t="shared" si="3"/>
        <v>6 - 10, &amp;#32všetky možnosti</v>
      </c>
      <c r="J64" s="44" t="str">
        <f t="shared" si="7"/>
        <v>,Register partnerov VS,Náhradné plnenie</v>
      </c>
      <c r="K64" s="45">
        <f t="shared" si="5"/>
        <v>23638.63755</v>
      </c>
      <c r="L64" s="43"/>
      <c r="M64" s="43" t="str">
        <f>IFERROR(__xludf.DUMMYFUNCTION("SPLIT(O64,"","")"),"Hlavná 112/106")</f>
        <v>Hlavná 112/106</v>
      </c>
      <c r="N64" s="43" t="str">
        <f>IFERROR(__xludf.DUMMYFUNCTION("""COMPUTED_VALUE""")," 027 21 Žaškov")</f>
        <v> 027 21 Žaškov</v>
      </c>
      <c r="O64" s="42" t="s">
        <v>779</v>
      </c>
      <c r="P64" s="43">
        <v>49.1784808</v>
      </c>
      <c r="Q64" s="43">
        <v>19.2121715</v>
      </c>
      <c r="R64" s="46" t="s">
        <v>780</v>
      </c>
      <c r="S64" s="69" t="s">
        <v>781</v>
      </c>
      <c r="T64" s="93" t="s">
        <v>782</v>
      </c>
      <c r="U64" s="61" t="s">
        <v>783</v>
      </c>
      <c r="V64" s="84" t="s">
        <v>784</v>
      </c>
      <c r="W64" s="55" t="s">
        <v>785</v>
      </c>
      <c r="X64" s="71" t="s">
        <v>786</v>
      </c>
      <c r="Y64" s="72" t="s">
        <v>787</v>
      </c>
      <c r="Z64" s="53" t="s">
        <v>788</v>
      </c>
      <c r="AA64" s="52" t="s">
        <v>64</v>
      </c>
      <c r="AB64" s="55"/>
      <c r="AC64" s="56"/>
      <c r="AD64" s="56"/>
      <c r="AE64" s="55"/>
      <c r="AF64" s="55"/>
      <c r="AG64" s="56"/>
      <c r="AH64" s="56"/>
      <c r="AI64" s="55"/>
      <c r="AJ64" s="55"/>
      <c r="AK64" s="56"/>
      <c r="AL64" s="56"/>
      <c r="AM64" s="47"/>
      <c r="AN64" s="62" t="s">
        <v>39</v>
      </c>
      <c r="AO64" s="57" t="s">
        <v>40</v>
      </c>
      <c r="AP64" s="58" t="str">
        <f t="shared" si="6"/>
        <v>Socialny podnik Zaskov, s. r. o.  cistiace a upratovacie sluzby, dom a zahrada, stavebnictvo, kultura a sport, odpady a recyklacia, reklama, &amp;#32vsetky kategorie  027 21 Zaskov Socialny podnik Zaskov, s. r. o. vykonava nasledovne cinnosti: starostlivost o verejne priestranstva obce, udrziavanie cistoty na verejnych priestranstvach a miestnom cintorine, udrziavanie verejnej zelene a likvidacia neziaducich porastov, udrzba miestnych komunikacii a chodnikov, zimna udrzba komunikacii, kosenie verejnych priestranstiev, uskutocnovanie stavieb a ich zmien, pripravne prace k realizacii stavby, dokoncovacie stavebne prace, vyroba jednoduchych vyrobkov z dreva. Podnik zamestnava obcanov s trvalym pobytom v obci Zaskov, ktori sa z roznych dovodov dlhodobo nedokazali uplatnit na trhu prace. Zamestnava osoby, ktore su znevyhodnenymi alebo zranitelnymi osobami. Tieto osoby su zaradene do pracovneho kolektivu, kde sa ucia pracovnej moralke a navykom. V neposlednom rade - vytvorenim pracovnych miest podnik prispieva k znizovaniu nezamestnanosti v obci. Socialny podnik Zaskov, s. r. o., RSP Zimna udrzba miestnych komunikacii a verejnych priestranstiev, dokoncovacie interierove stavebne prace, dokoncovacie prace na hrubej stavbe drevenice. zimna udrzba, chodniky, murarske prace, malovanie, zateplovanie, kosenie, zametanie, stolarsko-tesarske prace, kosenie, uprava verejnych priestranstiev           Register partnerov VS</v>
      </c>
      <c r="AQ64" s="37"/>
    </row>
    <row r="65" ht="15.75" customHeight="1">
      <c r="A65" s="43"/>
      <c r="B65" s="59">
        <v>65.0</v>
      </c>
      <c r="C65" s="78" t="s">
        <v>789</v>
      </c>
      <c r="D65" s="41" t="s">
        <v>134</v>
      </c>
      <c r="E65" s="38" t="str">
        <f t="shared" si="1"/>
        <v>Trenčiansky kraj, &amp;#32celé Slovensko</v>
      </c>
      <c r="F65" s="42" t="s">
        <v>790</v>
      </c>
      <c r="G65" s="38" t="str">
        <f t="shared" si="2"/>
        <v>obaly, iné (tovary a služby), &amp;#32všetky kategórie</v>
      </c>
      <c r="H65" s="42" t="s">
        <v>82</v>
      </c>
      <c r="I65" s="43" t="str">
        <f t="shared" si="3"/>
        <v>11 - 15, &amp;#32všetky možnosti</v>
      </c>
      <c r="J65" s="44" t="str">
        <f t="shared" si="7"/>
        <v>,Register partnerov VS,Náhradné plnenie</v>
      </c>
      <c r="K65" s="45">
        <f t="shared" si="5"/>
        <v>16209.21538</v>
      </c>
      <c r="L65" s="43"/>
      <c r="M65" s="43" t="str">
        <f>IFERROR(__xludf.DUMMYFUNCTION("SPLIT(O65,"","")"),"Záhrady 292/11")</f>
        <v>Záhrady 292/11</v>
      </c>
      <c r="N65" s="43" t="str">
        <f>IFERROR(__xludf.DUMMYFUNCTION("""COMPUTED_VALUE""")," 972 05 Sebedražie ")</f>
        <v> 972 05 Sebedražie </v>
      </c>
      <c r="O65" s="42" t="s">
        <v>791</v>
      </c>
      <c r="P65" s="43">
        <v>48.7292451</v>
      </c>
      <c r="Q65" s="43">
        <v>18.6220959</v>
      </c>
      <c r="R65" s="46" t="s">
        <v>792</v>
      </c>
      <c r="S65" s="69" t="s">
        <v>793</v>
      </c>
      <c r="T65" s="70" t="s">
        <v>794</v>
      </c>
      <c r="U65" s="61" t="s">
        <v>795</v>
      </c>
      <c r="V65" s="50" t="s">
        <v>796</v>
      </c>
      <c r="W65" s="55"/>
      <c r="X65" s="71" t="s">
        <v>797</v>
      </c>
      <c r="Y65" s="72" t="s">
        <v>798</v>
      </c>
      <c r="Z65" s="53" t="s">
        <v>799</v>
      </c>
      <c r="AA65" s="67" t="s">
        <v>129</v>
      </c>
      <c r="AB65" s="55" t="s">
        <v>800</v>
      </c>
      <c r="AC65" s="56" t="s">
        <v>801</v>
      </c>
      <c r="AD65" s="56" t="s">
        <v>802</v>
      </c>
      <c r="AE65" s="55" t="s">
        <v>64</v>
      </c>
      <c r="AF65" s="55"/>
      <c r="AG65" s="56"/>
      <c r="AH65" s="56"/>
      <c r="AI65" s="55"/>
      <c r="AJ65" s="55"/>
      <c r="AK65" s="56"/>
      <c r="AL65" s="56"/>
      <c r="AM65" s="47"/>
      <c r="AN65" s="62" t="s">
        <v>39</v>
      </c>
      <c r="AO65" s="57" t="s">
        <v>40</v>
      </c>
      <c r="AP65" s="58" t="str">
        <f t="shared" si="6"/>
        <v>KOZAK, s. r. o. obaly, ine (tovary a sluzby), &amp;#32vsetky kategorie  972 05 Sebedrazie  Spolocnost podnika v oblasti prenajmu nehnutelneho majetku; robime tiez drobny maloobchod - produkty spolocnosti doTERRA. Ponuku mame rozsirenu o vyrobne aktivity v oblasti obalovych produktov z kartonu a plast-kartonu, vykonavame prace potrebne pri vyrobe kartonovych produktov, ktore su predavane formou sluzby a polotovarov pre spolocnost Karton.sk, s.r.o.; neskor planujeme tuto ponuku rozsirit aj pre dalsie spolocnosti. Zamestnavame znevyhodnene a zranitelne osoby, vytvarame podmienky pre ich socializaciu a adaptaciu na poziadavky pracovneho trhu najma v manualnych cinnostiach, pomahame im pri osvojeni si pravidelnych pracovnych navykov. KOZAK, s.r.o. Robime prenajom nehnutelnosti a pomocne prace pri vyrobe obalov z kartonu a vlnitej lepenky. prenajom nehnutelnosti, kartonove obaly Balance center Drobny maloobchod, skolenia zdravia a licenia. esencialne oleje, aromaterapia, zdrava vyziva, poradenstvo        Register partnerov VS</v>
      </c>
      <c r="AQ65" s="37"/>
    </row>
    <row r="66" ht="15.75" customHeight="1">
      <c r="A66" s="43"/>
      <c r="B66" s="59">
        <v>66.0</v>
      </c>
      <c r="C66" s="78" t="s">
        <v>803</v>
      </c>
      <c r="D66" s="41" t="s">
        <v>80</v>
      </c>
      <c r="E66" s="38" t="str">
        <f t="shared" si="1"/>
        <v>Trnavský kraj, &amp;#32celé Slovensko</v>
      </c>
      <c r="F66" s="42" t="s">
        <v>804</v>
      </c>
      <c r="G66" s="38" t="str">
        <f t="shared" si="2"/>
        <v>doprava, obaly, iné (tovary a služby), &amp;#32všetky kategórie</v>
      </c>
      <c r="H66" s="42" t="s">
        <v>170</v>
      </c>
      <c r="I66" s="43" t="str">
        <f t="shared" si="3"/>
        <v>21 a viac, &amp;#32všetky možnosti</v>
      </c>
      <c r="J66" s="44" t="str">
        <f t="shared" si="7"/>
        <v>,,Náhradné plnenie</v>
      </c>
      <c r="K66" s="45">
        <f t="shared" si="5"/>
        <v>4047.932106</v>
      </c>
      <c r="L66" s="43"/>
      <c r="M66" s="43" t="str">
        <f>IFERROR(__xludf.DUMMYFUNCTION("SPLIT(O66,"","")"),"Vŕbová 2746/12")</f>
        <v>Vŕbová 2746/12</v>
      </c>
      <c r="N66" s="43" t="str">
        <f>IFERROR(__xludf.DUMMYFUNCTION("""COMPUTED_VALUE""")," 924 01 Galanta")</f>
        <v> 924 01 Galanta</v>
      </c>
      <c r="O66" s="42" t="s">
        <v>805</v>
      </c>
      <c r="P66" s="43">
        <v>48.2037913</v>
      </c>
      <c r="Q66" s="43">
        <v>17.7525358</v>
      </c>
      <c r="R66" s="46" t="s">
        <v>806</v>
      </c>
      <c r="S66" s="69" t="s">
        <v>807</v>
      </c>
      <c r="T66" s="70" t="s">
        <v>808</v>
      </c>
      <c r="U66" s="61" t="s">
        <v>809</v>
      </c>
      <c r="V66" s="50" t="s">
        <v>810</v>
      </c>
      <c r="W66" s="55" t="s">
        <v>811</v>
      </c>
      <c r="X66" s="71" t="s">
        <v>803</v>
      </c>
      <c r="Y66" s="72" t="s">
        <v>812</v>
      </c>
      <c r="Z66" s="53" t="s">
        <v>813</v>
      </c>
      <c r="AA66" s="52" t="s">
        <v>64</v>
      </c>
      <c r="AB66" s="55"/>
      <c r="AC66" s="56"/>
      <c r="AD66" s="56"/>
      <c r="AE66" s="55"/>
      <c r="AF66" s="55"/>
      <c r="AG66" s="56"/>
      <c r="AH66" s="56"/>
      <c r="AI66" s="55"/>
      <c r="AJ66" s="55"/>
      <c r="AK66" s="56"/>
      <c r="AL66" s="56"/>
      <c r="AM66" s="34"/>
      <c r="AN66" s="55"/>
      <c r="AO66" s="57" t="s">
        <v>40</v>
      </c>
      <c r="AP66" s="58" t="str">
        <f t="shared" si="6"/>
        <v>PW Logistics Slovakia s.r.o., r. s. p. doprava, obaly, ine (tovary a sluzby), &amp;#32vsetky kategorie  924 01 Galanta Robime balenie tovaru (rucne / strojove), etiketovanie, co-packing, polygrafia, POP Display, kartonove palety, ECO-BOXy, nakladnu dopravu a ine. Snazime sa zlepsit socialne postavenie ludi so znizenou zdravotnou schopnostou, ich zaradenie do pracovneho procesu. PW Logistics Slovakia s.r.o., r. s. p. Balenie tovaru (rucne / strojove), co-packing, etiketovanie, kartonove palety, ECO-BOX, polygrafia, POP Display, nakladna doprava a ine balenie tovaru, prebalovanie tovaru, etiketovanie, ECO palety, ECO krabice, tlac, tlaciaren, predajne stojany, nakladna doprava, co packing           </v>
      </c>
      <c r="AQ66" s="37"/>
    </row>
    <row r="67" ht="15.75" customHeight="1">
      <c r="A67" s="43"/>
      <c r="B67" s="59">
        <v>67.0</v>
      </c>
      <c r="C67" s="78" t="s">
        <v>814</v>
      </c>
      <c r="D67" s="41" t="s">
        <v>51</v>
      </c>
      <c r="E67" s="38" t="str">
        <f t="shared" si="1"/>
        <v>Prešovský kraj, &amp;#32celé Slovensko</v>
      </c>
      <c r="F67" s="80" t="s">
        <v>815</v>
      </c>
      <c r="G67" s="38" t="str">
        <f t="shared" si="2"/>
        <v>obaly, dom a záhrada, stavebníctvo, &amp;#32všetky kategórie</v>
      </c>
      <c r="H67" s="42" t="s">
        <v>170</v>
      </c>
      <c r="I67" s="43" t="str">
        <f t="shared" si="3"/>
        <v>21 a viac, &amp;#32všetky možnosti</v>
      </c>
      <c r="J67" s="44" t="str">
        <f t="shared" si="7"/>
        <v>,,Náhradné plnenie</v>
      </c>
      <c r="K67" s="45">
        <f t="shared" si="5"/>
        <v>20652.39895</v>
      </c>
      <c r="L67" s="43"/>
      <c r="M67" s="43" t="str">
        <f>IFERROR(__xludf.DUMMYFUNCTION("SPLIT(O67,"","")"),"Arm. gen. Svobodu 32")</f>
        <v>Arm. gen. Svobodu 32</v>
      </c>
      <c r="N67" s="43" t="str">
        <f>IFERROR(__xludf.DUMMYFUNCTION("""COMPUTED_VALUE""")," 080 01 Prešov")</f>
        <v> 080 01 Prešov</v>
      </c>
      <c r="O67" s="42" t="s">
        <v>816</v>
      </c>
      <c r="P67" s="43">
        <v>48.9888562999999</v>
      </c>
      <c r="Q67" s="43">
        <v>21.2657651</v>
      </c>
      <c r="R67" s="82" t="s">
        <v>817</v>
      </c>
      <c r="S67" s="94" t="s">
        <v>818</v>
      </c>
      <c r="T67" s="70" t="s">
        <v>86</v>
      </c>
      <c r="U67" s="61" t="s">
        <v>819</v>
      </c>
      <c r="V67" s="50" t="s">
        <v>820</v>
      </c>
      <c r="W67" s="55" t="s">
        <v>821</v>
      </c>
      <c r="X67" s="71" t="s">
        <v>822</v>
      </c>
      <c r="Y67" s="95" t="s">
        <v>823</v>
      </c>
      <c r="Z67" s="86" t="s">
        <v>824</v>
      </c>
      <c r="AA67" s="52" t="s">
        <v>64</v>
      </c>
      <c r="AB67" s="55"/>
      <c r="AC67" s="56"/>
      <c r="AD67" s="56"/>
      <c r="AE67" s="55"/>
      <c r="AF67" s="55"/>
      <c r="AG67" s="56"/>
      <c r="AH67" s="56"/>
      <c r="AI67" s="55"/>
      <c r="AJ67" s="55"/>
      <c r="AK67" s="56"/>
      <c r="AL67" s="56"/>
      <c r="AM67" s="34"/>
      <c r="AN67" s="55"/>
      <c r="AO67" s="57" t="s">
        <v>40</v>
      </c>
      <c r="AP67" s="58" t="str">
        <f t="shared" si="6"/>
        <v>Sunrise Group s.r.o. obaly, dom a zahrada, stavebnictvo, &amp;#32vsetky kategorie  080 01 Presov Nasa spolocnost sa zaobera vyrobou drevenych paliet podla potrieb zakaznika – typizovanych aj atypickych. Dodavame aj nove, pripadne pouzite EUR/EPAL palety (tzv. europalety).
Taktiez sa zaoberame komplexnou stavebnou cinnostou, t. j. vystavba a rekonstrukcia budov. Poskytujeme pripravne a dokoncovacie stavebne prace pri realizacii exterierov a interierov a rozne interierove prace.
 Zamestnavame znevyhodnenych obcanov aj so zdravotnym postihnutim, ktori maju stazenu moznost uplatnenia sa na pracovnom trhu, vratane obcanov z marginalizovanych romskych komunit. Vyrobne a skladove priestory Vyroba typovych aj atypickych druhov paliet. Dodavka novych aj pouzitych certifikovanych EUR/EPAL paliet (tzv. europaliet).
Komplexna stavebna cinnost.  vyroba drevenych paliet, drevene palety, stavba           </v>
      </c>
      <c r="AQ67" s="37"/>
    </row>
    <row r="68" ht="15.75" customHeight="1">
      <c r="A68" s="43"/>
      <c r="B68" s="59">
        <v>68.0</v>
      </c>
      <c r="C68" s="78" t="s">
        <v>825</v>
      </c>
      <c r="D68" s="41" t="s">
        <v>66</v>
      </c>
      <c r="E68" s="38" t="str">
        <f t="shared" si="1"/>
        <v>Žilinský kraj, &amp;#32celé Slovensko</v>
      </c>
      <c r="F68" s="42" t="s">
        <v>826</v>
      </c>
      <c r="G68" s="38" t="str">
        <f t="shared" si="2"/>
        <v>dom a záhrada, stavebníctvo, auto-moto, iné (tovary a služby), &amp;#32všetky kategórie</v>
      </c>
      <c r="H68" s="42" t="s">
        <v>96</v>
      </c>
      <c r="I68" s="43" t="str">
        <f t="shared" si="3"/>
        <v>6 - 10, &amp;#32všetky možnosti</v>
      </c>
      <c r="J68" s="44" t="str">
        <f t="shared" si="7"/>
        <v>,Register partnerov VS,</v>
      </c>
      <c r="K68" s="45">
        <f t="shared" si="5"/>
        <v>1916.603698</v>
      </c>
      <c r="L68" s="43"/>
      <c r="M68" s="43" t="str">
        <f>IFERROR(__xludf.DUMMYFUNCTION("SPLIT(O68,"","")"),"Podvysoká 386")</f>
        <v>Podvysoká 386</v>
      </c>
      <c r="N68" s="43" t="str">
        <f>IFERROR(__xludf.DUMMYFUNCTION("""COMPUTED_VALUE""")," 023 57 Podvysoká")</f>
        <v> 023 57 Podvysoká</v>
      </c>
      <c r="O68" s="42" t="s">
        <v>827</v>
      </c>
      <c r="P68" s="43">
        <v>49.4139697</v>
      </c>
      <c r="Q68" s="43">
        <v>18.6696691</v>
      </c>
      <c r="R68" s="46" t="s">
        <v>828</v>
      </c>
      <c r="S68" s="69" t="s">
        <v>829</v>
      </c>
      <c r="T68" s="70" t="s">
        <v>830</v>
      </c>
      <c r="U68" s="61" t="s">
        <v>831</v>
      </c>
      <c r="V68" s="50" t="s">
        <v>832</v>
      </c>
      <c r="W68" s="55" t="s">
        <v>833</v>
      </c>
      <c r="X68" s="71" t="s">
        <v>834</v>
      </c>
      <c r="Y68" s="72" t="s">
        <v>835</v>
      </c>
      <c r="Z68" s="53" t="s">
        <v>836</v>
      </c>
      <c r="AA68" s="52" t="s">
        <v>64</v>
      </c>
      <c r="AB68" s="55"/>
      <c r="AC68" s="56"/>
      <c r="AD68" s="56"/>
      <c r="AE68" s="55"/>
      <c r="AF68" s="55"/>
      <c r="AG68" s="56"/>
      <c r="AH68" s="56"/>
      <c r="AI68" s="55"/>
      <c r="AJ68" s="55"/>
      <c r="AK68" s="56"/>
      <c r="AL68" s="56"/>
      <c r="AM68" s="47"/>
      <c r="AN68" s="62" t="s">
        <v>39</v>
      </c>
      <c r="AO68" s="64"/>
      <c r="AP68" s="58" t="str">
        <f t="shared" si="6"/>
        <v>Laboprofilak, RSP s. r. o. dom a zahrada, stavebnictvo, auto-moto, ine (tovary a sluzby), &amp;#32vsetky kategorie  023 57 Podvysoka Robime zarucnu i pozarucnu opravu automobilov, bicyklov, skutrov, zabezpecime aj  riesenie poistnych udalosti. V ponuke mame tiez starostlivost o domacnosti, obecne pozemky a zahrady, ako aj drobne stavebne prace. Poskytujeme pracovne miesta pre zdravotne znevyhodnenych obcanov Laboprofilak RSP, s.r.o. Lakovnicke potreby a sluzby spojene s opravou automobilov. automobilove opravy, automobilove suciastky, pneumatiky, lakyrnicke potreby, lakovnicke potreby, kosenie, buranie, stavanie, stavba, stavebne prace, bicykel, skuter           Register partnerov VS</v>
      </c>
      <c r="AQ68" s="37"/>
    </row>
    <row r="69" ht="15.75" customHeight="1">
      <c r="A69" s="43"/>
      <c r="B69" s="59">
        <v>69.0</v>
      </c>
      <c r="C69" s="78" t="s">
        <v>837</v>
      </c>
      <c r="D69" s="41" t="s">
        <v>94</v>
      </c>
      <c r="E69" s="38" t="str">
        <f t="shared" si="1"/>
        <v>Bratislavský kraj, &amp;#32celé Slovensko</v>
      </c>
      <c r="F69" s="42" t="s">
        <v>838</v>
      </c>
      <c r="G69" s="38" t="str">
        <f t="shared" si="2"/>
        <v>kultúra a šport, &amp;#32všetky kategórie</v>
      </c>
      <c r="H69" s="42" t="s">
        <v>96</v>
      </c>
      <c r="I69" s="43" t="str">
        <f t="shared" si="3"/>
        <v>6 - 10, &amp;#32všetky možnosti</v>
      </c>
      <c r="J69" s="44" t="str">
        <f t="shared" si="7"/>
        <v>,,</v>
      </c>
      <c r="K69" s="45">
        <f t="shared" si="5"/>
        <v>2223.030536</v>
      </c>
      <c r="L69" s="43"/>
      <c r="M69" s="43" t="str">
        <f>IFERROR(__xludf.DUMMYFUNCTION("SPLIT(O69,"","")"),"Pod Glavicou 2")</f>
        <v>Pod Glavicou 2</v>
      </c>
      <c r="N69" s="43" t="str">
        <f>IFERROR(__xludf.DUMMYFUNCTION("""COMPUTED_VALUE""")," 841 08 Bratislava")</f>
        <v> 841 08 Bratislava</v>
      </c>
      <c r="O69" s="42" t="s">
        <v>839</v>
      </c>
      <c r="P69" s="43">
        <v>48.2057946</v>
      </c>
      <c r="Q69" s="43">
        <v>16.9857979</v>
      </c>
      <c r="R69" s="46" t="s">
        <v>840</v>
      </c>
      <c r="S69" s="69" t="s">
        <v>841</v>
      </c>
      <c r="T69" s="70" t="s">
        <v>842</v>
      </c>
      <c r="U69" s="61" t="s">
        <v>843</v>
      </c>
      <c r="V69" s="66" t="s">
        <v>844</v>
      </c>
      <c r="W69" s="55" t="s">
        <v>845</v>
      </c>
      <c r="X69" s="71" t="s">
        <v>846</v>
      </c>
      <c r="Y69" s="72" t="s">
        <v>847</v>
      </c>
      <c r="Z69" s="53" t="s">
        <v>848</v>
      </c>
      <c r="AA69" s="52" t="s">
        <v>64</v>
      </c>
      <c r="AB69" s="55"/>
      <c r="AC69" s="56"/>
      <c r="AD69" s="56"/>
      <c r="AE69" s="55"/>
      <c r="AF69" s="55"/>
      <c r="AG69" s="56"/>
      <c r="AH69" s="56"/>
      <c r="AI69" s="55"/>
      <c r="AJ69" s="55"/>
      <c r="AK69" s="56"/>
      <c r="AL69" s="56"/>
      <c r="AM69" s="34"/>
      <c r="AN69" s="55"/>
      <c r="AO69" s="64"/>
      <c r="AP69" s="58" t="str">
        <f t="shared" si="6"/>
        <v>cShop SK s. r. o. r.s.p. kultura a sport, &amp;#32vsetky kategorie  841 08 Bratislava Poskytujeme sluzbu servis bicyklov. Ponukame siroku skalu cyklokomponentov a suciastok na bicykle, ci uz v predajni alebo cez eshop. V podpore zamestnanosti ludi so zdravotnym znevyhodnenim. cShop SK Zameriavame sa na servis bicyklov, ponukame siroku skalu cyklodoplnkov a prislusenstva. servis bicyklov, nahradne diely na bicykel, doplnky na bicykle, oblecenie na bicykel, podpora cykloservisov, cykloservis           </v>
      </c>
      <c r="AQ69" s="37"/>
    </row>
    <row r="70" ht="15.75" customHeight="1">
      <c r="A70" s="43"/>
      <c r="B70" s="59">
        <v>70.0</v>
      </c>
      <c r="C70" s="78" t="s">
        <v>849</v>
      </c>
      <c r="D70" s="41" t="s">
        <v>51</v>
      </c>
      <c r="E70" s="38" t="str">
        <f t="shared" si="1"/>
        <v>Prešovský kraj, &amp;#32celé Slovensko</v>
      </c>
      <c r="F70" s="42" t="s">
        <v>258</v>
      </c>
      <c r="G70" s="38" t="str">
        <f t="shared" si="2"/>
        <v>odevy a obuv, &amp;#32všetky kategórie</v>
      </c>
      <c r="H70" s="42" t="s">
        <v>53</v>
      </c>
      <c r="I70" s="43" t="str">
        <f t="shared" si="3"/>
        <v>1 - 5, &amp;#32všetky možnosti</v>
      </c>
      <c r="J70" s="44" t="str">
        <f t="shared" si="7"/>
        <v>,,</v>
      </c>
      <c r="K70" s="45">
        <f t="shared" si="5"/>
        <v>25151.2058</v>
      </c>
      <c r="L70" s="43"/>
      <c r="M70" s="43" t="str">
        <f>IFERROR(__xludf.DUMMYFUNCTION("SPLIT(O70,"","")"),"Duchnovičova 552/54")</f>
        <v>Duchnovičova 552/54</v>
      </c>
      <c r="N70" s="43" t="str">
        <f>IFERROR(__xludf.DUMMYFUNCTION("""COMPUTED_VALUE""")," 068 01 Medzilaborce")</f>
        <v> 068 01 Medzilaborce</v>
      </c>
      <c r="O70" s="42" t="s">
        <v>850</v>
      </c>
      <c r="P70" s="43">
        <v>49.2775488</v>
      </c>
      <c r="Q70" s="43">
        <v>21.9071201</v>
      </c>
      <c r="R70" s="46" t="s">
        <v>851</v>
      </c>
      <c r="S70" s="69" t="s">
        <v>852</v>
      </c>
      <c r="T70" s="70" t="s">
        <v>86</v>
      </c>
      <c r="U70" s="61" t="s">
        <v>853</v>
      </c>
      <c r="V70" s="50" t="s">
        <v>854</v>
      </c>
      <c r="W70" s="55" t="s">
        <v>855</v>
      </c>
      <c r="X70" s="71" t="s">
        <v>856</v>
      </c>
      <c r="Y70" s="72" t="s">
        <v>857</v>
      </c>
      <c r="Z70" s="53" t="s">
        <v>858</v>
      </c>
      <c r="AA70" s="52" t="s">
        <v>64</v>
      </c>
      <c r="AB70" s="55"/>
      <c r="AC70" s="56"/>
      <c r="AD70" s="56"/>
      <c r="AE70" s="55"/>
      <c r="AF70" s="55"/>
      <c r="AG70" s="56"/>
      <c r="AH70" s="56"/>
      <c r="AI70" s="55"/>
      <c r="AJ70" s="55"/>
      <c r="AK70" s="56"/>
      <c r="AL70" s="56"/>
      <c r="AM70" s="34"/>
      <c r="AN70" s="55"/>
      <c r="AO70" s="64"/>
      <c r="AP70" s="58" t="str">
        <f t="shared" si="6"/>
        <v>Antal shoes s. r. o. odevy a obuv, &amp;#32vsetky kategorie  068 01 Medzilaborce Robime vyrobu a predaj barefoot topanok. Zamestnavame znevyhodnene a zranitelne osoby. Vytvarame pracovne miesta v jednom z najchudobnejsich regionov. Antal shoes s.r.o. Vyroba a predaj barefoot topanok. obuv, barefoot topanky           </v>
      </c>
      <c r="AQ70" s="37"/>
    </row>
    <row r="71" ht="15.75" customHeight="1">
      <c r="A71" s="43"/>
      <c r="B71" s="59">
        <v>71.0</v>
      </c>
      <c r="C71" s="78" t="s">
        <v>859</v>
      </c>
      <c r="D71" s="41" t="s">
        <v>66</v>
      </c>
      <c r="E71" s="38" t="str">
        <f t="shared" si="1"/>
        <v>Žilinský kraj, &amp;#32celé Slovensko</v>
      </c>
      <c r="F71" s="42" t="s">
        <v>689</v>
      </c>
      <c r="G71" s="38" t="str">
        <f t="shared" si="2"/>
        <v>dom a záhrada, stavebníctvo, &amp;#32všetky kategórie</v>
      </c>
      <c r="H71" s="42" t="s">
        <v>53</v>
      </c>
      <c r="I71" s="43" t="str">
        <f t="shared" si="3"/>
        <v>1 - 5, &amp;#32všetky možnosti</v>
      </c>
      <c r="J71" s="44" t="str">
        <f t="shared" si="7"/>
        <v>,,Náhradné plnenie</v>
      </c>
      <c r="K71" s="45">
        <f t="shared" si="5"/>
        <v>18892.4777</v>
      </c>
      <c r="L71" s="43"/>
      <c r="M71" s="43" t="str">
        <f>IFERROR(__xludf.DUMMYFUNCTION("SPLIT(O71,"","")"),"P.O. Hviezdoslava 861/59")</f>
        <v>P.O. Hviezdoslava 861/59</v>
      </c>
      <c r="N71" s="43" t="str">
        <f>IFERROR(__xludf.DUMMYFUNCTION("""COMPUTED_VALUE""")," 013 03 Varín")</f>
        <v> 013 03 Varín</v>
      </c>
      <c r="O71" s="42" t="s">
        <v>860</v>
      </c>
      <c r="P71" s="43">
        <v>49.2066473999999</v>
      </c>
      <c r="Q71" s="43">
        <v>18.8711652</v>
      </c>
      <c r="R71" s="46" t="s">
        <v>861</v>
      </c>
      <c r="S71" s="69" t="s">
        <v>862</v>
      </c>
      <c r="T71" s="70" t="s">
        <v>863</v>
      </c>
      <c r="U71" s="61" t="s">
        <v>864</v>
      </c>
      <c r="V71" s="50" t="s">
        <v>865</v>
      </c>
      <c r="W71" s="55" t="s">
        <v>866</v>
      </c>
      <c r="X71" s="71" t="s">
        <v>859</v>
      </c>
      <c r="Y71" s="72" t="s">
        <v>867</v>
      </c>
      <c r="Z71" s="53" t="s">
        <v>868</v>
      </c>
      <c r="AA71" s="52" t="s">
        <v>64</v>
      </c>
      <c r="AB71" s="55"/>
      <c r="AC71" s="56"/>
      <c r="AD71" s="56"/>
      <c r="AE71" s="55"/>
      <c r="AF71" s="55"/>
      <c r="AG71" s="56"/>
      <c r="AH71" s="56"/>
      <c r="AI71" s="55"/>
      <c r="AJ71" s="55"/>
      <c r="AK71" s="56"/>
      <c r="AL71" s="56"/>
      <c r="AM71" s="34"/>
      <c r="AN71" s="55"/>
      <c r="AO71" s="57" t="s">
        <v>40</v>
      </c>
      <c r="AP71" s="58" t="str">
        <f t="shared" si="6"/>
        <v>JS ENGINEERING s.r.o. dom a zahrada, stavebnictvo, &amp;#32vsetky kategorie  013 03 Varin Nas registrovany socialny podnik ponuka zemne a vykopove prace i rozne stavebne prace zakaznikom, ako su samospravy, spolocnosti a firmy, aj sukromne osoby. Nas registrovany socialny podnik umoznuje a poskytuje pracu osobam, ktore sa tazko uplatnuju na trhu prace, pomaha im zaclenit sa do spolocnosti a byt pre spolocnost prinosom. JS ENGINEERING s.r.o. Ponukame zemne a vykopove prace i rozne dalsie stavebne prace. zemne prace, vykopove prace, terenne upravy, stavebne prace, stavba           </v>
      </c>
      <c r="AQ71" s="37"/>
    </row>
    <row r="72" ht="15.75" customHeight="1">
      <c r="A72" s="43"/>
      <c r="B72" s="59">
        <v>72.0</v>
      </c>
      <c r="C72" s="78" t="s">
        <v>869</v>
      </c>
      <c r="D72" s="41" t="s">
        <v>51</v>
      </c>
      <c r="E72" s="38" t="str">
        <f t="shared" si="1"/>
        <v>Prešovský kraj, &amp;#32celé Slovensko</v>
      </c>
      <c r="F72" s="42" t="s">
        <v>870</v>
      </c>
      <c r="G72" s="38" t="str">
        <f t="shared" si="2"/>
        <v>čistiace a upratovacie služby, poľnohospodárstvo a lesníctvo, dom a záhrada, stavebníctvo, &amp;#32všetky kategórie</v>
      </c>
      <c r="H72" s="42" t="s">
        <v>53</v>
      </c>
      <c r="I72" s="43" t="str">
        <f t="shared" si="3"/>
        <v>1 - 5, &amp;#32všetky možnosti</v>
      </c>
      <c r="J72" s="44" t="str">
        <f t="shared" si="7"/>
        <v>,,</v>
      </c>
      <c r="K72" s="45">
        <f t="shared" si="5"/>
        <v>11630.93924</v>
      </c>
      <c r="L72" s="43"/>
      <c r="M72" s="43" t="str">
        <f>IFERROR(__xludf.DUMMYFUNCTION("SPLIT(O72,"","")"),"Kendice 274")</f>
        <v>Kendice 274</v>
      </c>
      <c r="N72" s="43" t="str">
        <f>IFERROR(__xludf.DUMMYFUNCTION("""COMPUTED_VALUE""")," 082 01 Kendice")</f>
        <v> 082 01 Kendice</v>
      </c>
      <c r="O72" s="42" t="s">
        <v>871</v>
      </c>
      <c r="P72" s="43">
        <v>48.9257168</v>
      </c>
      <c r="Q72" s="43">
        <v>21.2419314</v>
      </c>
      <c r="R72" s="46" t="s">
        <v>872</v>
      </c>
      <c r="S72" s="69" t="s">
        <v>873</v>
      </c>
      <c r="T72" s="70" t="s">
        <v>86</v>
      </c>
      <c r="U72" s="61" t="s">
        <v>874</v>
      </c>
      <c r="V72" s="50" t="s">
        <v>875</v>
      </c>
      <c r="W72" s="55" t="s">
        <v>876</v>
      </c>
      <c r="X72" s="71" t="s">
        <v>877</v>
      </c>
      <c r="Y72" s="72" t="s">
        <v>878</v>
      </c>
      <c r="Z72" s="53" t="s">
        <v>879</v>
      </c>
      <c r="AA72" s="52" t="s">
        <v>64</v>
      </c>
      <c r="AB72" s="55"/>
      <c r="AC72" s="56"/>
      <c r="AD72" s="56"/>
      <c r="AE72" s="55"/>
      <c r="AF72" s="55"/>
      <c r="AG72" s="56"/>
      <c r="AH72" s="56"/>
      <c r="AI72" s="55"/>
      <c r="AJ72" s="55"/>
      <c r="AK72" s="56"/>
      <c r="AL72" s="56"/>
      <c r="AM72" s="34"/>
      <c r="AN72" s="55"/>
      <c r="AO72" s="64"/>
      <c r="AP72" s="58" t="str">
        <f t="shared" si="6"/>
        <v>Obecny socialny podnik KENDY s. r. o., r. s. p. cistiace a upratovacie sluzby, polnohospodarstvo a lesnictvo, dom a zahrada, stavebnictvo, &amp;#32vsetky kategorie  082 01 Kendice Nasimi zakaznikmi su obec a vsetci jej obcania. Poskytujeme im sluzby suvisiace s udrzbou dvorov a pozemkov obce, najma vo forme kosenia a upravy drevin. Ponukame tiez drobne stavebne prace, ako su buracie a terenne prace, pokladka dlazby. V prvom rade zvysovanim zamestnanosti. Obecny socialny podnik Kendy s.r.o., r.s.p. Sluzby spojene s udrzbou pozemkov a dvorov obce, drobne stavebne prace. kosenie, stavebne prace, orez stromov, dlazba           </v>
      </c>
      <c r="AQ72" s="37"/>
    </row>
    <row r="73" ht="15.75" customHeight="1">
      <c r="A73" s="43"/>
      <c r="B73" s="59">
        <v>73.0</v>
      </c>
      <c r="C73" s="78" t="s">
        <v>880</v>
      </c>
      <c r="D73" s="41" t="s">
        <v>181</v>
      </c>
      <c r="E73" s="38" t="str">
        <f t="shared" si="1"/>
        <v>Banskobystrický kraj, &amp;#32celé Slovensko</v>
      </c>
      <c r="F73" s="42" t="s">
        <v>881</v>
      </c>
      <c r="G73" s="38" t="str">
        <f t="shared" si="2"/>
        <v>stavebníctvo, doprava, iné (tovary a služby), &amp;#32všetky kategórie</v>
      </c>
      <c r="H73" s="42" t="s">
        <v>53</v>
      </c>
      <c r="I73" s="43" t="str">
        <f t="shared" si="3"/>
        <v>1 - 5, &amp;#32všetky možnosti</v>
      </c>
      <c r="J73" s="44" t="str">
        <f t="shared" si="7"/>
        <v>,Register partnerov VS,Náhradné plnenie</v>
      </c>
      <c r="K73" s="45">
        <f t="shared" si="5"/>
        <v>36789.67921</v>
      </c>
      <c r="L73" s="43"/>
      <c r="M73" s="43" t="str">
        <f>IFERROR(__xludf.DUMMYFUNCTION("SPLIT(O73,"","")"),"Selčianska cesta 2")</f>
        <v>Selčianska cesta 2</v>
      </c>
      <c r="N73" s="43" t="str">
        <f>IFERROR(__xludf.DUMMYFUNCTION("""COMPUTED_VALUE""")," 976 11 Selce")</f>
        <v> 976 11 Selce</v>
      </c>
      <c r="O73" s="42" t="s">
        <v>882</v>
      </c>
      <c r="P73" s="43">
        <v>48.7556107</v>
      </c>
      <c r="Q73" s="43">
        <v>19.1950986</v>
      </c>
      <c r="R73" s="46" t="s">
        <v>883</v>
      </c>
      <c r="S73" s="69" t="s">
        <v>884</v>
      </c>
      <c r="T73" s="70" t="s">
        <v>86</v>
      </c>
      <c r="U73" s="61" t="s">
        <v>885</v>
      </c>
      <c r="V73" s="50" t="s">
        <v>886</v>
      </c>
      <c r="W73" s="55" t="s">
        <v>887</v>
      </c>
      <c r="X73" s="71" t="s">
        <v>880</v>
      </c>
      <c r="Y73" s="72" t="s">
        <v>888</v>
      </c>
      <c r="Z73" s="53" t="s">
        <v>889</v>
      </c>
      <c r="AA73" s="52" t="s">
        <v>64</v>
      </c>
      <c r="AB73" s="55"/>
      <c r="AC73" s="56"/>
      <c r="AD73" s="56"/>
      <c r="AE73" s="55"/>
      <c r="AF73" s="55"/>
      <c r="AG73" s="56"/>
      <c r="AH73" s="56"/>
      <c r="AI73" s="55"/>
      <c r="AJ73" s="55"/>
      <c r="AK73" s="56"/>
      <c r="AL73" s="56"/>
      <c r="AM73" s="47"/>
      <c r="AN73" s="62" t="s">
        <v>39</v>
      </c>
      <c r="AO73" s="57" t="s">
        <v>40</v>
      </c>
      <c r="AP73" s="58" t="str">
        <f t="shared" si="6"/>
        <v>Selcianske, s.r.o. stavebnictvo, doprava, ine (tovary a sluzby), &amp;#32vsetky kategorie  976 11 Selce Sluzby v oblasti obchodu, udrzby ciest a chodnikov, upratovacie sluzby, sluzby upravy terenu, pomocne prace v stavebnictve. Aktualne zamestnavame hlavne ZTP (vsetci zamestnanci su ZTP). Selcianske, s.r.o. Sluzby poskytovane v oblasti stavebnictva, obchodu, prepravy tovaru, zasobovania, udrzby ciest a chodnikov, terenne upravy. buranie, kosenie, udrzba, terenne upravy, doprava tovaru           Register partnerov VS</v>
      </c>
      <c r="AQ73" s="37"/>
    </row>
    <row r="74" ht="15.75" customHeight="1">
      <c r="A74" s="43"/>
      <c r="B74" s="59">
        <v>75.0</v>
      </c>
      <c r="C74" s="78" t="s">
        <v>890</v>
      </c>
      <c r="D74" s="41" t="s">
        <v>134</v>
      </c>
      <c r="E74" s="38" t="str">
        <f t="shared" si="1"/>
        <v>Trenčiansky kraj, &amp;#32celé Slovensko</v>
      </c>
      <c r="F74" s="42" t="s">
        <v>891</v>
      </c>
      <c r="G74" s="38" t="str">
        <f t="shared" si="2"/>
        <v>čistiace a upratovacie služby, vzdelávanie, reklama, pre deti, bižutéria a darčekové predmety, iné (tovary a služby), &amp;#32všetky kategórie</v>
      </c>
      <c r="H74" s="42" t="s">
        <v>53</v>
      </c>
      <c r="I74" s="43" t="str">
        <f t="shared" si="3"/>
        <v>1 - 5, &amp;#32všetky možnosti</v>
      </c>
      <c r="J74" s="44" t="str">
        <f t="shared" si="7"/>
        <v>,,Náhradné plnenie</v>
      </c>
      <c r="K74" s="45">
        <f t="shared" si="5"/>
        <v>261.1667327</v>
      </c>
      <c r="L74" s="43"/>
      <c r="M74" s="43" t="str">
        <f>IFERROR(__xludf.DUMMYFUNCTION("SPLIT(O74,"","")"),"Soblahov 646")</f>
        <v>Soblahov 646</v>
      </c>
      <c r="N74" s="43" t="str">
        <f>IFERROR(__xludf.DUMMYFUNCTION("""COMPUTED_VALUE""")," 913 38 Soblahov")</f>
        <v> 913 38 Soblahov</v>
      </c>
      <c r="O74" s="42" t="s">
        <v>892</v>
      </c>
      <c r="P74" s="43">
        <v>48.8639723</v>
      </c>
      <c r="Q74" s="43">
        <v>18.079831</v>
      </c>
      <c r="R74" s="46" t="s">
        <v>893</v>
      </c>
      <c r="S74" s="69" t="s">
        <v>894</v>
      </c>
      <c r="T74" s="70" t="s">
        <v>895</v>
      </c>
      <c r="U74" s="61" t="s">
        <v>896</v>
      </c>
      <c r="V74" s="50" t="s">
        <v>897</v>
      </c>
      <c r="W74" s="55" t="s">
        <v>898</v>
      </c>
      <c r="X74" s="71" t="s">
        <v>899</v>
      </c>
      <c r="Y74" s="72" t="s">
        <v>900</v>
      </c>
      <c r="Z74" s="53" t="s">
        <v>901</v>
      </c>
      <c r="AA74" s="52" t="s">
        <v>64</v>
      </c>
      <c r="AB74" s="55"/>
      <c r="AC74" s="56"/>
      <c r="AD74" s="56"/>
      <c r="AE74" s="55"/>
      <c r="AF74" s="55"/>
      <c r="AG74" s="56"/>
      <c r="AH74" s="56"/>
      <c r="AI74" s="55"/>
      <c r="AJ74" s="55"/>
      <c r="AK74" s="56"/>
      <c r="AL74" s="56"/>
      <c r="AM74" s="34"/>
      <c r="AN74" s="55"/>
      <c r="AO74" s="57" t="s">
        <v>40</v>
      </c>
      <c r="AP74" s="58" t="str">
        <f t="shared" si="6"/>
        <v>Bellus Labor o. z. cistiace a upratovacie sluzby, vzdelavanie, reklama, pre deti, bizuteria a darcekove predmety, ine (tovary a sluzby), &amp;#32vsetky kategorie  913 38 Soblahov Ponukame dekoracne a prezentacne predmety, vhodne aj ako darcek. Je mozne zadat aj konkretnu predstavu a dohodnut produkt individualne. Dekoracne predmety su viazane na rocne obdobia a sviatky, napr. vianocne a velkonocne ozdoby a dekoracie, ale aj nadcasove a personalizovane dekoracie a darceky, napr. klucenky, menovky, svietniky, mydielka, site vyrobky, a pod. Vyrobky vyrabame vo velkej miere z prirodnych materialov, recyklovanim nepouzivanych materialov, hliny. Zamestnavame zdravotne znevyhodnenych obcanov, ktorym zdravotne znevyhodnenie nedovoluje zamestnat sa bez zvyhodnenych podmienok. Bellus Labor o.z. Dekoracne predmety, darcekove predmety, prezentacne predmety a personalizovane predmety (menovka, vyrobok s logom firmy...) vianocna ozdoba, svietnik, levandulove ozdoby, vianocne prestieranie, levandulova babika, vencek, menovka, taska, reklamne predmety           </v>
      </c>
      <c r="AQ74" s="37"/>
    </row>
    <row r="75" ht="15.75" customHeight="1">
      <c r="A75" s="43"/>
      <c r="B75" s="59">
        <v>76.0</v>
      </c>
      <c r="C75" s="78" t="s">
        <v>902</v>
      </c>
      <c r="D75" s="41" t="s">
        <v>134</v>
      </c>
      <c r="E75" s="38" t="str">
        <f t="shared" si="1"/>
        <v>Trenčiansky kraj, &amp;#32celé Slovensko</v>
      </c>
      <c r="F75" s="42" t="s">
        <v>870</v>
      </c>
      <c r="G75" s="38" t="str">
        <f t="shared" si="2"/>
        <v>čistiace a upratovacie služby, poľnohospodárstvo a lesníctvo, dom a záhrada, stavebníctvo, &amp;#32všetky kategórie</v>
      </c>
      <c r="H75" s="42" t="s">
        <v>53</v>
      </c>
      <c r="I75" s="43" t="str">
        <f t="shared" si="3"/>
        <v>1 - 5, &amp;#32všetky možnosti</v>
      </c>
      <c r="J75" s="44" t="str">
        <f t="shared" si="7"/>
        <v>,Register partnerov VS,</v>
      </c>
      <c r="K75" s="45">
        <f t="shared" si="5"/>
        <v>25878.05218</v>
      </c>
      <c r="L75" s="43"/>
      <c r="M75" s="43" t="str">
        <f>IFERROR(__xludf.DUMMYFUNCTION("SPLIT(O75,"","")"),"Kocurany 105")</f>
        <v>Kocurany 105</v>
      </c>
      <c r="N75" s="43" t="str">
        <f>IFERROR(__xludf.DUMMYFUNCTION("""COMPUTED_VALUE""")," 972 02 Kocurany")</f>
        <v> 972 02 Kocurany</v>
      </c>
      <c r="O75" s="42" t="s">
        <v>903</v>
      </c>
      <c r="P75" s="43">
        <v>48.7710801</v>
      </c>
      <c r="Q75" s="43">
        <v>18.543181</v>
      </c>
      <c r="R75" s="46" t="s">
        <v>904</v>
      </c>
      <c r="S75" s="69" t="s">
        <v>905</v>
      </c>
      <c r="T75" s="70" t="s">
        <v>86</v>
      </c>
      <c r="U75" s="61" t="s">
        <v>906</v>
      </c>
      <c r="V75" s="50" t="s">
        <v>907</v>
      </c>
      <c r="W75" s="55" t="s">
        <v>908</v>
      </c>
      <c r="X75" s="71" t="s">
        <v>902</v>
      </c>
      <c r="Y75" s="72" t="s">
        <v>904</v>
      </c>
      <c r="Z75" s="53" t="s">
        <v>909</v>
      </c>
      <c r="AA75" s="52" t="s">
        <v>64</v>
      </c>
      <c r="AB75" s="55"/>
      <c r="AC75" s="56"/>
      <c r="AD75" s="56"/>
      <c r="AE75" s="55"/>
      <c r="AF75" s="55"/>
      <c r="AG75" s="56"/>
      <c r="AH75" s="56"/>
      <c r="AI75" s="55"/>
      <c r="AJ75" s="55"/>
      <c r="AK75" s="56"/>
      <c r="AL75" s="56"/>
      <c r="AM75" s="47"/>
      <c r="AN75" s="62" t="s">
        <v>39</v>
      </c>
      <c r="AO75" s="64"/>
      <c r="AP75" s="58" t="str">
        <f t="shared" si="6"/>
        <v>Obecne sluzby Kocurany s. r. o. cistiace a upratovacie sluzby, polnohospodarstvo a lesnictvo, dom a zahrada, stavebnictvo, &amp;#32vsetky kategorie  972 02 Kocurany Rozvoj obce realizaciou vystavby niektorych investicnych zamerov obce, zabezpecenie oprav a udrzby obecneho majetku, udrziavanie bezpecnosti a cistoty verejnych priestranstiev. Zabezpecovanie verejnoprospesnych sluzieb - dovoz dreva, stiepkovanie drevnej hmoty, nakladanie a odvoz rozneho materialu, vystavba stojisk na zberne nadoby, rekonstrukcia a vystavba obecnych chodnikov a pod. Podpora regionalneho rozvoja, zamestnanie zranitelnych a znevyhodnenych osob. Obecne sluzby Kocurany s. r. o. Rozvoj obce realizaciou vystavby niektorych investicnych zamerov obce, zabezpecenie oprav a udrzby obecneho majetku, udrziavanie bezpecnosti a cistoty verejnych priestranstiev. Zabezpecovanie verejnoprospesnych sluzieb - dovoz dreva, stiepkovanie drevnej hmoty, nakladanie a odvoz rozneho materialu, vystavba stojisk na zberne nadoby, rekonstrukcia a vystavba obecnych chodnikov a pod. stavba, vystavba, opravy,     udrzba, verejnoprospesne sluzby, stiepkovanie drevnej hmoty, doprava, stavebne prace, rekonsrukcie           Register partnerov VS</v>
      </c>
      <c r="AQ75" s="37"/>
    </row>
    <row r="76" ht="15.75" customHeight="1">
      <c r="A76" s="43"/>
      <c r="B76" s="59">
        <v>77.0</v>
      </c>
      <c r="C76" s="78" t="s">
        <v>910</v>
      </c>
      <c r="D76" s="41" t="s">
        <v>134</v>
      </c>
      <c r="E76" s="38" t="str">
        <f t="shared" si="1"/>
        <v>Trenčiansky kraj, &amp;#32celé Slovensko</v>
      </c>
      <c r="F76" s="42" t="s">
        <v>911</v>
      </c>
      <c r="G76" s="38" t="str">
        <f t="shared" si="2"/>
        <v>krása-zdravie-relax, &amp;#32všetky kategórie</v>
      </c>
      <c r="H76" s="42" t="s">
        <v>170</v>
      </c>
      <c r="I76" s="43" t="str">
        <f t="shared" si="3"/>
        <v>21 a viac, &amp;#32všetky možnosti</v>
      </c>
      <c r="J76" s="44" t="str">
        <f t="shared" si="7"/>
        <v>,Register partnerov VS,Náhradné plnenie</v>
      </c>
      <c r="K76" s="45">
        <f t="shared" si="5"/>
        <v>8402.159664</v>
      </c>
      <c r="L76" s="43"/>
      <c r="M76" s="43" t="str">
        <f>IFERROR(__xludf.DUMMYFUNCTION("SPLIT(O76,"","")"),"Súvoz 732/1")</f>
        <v>Súvoz 732/1</v>
      </c>
      <c r="N76" s="43" t="str">
        <f>IFERROR(__xludf.DUMMYFUNCTION("""COMPUTED_VALUE""")," 911 01 Trenčín
")</f>
        <v> 911 01 Trenčín
</v>
      </c>
      <c r="O76" s="42" t="s">
        <v>912</v>
      </c>
      <c r="P76" s="43">
        <v>48.8935516</v>
      </c>
      <c r="Q76" s="43">
        <v>18.0690952</v>
      </c>
      <c r="R76" s="46" t="s">
        <v>913</v>
      </c>
      <c r="S76" s="69" t="s">
        <v>914</v>
      </c>
      <c r="T76" s="70" t="s">
        <v>915</v>
      </c>
      <c r="U76" s="61" t="s">
        <v>916</v>
      </c>
      <c r="V76" s="50" t="s">
        <v>917</v>
      </c>
      <c r="W76" s="55" t="s">
        <v>918</v>
      </c>
      <c r="X76" s="71" t="s">
        <v>919</v>
      </c>
      <c r="Y76" s="72" t="s">
        <v>920</v>
      </c>
      <c r="Z76" s="53" t="s">
        <v>921</v>
      </c>
      <c r="AA76" s="52" t="s">
        <v>64</v>
      </c>
      <c r="AB76" s="55"/>
      <c r="AC76" s="56"/>
      <c r="AD76" s="56"/>
      <c r="AE76" s="55"/>
      <c r="AF76" s="55"/>
      <c r="AG76" s="56"/>
      <c r="AH76" s="56"/>
      <c r="AI76" s="55"/>
      <c r="AJ76" s="55"/>
      <c r="AK76" s="56"/>
      <c r="AL76" s="56"/>
      <c r="AM76" s="47"/>
      <c r="AN76" s="62" t="s">
        <v>39</v>
      </c>
      <c r="AO76" s="57" t="s">
        <v>40</v>
      </c>
      <c r="AP76" s="58" t="str">
        <f t="shared" si="6"/>
        <v>MAYO tech s.r.o. krasa-zdravie-relax, &amp;#32vsetky kategorie  911 01 Trencin
 Podnikame v dvoch oblastiach: 
hlavnou cinnostou je vyroba bicyklov, elektrickych bicyklov a trojkoliek;
v prevadzke Kryowell poskytujeme sluzby wellness. Zamestnavame zamestnancov s roznymi druhmi zdravotneho znevyhodnenia. Kryowell Ponukame sluzby wellness: masaze, celotelovu a lokalnu kryoterapiu, saunu, whirlpool, solnu jaskynu. wellness, masaze, celotelova a lokalna kryoterapia, sauna, whirlpool, solna jaskyna           Register partnerov VS</v>
      </c>
      <c r="AQ76" s="37"/>
    </row>
    <row r="77" ht="15.75" customHeight="1">
      <c r="A77" s="43"/>
      <c r="B77" s="59">
        <v>78.0</v>
      </c>
      <c r="C77" s="78" t="s">
        <v>922</v>
      </c>
      <c r="D77" s="41" t="s">
        <v>66</v>
      </c>
      <c r="E77" s="38" t="str">
        <f t="shared" si="1"/>
        <v>Žilinský kraj, &amp;#32celé Slovensko</v>
      </c>
      <c r="F77" s="42" t="s">
        <v>923</v>
      </c>
      <c r="G77" s="38" t="str">
        <f t="shared" si="2"/>
        <v>ubytovacie a stravovacie služby, potraviny a nápoje, odevy a obuv, nábytok a bytové doplnky, &amp;#32všetky kategórie</v>
      </c>
      <c r="H77" s="42" t="s">
        <v>68</v>
      </c>
      <c r="I77" s="43" t="str">
        <f t="shared" si="3"/>
        <v>16 - 20, &amp;#32všetky možnosti</v>
      </c>
      <c r="J77" s="44" t="str">
        <f t="shared" si="7"/>
        <v>,,</v>
      </c>
      <c r="K77" s="45">
        <f t="shared" si="5"/>
        <v>28506.02519</v>
      </c>
      <c r="L77" s="43"/>
      <c r="M77" s="43" t="str">
        <f>IFERROR(__xludf.DUMMYFUNCTION("SPLIT(O77,"","")"),"Mláka 5/8")</f>
        <v>Mláka 5/8</v>
      </c>
      <c r="N77" s="43" t="str">
        <f>IFERROR(__xludf.DUMMYFUNCTION("""COMPUTED_VALUE""")," 029 01 Námestovo")</f>
        <v> 029 01 Námestovo</v>
      </c>
      <c r="O77" s="42" t="s">
        <v>924</v>
      </c>
      <c r="P77" s="43">
        <v>49.4035845999999</v>
      </c>
      <c r="Q77" s="43">
        <v>19.4789057</v>
      </c>
      <c r="R77" s="46" t="s">
        <v>925</v>
      </c>
      <c r="S77" s="69" t="s">
        <v>926</v>
      </c>
      <c r="T77" s="70" t="s">
        <v>86</v>
      </c>
      <c r="U77" s="61" t="s">
        <v>927</v>
      </c>
      <c r="V77" s="50" t="s">
        <v>928</v>
      </c>
      <c r="W77" s="55" t="s">
        <v>929</v>
      </c>
      <c r="X77" s="71" t="s">
        <v>922</v>
      </c>
      <c r="Y77" s="72" t="s">
        <v>930</v>
      </c>
      <c r="Z77" s="53" t="s">
        <v>931</v>
      </c>
      <c r="AA77" s="67" t="s">
        <v>129</v>
      </c>
      <c r="AB77" s="55" t="s">
        <v>932</v>
      </c>
      <c r="AC77" s="56" t="s">
        <v>933</v>
      </c>
      <c r="AD77" s="56" t="s">
        <v>934</v>
      </c>
      <c r="AE77" s="55" t="s">
        <v>64</v>
      </c>
      <c r="AF77" s="55"/>
      <c r="AG77" s="56"/>
      <c r="AH77" s="56"/>
      <c r="AI77" s="55"/>
      <c r="AJ77" s="55"/>
      <c r="AK77" s="56"/>
      <c r="AL77" s="56"/>
      <c r="AM77" s="34"/>
      <c r="AN77" s="55"/>
      <c r="AO77" s="64"/>
      <c r="AP77" s="58" t="str">
        <f t="shared" si="6"/>
        <v>Peter Vernicek ubytovacie a stravovacie sluzby, potraviny a napoje, odevy a obuv, nabytok a bytove doplnky, &amp;#32vsetky kategorie  029 01 Namestovo V nasej roznorodej ponuke mame gastronomicke vyrobky - vyroba a predaj bagiet, chlebicky, salaty a zabezpecujeme aj catering; prevadzkujeme tiez predaj obuvi a bytoveho textilu.
Nasi zakaznici su maloobchodne prevadzky, obyvatelia regionu a rozne firmy. Zamestnavame znevyhodnene a zranitelne osoby. Peter Vernicek Gastrovyrobky -  vyroba a predaj bagiet, chlebicky, salaty a zabezpecujeme aj catering bufet, gastro, chlebicky, salaty, catering, bytovy textil, obuv Peter Vernicek - bytovy textil Bytovy textil, doplnky. bytovy textil,         </v>
      </c>
      <c r="AQ77" s="37"/>
    </row>
    <row r="78" ht="15.75" customHeight="1">
      <c r="A78" s="43"/>
      <c r="B78" s="59">
        <v>80.0</v>
      </c>
      <c r="C78" s="78" t="s">
        <v>935</v>
      </c>
      <c r="D78" s="41" t="s">
        <v>134</v>
      </c>
      <c r="E78" s="38" t="str">
        <f t="shared" si="1"/>
        <v>Trenčiansky kraj, &amp;#32celé Slovensko</v>
      </c>
      <c r="F78" s="42" t="s">
        <v>936</v>
      </c>
      <c r="G78" s="38" t="str">
        <f t="shared" si="2"/>
        <v>potraviny a nápoje, odevy a obuv, elektro, iné (tovary a služby), &amp;#32všetky kategórie</v>
      </c>
      <c r="H78" s="42" t="s">
        <v>170</v>
      </c>
      <c r="I78" s="43" t="str">
        <f t="shared" si="3"/>
        <v>21 a viac, &amp;#32všetky možnosti</v>
      </c>
      <c r="J78" s="44" t="str">
        <f t="shared" si="7"/>
        <v>,Register partnerov VS,Náhradné plnenie</v>
      </c>
      <c r="K78" s="45">
        <f t="shared" si="5"/>
        <v>44861.7344</v>
      </c>
      <c r="L78" s="43"/>
      <c r="M78" s="43" t="str">
        <f>IFERROR(__xludf.DUMMYFUNCTION("SPLIT(O78,"","")"),"Dúbrava 592")</f>
        <v>Dúbrava 592</v>
      </c>
      <c r="N78" s="43" t="str">
        <f>IFERROR(__xludf.DUMMYFUNCTION("""COMPUTED_VALUE""")," 913 33 Horná Súča ")</f>
        <v> 913 33 Horná Súča </v>
      </c>
      <c r="O78" s="42" t="s">
        <v>937</v>
      </c>
      <c r="P78" s="43">
        <v>48.9582028</v>
      </c>
      <c r="Q78" s="43">
        <v>17.9791958</v>
      </c>
      <c r="R78" s="46" t="s">
        <v>938</v>
      </c>
      <c r="S78" s="69" t="s">
        <v>939</v>
      </c>
      <c r="T78" s="70" t="s">
        <v>940</v>
      </c>
      <c r="U78" s="61" t="s">
        <v>941</v>
      </c>
      <c r="V78" s="50" t="s">
        <v>942</v>
      </c>
      <c r="W78" s="55" t="s">
        <v>943</v>
      </c>
      <c r="X78" s="71" t="s">
        <v>935</v>
      </c>
      <c r="Y78" s="72" t="s">
        <v>944</v>
      </c>
      <c r="Z78" s="53" t="s">
        <v>945</v>
      </c>
      <c r="AA78" s="52" t="s">
        <v>64</v>
      </c>
      <c r="AB78" s="55"/>
      <c r="AC78" s="56"/>
      <c r="AD78" s="56"/>
      <c r="AE78" s="55"/>
      <c r="AF78" s="55"/>
      <c r="AG78" s="56"/>
      <c r="AH78" s="56"/>
      <c r="AI78" s="55"/>
      <c r="AJ78" s="55"/>
      <c r="AK78" s="56"/>
      <c r="AL78" s="56"/>
      <c r="AM78" s="47"/>
      <c r="AN78" s="62" t="s">
        <v>39</v>
      </c>
      <c r="AO78" s="57" t="s">
        <v>40</v>
      </c>
      <c r="AP78" s="58" t="str">
        <f t="shared" si="6"/>
        <v>S &amp; J Group, s.r.o. potraviny a napoje, odevy a obuv, elektro, ine (tovary a sluzby), &amp;#32vsetky kategorie  913 33 Horna Suca  Specializujeme sa na maloseriovu manualnu vyrobu, organizujeme a planujeme vyrobu pre dve priemyselne odvetvia: vyrobu kablovych zvazkov a spracovanie ovocnych dezertov (plnene datle).
Dokazeme sa flexibilne prisposobit necakanym situaciam: potravinarsku vyrobu s 30 pracovnikmi sme rozbehli za 4 tyzdne a medzicasom ju aj raz prestahovali; v prvej vlne Covidovej pandemie sme 90% vyrobnej kapacity pretransformovali na sitie 
latkovych rusok; mame skusenosti s vyrobou produktov zo syntetickych lan.
Ako obchodny partner dokazeme: prevziat cast vasej vyroby alebo pripravy vyroby, pomoct s testovanim novych a inovovanych postupov vasej terajsej vyroby, pomoct s testovanim vyrobnych procesov a postupov pri novych produktoch pred spustenim masovej vyroby (vratane marketingovych a obchodnych vzoriek), rucne maloobjemovo vyrabat vase luxusne produkty, pomahat vo vyvoji, vyskume a inovaciach produktov a pri experimentalnej vyrobe. Sest rokov nachadzame riesenia, ktore prinasaju prospech vsetkym zucastnenym stranam: obchodnym partnerom, zamestnancom, dodavatelom. Priemerne zamestnavame 60 ludi, z toho je 37 zdravotne znevyhodnenych. Davame sancu byt uzitocnymi a prospesnymi sebe, rodine i spolocnosti aj tym, s ktorymi uz nikto nepocita... Firmy u nas najdu svoj dlhodoby projekt/program zodpovedneho podnikania a komunitnej podpory. S &amp; J Group, s.r.o. Potravinarska vyroba: plnenie datli, vazenie, balenie (automaticka balicka), etiketovanie, skladovanie.
Vyroba kablovych zvazkov: montaz a testovanie kablovych zostav do vysokotepelnych peci a automotive.
Krajcirska dielna: ruska, reflexne prvky, konfekcna vyroba, zakazkova vyroba.
Preprava tovaru: zabezpecime prepravu tovaru dodavatelov k nam a od nas k zakaznikom. potraviny, susene ovocie, datle, mandle, vlasske orechy, marcipan, orechy, mix, balenie, etikety, etiketovanie, sklad, kablove zvazky, kablove zostavy, montaz, testovanie, vysokotepelne pece, automotive, krajcirska dielna, ruska, reflexne prvky, konfekcia, zakazkova vyroba, tulivaky, preprava tovaru, synteticke lana           Register partnerov VS</v>
      </c>
      <c r="AQ78" s="37"/>
    </row>
    <row r="79" ht="15.75" customHeight="1">
      <c r="A79" s="43"/>
      <c r="B79" s="59">
        <v>81.0</v>
      </c>
      <c r="C79" s="78" t="s">
        <v>946</v>
      </c>
      <c r="D79" s="41" t="s">
        <v>66</v>
      </c>
      <c r="E79" s="38" t="str">
        <f t="shared" si="1"/>
        <v>Žilinský kraj, &amp;#32celé Slovensko</v>
      </c>
      <c r="F79" s="42" t="s">
        <v>947</v>
      </c>
      <c r="G79" s="38" t="str">
        <f t="shared" si="2"/>
        <v>čistiace a upratovacie služby, dom a záhrada, stavebníctvo, &amp;#32všetky kategórie</v>
      </c>
      <c r="H79" s="42" t="s">
        <v>53</v>
      </c>
      <c r="I79" s="43" t="str">
        <f t="shared" si="3"/>
        <v>1 - 5, &amp;#32všetky možnosti</v>
      </c>
      <c r="J79" s="44" t="str">
        <f t="shared" si="7"/>
        <v>,Register partnerov VS,Náhradné plnenie</v>
      </c>
      <c r="K79" s="45">
        <f t="shared" si="5"/>
        <v>26159.76895</v>
      </c>
      <c r="L79" s="43"/>
      <c r="M79" s="43" t="str">
        <f>IFERROR(__xludf.DUMMYFUNCTION("SPLIT(O79,"","")"),"Stred 449")</f>
        <v>Stred 449</v>
      </c>
      <c r="N79" s="43" t="str">
        <f>IFERROR(__xludf.DUMMYFUNCTION("""COMPUTED_VALUE""")," 027 05 Zázrivá")</f>
        <v> 027 05 Zázrivá</v>
      </c>
      <c r="O79" s="42" t="s">
        <v>948</v>
      </c>
      <c r="P79" s="43">
        <v>49.2718455</v>
      </c>
      <c r="Q79" s="43">
        <v>19.1507757</v>
      </c>
      <c r="R79" s="46" t="s">
        <v>949</v>
      </c>
      <c r="S79" s="69" t="s">
        <v>950</v>
      </c>
      <c r="T79" s="70" t="s">
        <v>86</v>
      </c>
      <c r="U79" s="61" t="s">
        <v>951</v>
      </c>
      <c r="V79" s="50" t="s">
        <v>952</v>
      </c>
      <c r="W79" s="55" t="s">
        <v>953</v>
      </c>
      <c r="X79" s="71" t="s">
        <v>946</v>
      </c>
      <c r="Y79" s="72" t="s">
        <v>954</v>
      </c>
      <c r="Z79" s="53" t="s">
        <v>955</v>
      </c>
      <c r="AA79" s="52" t="s">
        <v>64</v>
      </c>
      <c r="AB79" s="55"/>
      <c r="AC79" s="56"/>
      <c r="AD79" s="56"/>
      <c r="AE79" s="55"/>
      <c r="AF79" s="55"/>
      <c r="AG79" s="56"/>
      <c r="AH79" s="56"/>
      <c r="AI79" s="55"/>
      <c r="AJ79" s="55"/>
      <c r="AK79" s="56"/>
      <c r="AL79" s="56"/>
      <c r="AM79" s="47"/>
      <c r="AN79" s="62" t="s">
        <v>39</v>
      </c>
      <c r="AO79" s="57" t="s">
        <v>40</v>
      </c>
      <c r="AP79" s="58" t="str">
        <f t="shared" si="6"/>
        <v>Nestor sluzby s.r.o. cistiace a upratovacie sluzby, dom a zahrada, stavebnictvo, &amp;#32vsetky kategorie  027 05 Zazriva Spolocnost NESTOR sluzby s.r.o. sa venuje, okrem ineho, poskytovaniu prania, zehlenia a manglovania bielizne, upratovacim sluzbam, zahradnickym pracam, organizovaniu sportovych, kulturnych a inych spolocenskych podujati, drobnym stavebnym pracam a udrzbe budov.
 Nasa spolocnost prispieva k dosahovaniu pozitivneho socialneho vplyvu poskytovanim spolocensky prospesnej sluzby v oblasti zamestnanosti, a to zamestnavanim zranitelnych osob a znevyhodnenych osob v nasej pracovni. Kolegovia budu zacleneni do kolektivu, kde budu mat rovnake pracovne podmienky, ako zamestnanci bez znevyhodnenia. Zaroven si osvoja pracovne navyky a ziskaju nove zrucnosti pre vykon povolania, co zvysi sance na ich opatovne spolocenske a pracovne zaclenenie beruc do uvahy ich novonadobudnutu mieru financnej autonomie a samostatnosti, sebadovery ci schopnosti fungovat v prostredi pracovneho kolektivu. Nestor sluzby s.r.o. Sluzby pracovne (pranie, zehlenie a manglovanie bielizne), upratovacie sluzby, zahradnicke prace, drobne stavebne prace, udrzba budovy. pracovna, pranie, zehlenie, manglovanie bielizne upratovanie, kosenie, drobne stavebne prace, zahradnicke prace           Register partnerov VS</v>
      </c>
      <c r="AQ79" s="37"/>
    </row>
    <row r="80" ht="15.75" customHeight="1">
      <c r="A80" s="43"/>
      <c r="B80" s="59">
        <v>83.0</v>
      </c>
      <c r="C80" s="96" t="s">
        <v>956</v>
      </c>
      <c r="D80" s="41" t="s">
        <v>134</v>
      </c>
      <c r="E80" s="38" t="str">
        <f t="shared" si="1"/>
        <v>Trenčiansky kraj, &amp;#32celé Slovensko</v>
      </c>
      <c r="F80" s="42" t="s">
        <v>689</v>
      </c>
      <c r="G80" s="38" t="str">
        <f t="shared" si="2"/>
        <v>dom a záhrada, stavebníctvo, &amp;#32všetky kategórie</v>
      </c>
      <c r="H80" s="42" t="s">
        <v>96</v>
      </c>
      <c r="I80" s="43" t="str">
        <f t="shared" si="3"/>
        <v>6 - 10, &amp;#32všetky možnosti</v>
      </c>
      <c r="J80" s="44" t="str">
        <f t="shared" si="7"/>
        <v>,,</v>
      </c>
      <c r="K80" s="45">
        <f t="shared" si="5"/>
        <v>33956.90713</v>
      </c>
      <c r="L80" s="43"/>
      <c r="M80" s="43" t="str">
        <f>IFERROR(__xludf.DUMMYFUNCTION("SPLIT(O80,"","")"),"Bolešov 1038")</f>
        <v>Bolešov 1038</v>
      </c>
      <c r="N80" s="43" t="str">
        <f>IFERROR(__xludf.DUMMYFUNCTION("""COMPUTED_VALUE""")," 018 53 Bolešov")</f>
        <v> 018 53 Bolešov</v>
      </c>
      <c r="O80" s="42" t="s">
        <v>957</v>
      </c>
      <c r="P80" s="43">
        <v>48.9833396</v>
      </c>
      <c r="Q80" s="43">
        <v>18.1509953</v>
      </c>
      <c r="R80" s="46" t="s">
        <v>958</v>
      </c>
      <c r="S80" s="69" t="s">
        <v>959</v>
      </c>
      <c r="T80" s="70" t="s">
        <v>960</v>
      </c>
      <c r="U80" s="61" t="s">
        <v>961</v>
      </c>
      <c r="V80" s="50" t="s">
        <v>962</v>
      </c>
      <c r="W80" s="55" t="s">
        <v>963</v>
      </c>
      <c r="X80" s="71" t="s">
        <v>956</v>
      </c>
      <c r="Y80" s="72" t="s">
        <v>964</v>
      </c>
      <c r="Z80" s="53" t="s">
        <v>965</v>
      </c>
      <c r="AA80" s="52" t="s">
        <v>64</v>
      </c>
      <c r="AB80" s="55"/>
      <c r="AC80" s="56"/>
      <c r="AD80" s="56"/>
      <c r="AE80" s="55"/>
      <c r="AF80" s="55"/>
      <c r="AG80" s="56"/>
      <c r="AH80" s="56"/>
      <c r="AI80" s="55"/>
      <c r="AJ80" s="55"/>
      <c r="AK80" s="56"/>
      <c r="AL80" s="56"/>
      <c r="AM80" s="34"/>
      <c r="AN80" s="34"/>
      <c r="AO80" s="64"/>
      <c r="AP80" s="58" t="str">
        <f t="shared" si="6"/>
        <v>Pekna zahrada, spol. s r.o. dom a zahrada, stavebnictvo, &amp;#32vsetky kategorie  018 53 Bolesov Nasa firma sa venuje zahradnym a stavebnym pracam. Realizujeme zahrady na kluc, zavlahovy system, vysadbu stromov, vysev travnikov alebo pokladku hotovych travnych kobercov. Vypracuvame vlastne navrhy zahrad. Realizujeme aj stavebne prace: oplotenie, dlazby, chodniky, oporne muriky, schody a pod. Mame zamestnancov, ktori maju zdravotne znevyhodnenie. Pekna zahrada, spol. s r.o. Navrhy zahrad, spracovanie navrhov zavlahoveho systemu. zahrada, rastliny, zahradny material, stavebne prace, zavlazovaci system; zahradna architektura           </v>
      </c>
      <c r="AQ80" s="37"/>
    </row>
    <row r="81" ht="15.75" customHeight="1">
      <c r="A81" s="43"/>
      <c r="B81" s="59">
        <v>84.0</v>
      </c>
      <c r="C81" s="96" t="s">
        <v>966</v>
      </c>
      <c r="D81" s="41" t="s">
        <v>218</v>
      </c>
      <c r="E81" s="38" t="str">
        <f t="shared" si="1"/>
        <v>Košický kraj, &amp;#32celé Slovensko</v>
      </c>
      <c r="F81" s="42" t="s">
        <v>258</v>
      </c>
      <c r="G81" s="38" t="str">
        <f t="shared" si="2"/>
        <v>odevy a obuv, &amp;#32všetky kategórie</v>
      </c>
      <c r="H81" s="42" t="s">
        <v>170</v>
      </c>
      <c r="I81" s="43" t="str">
        <f t="shared" si="3"/>
        <v>21 a viac, &amp;#32všetky možnosti</v>
      </c>
      <c r="J81" s="44" t="str">
        <f t="shared" si="7"/>
        <v>,Register partnerov VS,Náhradné plnenie</v>
      </c>
      <c r="K81" s="45">
        <f t="shared" si="5"/>
        <v>14945.23455</v>
      </c>
      <c r="L81" s="43"/>
      <c r="M81" s="43" t="str">
        <f>IFERROR(__xludf.DUMMYFUNCTION("SPLIT(O81,"","")"),"Michalovská 73")</f>
        <v>Michalovská 73</v>
      </c>
      <c r="N81" s="43" t="str">
        <f>IFERROR(__xludf.DUMMYFUNCTION("""COMPUTED_VALUE""")," 073 01 Sobrance ")</f>
        <v> 073 01 Sobrance </v>
      </c>
      <c r="O81" s="42" t="s">
        <v>967</v>
      </c>
      <c r="P81" s="43">
        <v>48.7485584999999</v>
      </c>
      <c r="Q81" s="43">
        <v>22.1718717</v>
      </c>
      <c r="R81" s="46" t="s">
        <v>968</v>
      </c>
      <c r="S81" s="69" t="s">
        <v>969</v>
      </c>
      <c r="T81" s="70" t="s">
        <v>86</v>
      </c>
      <c r="U81" s="61" t="s">
        <v>970</v>
      </c>
      <c r="V81" s="50" t="s">
        <v>971</v>
      </c>
      <c r="W81" s="55" t="s">
        <v>972</v>
      </c>
      <c r="X81" s="71" t="s">
        <v>973</v>
      </c>
      <c r="Y81" s="72" t="s">
        <v>974</v>
      </c>
      <c r="Z81" s="53" t="s">
        <v>975</v>
      </c>
      <c r="AA81" s="52" t="s">
        <v>64</v>
      </c>
      <c r="AB81" s="55"/>
      <c r="AC81" s="56"/>
      <c r="AD81" s="56"/>
      <c r="AE81" s="55"/>
      <c r="AF81" s="55"/>
      <c r="AG81" s="56"/>
      <c r="AH81" s="56"/>
      <c r="AI81" s="55"/>
      <c r="AJ81" s="55"/>
      <c r="AK81" s="56"/>
      <c r="AL81" s="56"/>
      <c r="AM81" s="47"/>
      <c r="AN81" s="62" t="s">
        <v>39</v>
      </c>
      <c r="AO81" s="57" t="s">
        <v>40</v>
      </c>
      <c r="AP81" s="58" t="str">
        <f t="shared" si="6"/>
        <v>DOZA, vyrobne druzstvo odevy a obuv, &amp;#32vsetky kategorie  073 01 Sobrance  Hlavnou pracovnou cinnostou druzstva je vyroba pracovnych odevov, ochrannych pracovnych odevov pre zvaracov a inych textilnych vyrobkov.
Nasi zakaznici: strojarsky priemysel, polnohospodarstvo, stavebny priemysel, zdravotnictvo a ine odvetvia. Zamestnavanim znevyhodnenych osob. Doza, vyrobne druzstvo Vyroba pracovnych odevov. pracovne odevy, ochranne odevy           Register partnerov VS</v>
      </c>
      <c r="AQ81" s="37"/>
    </row>
    <row r="82" ht="15.75" customHeight="1">
      <c r="A82" s="43"/>
      <c r="B82" s="59">
        <v>85.0</v>
      </c>
      <c r="C82" s="96" t="s">
        <v>976</v>
      </c>
      <c r="D82" s="41" t="s">
        <v>51</v>
      </c>
      <c r="E82" s="38" t="str">
        <f t="shared" si="1"/>
        <v>Prešovský kraj, &amp;#32celé Slovensko</v>
      </c>
      <c r="F82" s="42" t="s">
        <v>258</v>
      </c>
      <c r="G82" s="38" t="str">
        <f t="shared" si="2"/>
        <v>odevy a obuv, &amp;#32všetky kategórie</v>
      </c>
      <c r="H82" s="42" t="s">
        <v>53</v>
      </c>
      <c r="I82" s="43" t="str">
        <f t="shared" si="3"/>
        <v>1 - 5, &amp;#32všetky možnosti</v>
      </c>
      <c r="J82" s="44" t="str">
        <f t="shared" si="7"/>
        <v>,,Náhradné plnenie</v>
      </c>
      <c r="K82" s="45">
        <f t="shared" si="5"/>
        <v>14437.59411</v>
      </c>
      <c r="L82" s="43"/>
      <c r="M82" s="43" t="str">
        <f>IFERROR(__xludf.DUMMYFUNCTION("SPLIT(O82,"","")"),"Nad traťou 1342/28")</f>
        <v>Nad traťou 1342/28</v>
      </c>
      <c r="N82" s="43" t="str">
        <f>IFERROR(__xludf.DUMMYFUNCTION("""COMPUTED_VALUE""")," 060 01 Kežmarok")</f>
        <v> 060 01 Kežmarok</v>
      </c>
      <c r="O82" s="42" t="s">
        <v>977</v>
      </c>
      <c r="P82" s="43">
        <v>49.1514414</v>
      </c>
      <c r="Q82" s="43">
        <v>20.4281537</v>
      </c>
      <c r="R82" s="46" t="s">
        <v>978</v>
      </c>
      <c r="S82" s="69" t="s">
        <v>979</v>
      </c>
      <c r="T82" s="70" t="s">
        <v>86</v>
      </c>
      <c r="U82" s="61" t="s">
        <v>980</v>
      </c>
      <c r="V82" s="50" t="s">
        <v>981</v>
      </c>
      <c r="W82" s="55" t="s">
        <v>982</v>
      </c>
      <c r="X82" s="71" t="s">
        <v>976</v>
      </c>
      <c r="Y82" s="72" t="s">
        <v>983</v>
      </c>
      <c r="Z82" s="53" t="s">
        <v>984</v>
      </c>
      <c r="AA82" s="52" t="s">
        <v>64</v>
      </c>
      <c r="AB82" s="55"/>
      <c r="AC82" s="56"/>
      <c r="AD82" s="56"/>
      <c r="AE82" s="55"/>
      <c r="AF82" s="55"/>
      <c r="AG82" s="56"/>
      <c r="AH82" s="56"/>
      <c r="AI82" s="55"/>
      <c r="AJ82" s="55"/>
      <c r="AK82" s="56"/>
      <c r="AL82" s="56"/>
      <c r="AM82" s="34"/>
      <c r="AN82" s="55"/>
      <c r="AO82" s="57" t="s">
        <v>40</v>
      </c>
      <c r="AP82" s="58" t="str">
        <f t="shared" si="6"/>
        <v>JuBaSa s.r.o. odevy a obuv, &amp;#32vsetky kategorie  060 01 Kezmarok Zaciname rozbiehat textilnu a odevnu vyrobu. Podnik sa venuje najma textilnej a odevnej vyrobe, uskutocnovaniu stavieb a ich zmien, pripravnym pracam k realizacii stavby, opracovaniu drevnej hmoty a vyrobe komponentov z dreva, vyrobe jednoduchych vyrobkov z dreva, korku a slamy, prutia a ich uprave, oprave a udrzbe. JuBaSa s.r.o. Rozbiehame textilnu a odevnu vyrobu. odevy, textil           </v>
      </c>
      <c r="AQ82" s="37"/>
    </row>
    <row r="83" ht="15.75" customHeight="1">
      <c r="A83" s="43"/>
      <c r="B83" s="59">
        <v>86.0</v>
      </c>
      <c r="C83" s="96" t="s">
        <v>985</v>
      </c>
      <c r="D83" s="41" t="s">
        <v>66</v>
      </c>
      <c r="E83" s="38" t="str">
        <f t="shared" si="1"/>
        <v>Žilinský kraj, &amp;#32celé Slovensko</v>
      </c>
      <c r="F83" s="42" t="s">
        <v>986</v>
      </c>
      <c r="G83" s="38" t="str">
        <f t="shared" si="2"/>
        <v>čistiace a upratovacie služby, dom a záhrada, stavebníctvo, doprava, ubytovacie a stravovacie služby, kultúra a šport, odpady a recyklácia, &amp;#32všetky kategórie</v>
      </c>
      <c r="H83" s="42" t="s">
        <v>53</v>
      </c>
      <c r="I83" s="43" t="str">
        <f t="shared" si="3"/>
        <v>1 - 5, &amp;#32všetky možnosti</v>
      </c>
      <c r="J83" s="44" t="str">
        <f t="shared" si="7"/>
        <v>,,Náhradné plnenie</v>
      </c>
      <c r="K83" s="45">
        <f t="shared" si="5"/>
        <v>18340.25327</v>
      </c>
      <c r="L83" s="43"/>
      <c r="M83" s="43" t="str">
        <f>IFERROR(__xludf.DUMMYFUNCTION("SPLIT(O83,"","")"),"Pribiš 141")</f>
        <v>Pribiš 141</v>
      </c>
      <c r="N83" s="43" t="str">
        <f>IFERROR(__xludf.DUMMYFUNCTION("""COMPUTED_VALUE""")," 027 41 Pribiš")</f>
        <v> 027 41 Pribiš</v>
      </c>
      <c r="O83" s="42" t="s">
        <v>987</v>
      </c>
      <c r="P83" s="43">
        <v>49.2204761</v>
      </c>
      <c r="Q83" s="43">
        <v>19.4055258</v>
      </c>
      <c r="R83" s="46" t="s">
        <v>988</v>
      </c>
      <c r="S83" s="69" t="s">
        <v>989</v>
      </c>
      <c r="T83" s="70" t="s">
        <v>990</v>
      </c>
      <c r="U83" s="61" t="s">
        <v>991</v>
      </c>
      <c r="V83" s="50" t="s">
        <v>992</v>
      </c>
      <c r="W83" s="55" t="s">
        <v>993</v>
      </c>
      <c r="X83" s="71" t="s">
        <v>994</v>
      </c>
      <c r="Y83" s="72" t="s">
        <v>995</v>
      </c>
      <c r="Z83" s="53" t="s">
        <v>996</v>
      </c>
      <c r="AA83" s="52" t="s">
        <v>64</v>
      </c>
      <c r="AB83" s="55"/>
      <c r="AC83" s="56"/>
      <c r="AD83" s="56"/>
      <c r="AE83" s="55"/>
      <c r="AF83" s="55"/>
      <c r="AG83" s="56"/>
      <c r="AH83" s="56"/>
      <c r="AI83" s="55"/>
      <c r="AJ83" s="55"/>
      <c r="AK83" s="56"/>
      <c r="AL83" s="56"/>
      <c r="AM83" s="34"/>
      <c r="AN83" s="55"/>
      <c r="AO83" s="57" t="s">
        <v>40</v>
      </c>
      <c r="AP83" s="58" t="str">
        <f t="shared" si="6"/>
        <v>Obecny Podnik Pribis, s.r.o. cistiace a upratovacie sluzby, dom a zahrada, stavebnictvo, doprava, ubytovacie a stravovacie sluzby, kultura a sport, odpady a recyklacia, &amp;#32vsetky kategorie  027 41 Pribis Nas obecny socialny podnik vykonava momentalne temer vsetku cast svojich sluzieb pre obec Pribis. Vykonavame hlavne stavebnu cinnost vsetkeho druhu na roznych rekonstrukciach v obci, takisto vykonavame vsetky sluzby pre obec, ale aj pre obcanov nasej obce, hlavne v dochodkovom veku. Nakoniec postupne rozbiehame vyrobu vlastnych odvodnovacich zlabov a betonovych plotov, ktore vyuzivame na odvodnovanie miestnych komunikacii v obci a na oplotenia pozemkov obecnych institucii. Cely zisk socialneho podniku investujeme v obci. Kedze nasa obec je prestarnuta, socialny podnik je napomocny seniorom a socialne slabsim obcanom. Obecny podnik Pribis, s.r.o. Rozbiehame vyrobu betonovych zlabov a plotov, ktore vsak momentalne dodavame iba pre nasu obec Pribis. V buducnosti by sme chceli vyrobu rozsirit a uspokojit tak dopyt aj z ostatnych obci. stavebne a buracie prace, kosenie, upratovanie, remeselne prace           </v>
      </c>
      <c r="AQ83" s="37"/>
    </row>
    <row r="84" ht="15.75" customHeight="1">
      <c r="A84" s="43"/>
      <c r="B84" s="59">
        <v>87.0</v>
      </c>
      <c r="C84" s="96" t="s">
        <v>997</v>
      </c>
      <c r="D84" s="41" t="s">
        <v>218</v>
      </c>
      <c r="E84" s="38" t="str">
        <f t="shared" si="1"/>
        <v>Košický kraj, &amp;#32celé Slovensko</v>
      </c>
      <c r="F84" s="42" t="s">
        <v>734</v>
      </c>
      <c r="G84" s="38" t="str">
        <f t="shared" si="2"/>
        <v>nábytok a bytové doplnky, &amp;#32všetky kategórie</v>
      </c>
      <c r="H84" s="42" t="s">
        <v>53</v>
      </c>
      <c r="I84" s="43" t="str">
        <f t="shared" si="3"/>
        <v>1 - 5, &amp;#32všetky možnosti</v>
      </c>
      <c r="J84" s="44" t="str">
        <f t="shared" si="7"/>
        <v>,,</v>
      </c>
      <c r="K84" s="45">
        <f t="shared" si="5"/>
        <v>4348.846589</v>
      </c>
      <c r="L84" s="43"/>
      <c r="M84" s="43" t="str">
        <f>IFERROR(__xludf.DUMMYFUNCTION("SPLIT(O84,"","")"),"Rastislavova 100")</f>
        <v>Rastislavova 100</v>
      </c>
      <c r="N84" s="43" t="str">
        <f>IFERROR(__xludf.DUMMYFUNCTION("""COMPUTED_VALUE""")," 040 01 Košice - mestská časť Juh ")</f>
        <v> 040 01 Košice - mestská časť Juh </v>
      </c>
      <c r="O84" s="42" t="s">
        <v>998</v>
      </c>
      <c r="P84" s="43">
        <v>48.6934238</v>
      </c>
      <c r="Q84" s="43">
        <v>21.2624391</v>
      </c>
      <c r="R84" s="46" t="s">
        <v>999</v>
      </c>
      <c r="S84" s="69" t="s">
        <v>1000</v>
      </c>
      <c r="T84" s="70" t="s">
        <v>1001</v>
      </c>
      <c r="U84" s="61" t="s">
        <v>1002</v>
      </c>
      <c r="V84" s="50" t="s">
        <v>1003</v>
      </c>
      <c r="W84" s="55" t="s">
        <v>1004</v>
      </c>
      <c r="X84" s="71" t="s">
        <v>1005</v>
      </c>
      <c r="Y84" s="72" t="s">
        <v>1006</v>
      </c>
      <c r="Z84" s="53" t="s">
        <v>1007</v>
      </c>
      <c r="AA84" s="52" t="s">
        <v>64</v>
      </c>
      <c r="AB84" s="55"/>
      <c r="AC84" s="56"/>
      <c r="AD84" s="56"/>
      <c r="AE84" s="55"/>
      <c r="AF84" s="55"/>
      <c r="AG84" s="56"/>
      <c r="AH84" s="56"/>
      <c r="AI84" s="55"/>
      <c r="AJ84" s="55"/>
      <c r="AK84" s="56"/>
      <c r="AL84" s="56"/>
      <c r="AM84" s="34"/>
      <c r="AN84" s="55"/>
      <c r="AO84" s="64"/>
      <c r="AP84" s="58" t="str">
        <f t="shared" si="6"/>
        <v>Patricius.sk s.r.o. nabytok a bytove doplnky, &amp;#32vsetky kategorie  040 01 Kosice - mestska cast Juh  Hotelovy a restauracny textil. Zamestnavame osoby so zdravotnym znevyhodnenim. Patricius.sk Predaj hoteloveho a restauracneho textilu. hotelovy textil, restauracny textil, obliecky, plachty, paplony, vankuse, hotelova kozmetika, matrace           </v>
      </c>
      <c r="AQ84" s="37"/>
    </row>
    <row r="85" ht="15.75" customHeight="1">
      <c r="A85" s="43"/>
      <c r="B85" s="59">
        <v>88.0</v>
      </c>
      <c r="C85" s="96" t="s">
        <v>1008</v>
      </c>
      <c r="D85" s="41" t="s">
        <v>134</v>
      </c>
      <c r="E85" s="38" t="str">
        <f t="shared" si="1"/>
        <v>Trenčiansky kraj, &amp;#32celé Slovensko</v>
      </c>
      <c r="F85" s="42" t="s">
        <v>1009</v>
      </c>
      <c r="G85" s="38" t="str">
        <f t="shared" si="2"/>
        <v>stavebníctvo, &amp;#32všetky kategórie</v>
      </c>
      <c r="H85" s="42" t="s">
        <v>96</v>
      </c>
      <c r="I85" s="43" t="str">
        <f t="shared" si="3"/>
        <v>6 - 10, &amp;#32všetky možnosti</v>
      </c>
      <c r="J85" s="44" t="str">
        <f t="shared" si="7"/>
        <v>,,</v>
      </c>
      <c r="K85" s="45">
        <f t="shared" si="5"/>
        <v>13854.85252</v>
      </c>
      <c r="L85" s="43"/>
      <c r="M85" s="43" t="str">
        <f>IFERROR(__xludf.DUMMYFUNCTION("SPLIT(O85,"","")"),"Ulica Ľ. Ondrejova 17A/1905")</f>
        <v>Ulica Ľ. Ondrejova 17A/1905</v>
      </c>
      <c r="N85" s="43" t="str">
        <f>IFERROR(__xludf.DUMMYFUNCTION("""COMPUTED_VALUE""")," 971 01 Prievidza")</f>
        <v> 971 01 Prievidza</v>
      </c>
      <c r="O85" s="42" t="s">
        <v>1010</v>
      </c>
      <c r="P85" s="43">
        <v>48.7817386</v>
      </c>
      <c r="Q85" s="43">
        <v>18.6188472</v>
      </c>
      <c r="R85" s="46" t="s">
        <v>1011</v>
      </c>
      <c r="S85" s="69" t="s">
        <v>1012</v>
      </c>
      <c r="T85" s="70" t="s">
        <v>86</v>
      </c>
      <c r="U85" s="61" t="s">
        <v>1013</v>
      </c>
      <c r="V85" s="50" t="s">
        <v>1014</v>
      </c>
      <c r="W85" s="55" t="s">
        <v>1015</v>
      </c>
      <c r="X85" s="71" t="s">
        <v>1008</v>
      </c>
      <c r="Y85" s="72" t="s">
        <v>1016</v>
      </c>
      <c r="Z85" s="53" t="s">
        <v>1017</v>
      </c>
      <c r="AA85" s="52" t="s">
        <v>64</v>
      </c>
      <c r="AB85" s="55"/>
      <c r="AC85" s="56"/>
      <c r="AD85" s="56"/>
      <c r="AE85" s="55"/>
      <c r="AF85" s="55"/>
      <c r="AG85" s="56"/>
      <c r="AH85" s="56"/>
      <c r="AI85" s="55"/>
      <c r="AJ85" s="55"/>
      <c r="AK85" s="56"/>
      <c r="AL85" s="56"/>
      <c r="AM85" s="34"/>
      <c r="AN85" s="55"/>
      <c r="AO85" s="64"/>
      <c r="AP85" s="58" t="str">
        <f t="shared" si="6"/>
        <v>IZONES, s. r. o. stavebnictvo, &amp;#32vsetky kategorie  971 01 Prievidza Hlavny predmet cinnosti je zalozeny na rekonstrukcii plochych striech stavieb. Nasimi klientmi su predovsetkym stavebne druzstva, spravcovia budov a individualni vlastnici stavieb. Vykonavame tiez montaze izolacnych a zateplovacich stavebnych systemov. Zamestnavanie znevyhodnenych osob. IZONES, s. r. o. Opravy a rekonstrukcie plochych striech stavieb. Opravy a rekonstrukcie plochych striech stavieb, ploche strechy           </v>
      </c>
      <c r="AQ85" s="37"/>
    </row>
    <row r="86" ht="15.75" customHeight="1">
      <c r="A86" s="43"/>
      <c r="B86" s="59">
        <v>89.0</v>
      </c>
      <c r="C86" s="96" t="s">
        <v>1018</v>
      </c>
      <c r="D86" s="41" t="s">
        <v>218</v>
      </c>
      <c r="E86" s="38" t="str">
        <f t="shared" si="1"/>
        <v>Košický kraj, &amp;#32celé Slovensko</v>
      </c>
      <c r="F86" s="42" t="s">
        <v>947</v>
      </c>
      <c r="G86" s="38" t="str">
        <f t="shared" si="2"/>
        <v>čistiace a upratovacie služby, dom a záhrada, stavebníctvo, &amp;#32všetky kategórie</v>
      </c>
      <c r="H86" s="42" t="s">
        <v>68</v>
      </c>
      <c r="I86" s="43" t="str">
        <f t="shared" si="3"/>
        <v>16 - 20, &amp;#32všetky možnosti</v>
      </c>
      <c r="J86" s="44" t="str">
        <f t="shared" si="7"/>
        <v>,Register partnerov VS,</v>
      </c>
      <c r="K86" s="45">
        <f t="shared" si="5"/>
        <v>8589.819166</v>
      </c>
      <c r="L86" s="43"/>
      <c r="M86" s="43" t="str">
        <f>IFERROR(__xludf.DUMMYFUNCTION("SPLIT(O86,"","")"),"Budimír 19")</f>
        <v>Budimír 19</v>
      </c>
      <c r="N86" s="43" t="str">
        <f>IFERROR(__xludf.DUMMYFUNCTION("""COMPUTED_VALUE""")," 044 43 Budimír")</f>
        <v> 044 43 Budimír</v>
      </c>
      <c r="O86" s="42" t="s">
        <v>1019</v>
      </c>
      <c r="P86" s="43">
        <v>48.7973148</v>
      </c>
      <c r="Q86" s="43">
        <v>21.3048207</v>
      </c>
      <c r="R86" s="46" t="s">
        <v>1020</v>
      </c>
      <c r="S86" s="69" t="s">
        <v>1021</v>
      </c>
      <c r="T86" s="70" t="s">
        <v>86</v>
      </c>
      <c r="U86" s="61" t="s">
        <v>1022</v>
      </c>
      <c r="V86" s="50" t="s">
        <v>1023</v>
      </c>
      <c r="W86" s="55" t="s">
        <v>1024</v>
      </c>
      <c r="X86" s="71" t="s">
        <v>1018</v>
      </c>
      <c r="Y86" s="72" t="s">
        <v>1025</v>
      </c>
      <c r="Z86" s="53" t="s">
        <v>1026</v>
      </c>
      <c r="AA86" s="52" t="s">
        <v>64</v>
      </c>
      <c r="AB86" s="55"/>
      <c r="AC86" s="56"/>
      <c r="AD86" s="56"/>
      <c r="AE86" s="55"/>
      <c r="AF86" s="55"/>
      <c r="AG86" s="56"/>
      <c r="AH86" s="56"/>
      <c r="AI86" s="55"/>
      <c r="AJ86" s="55"/>
      <c r="AK86" s="56"/>
      <c r="AL86" s="56"/>
      <c r="AM86" s="47"/>
      <c r="AN86" s="62" t="s">
        <v>39</v>
      </c>
      <c r="AO86" s="64"/>
      <c r="AP86" s="58" t="str">
        <f t="shared" si="6"/>
        <v>Budimirske sluzby s.r.o., registrovany socialny podnik cistiace a upratovacie sluzby, dom a zahrada, stavebnictvo, &amp;#32vsetky kategorie  044 43 Budimir Nasa spolocnost sa zameriava na sluzby verejnoprospesneho charakteru v obci Budimir (kosenie, udrziavanie cistoty v obci, zimna udrzba), pomaha aj pri organizovani kulturno-spolocenskych podujati. V neposlednom rade je to nasa stavebna cinnost, s ktorou sa na nas obracaju starostovia okolitych obci, kde sme realizovali rozne rekonstrukcie budov, ale aj fyzicke osoby, u ktorych sme robili rekonstrukcie striech, stavbu zakladovej dosky alebo obvodovych murov rodinnych domov. Zamestnavame znevyhodnenych obcanov, ci uz z romskej komunity alebo so zdravotnym znevyhodnenim, ktore im nedovoluje sa plnohodnotne zamestnat. Budimirske sluzby s.r.o., registrovany socialny podnik Aktualne ponukame verejnoprospesne sluzby, kosenie, zimnu udrzbu, stavebne prace, rekonstrukcie striech, stavbu altankov, pokladku chodnikov a pod. stavebne prace, rekonstrukcie, zemne prace, stavba altankov, pokladka chodnikov           Register partnerov VS</v>
      </c>
      <c r="AQ86" s="37"/>
    </row>
    <row r="87" ht="15.75" customHeight="1">
      <c r="A87" s="43"/>
      <c r="B87" s="59">
        <v>90.0</v>
      </c>
      <c r="C87" s="96" t="s">
        <v>1027</v>
      </c>
      <c r="D87" s="41" t="s">
        <v>134</v>
      </c>
      <c r="E87" s="38" t="str">
        <f t="shared" si="1"/>
        <v>Trenčiansky kraj, &amp;#32celé Slovensko</v>
      </c>
      <c r="F87" s="42" t="s">
        <v>1028</v>
      </c>
      <c r="G87" s="38" t="str">
        <f t="shared" si="2"/>
        <v>dom a záhrada, iné (tovary a služby), &amp;#32všetky kategórie</v>
      </c>
      <c r="H87" s="42" t="s">
        <v>53</v>
      </c>
      <c r="I87" s="43" t="str">
        <f t="shared" si="3"/>
        <v>1 - 5, &amp;#32všetky možnosti</v>
      </c>
      <c r="J87" s="44" t="str">
        <f t="shared" si="7"/>
        <v>,,</v>
      </c>
      <c r="K87" s="45">
        <f t="shared" si="5"/>
        <v>27480.32809</v>
      </c>
      <c r="L87" s="43"/>
      <c r="M87" s="43" t="str">
        <f>IFERROR(__xludf.DUMMYFUNCTION("SPLIT(O87,"","")"),"Kukučínova 670/27")</f>
        <v>Kukučínova 670/27</v>
      </c>
      <c r="N87" s="43" t="str">
        <f>IFERROR(__xludf.DUMMYFUNCTION("""COMPUTED_VALUE""")," 972 12 Nedožery - Brezany ")</f>
        <v> 972 12 Nedožery - Brezany </v>
      </c>
      <c r="O87" s="42" t="s">
        <v>1029</v>
      </c>
      <c r="P87" s="43">
        <v>48.8182103</v>
      </c>
      <c r="Q87" s="43">
        <v>18.6417925</v>
      </c>
      <c r="R87" s="46" t="s">
        <v>1030</v>
      </c>
      <c r="S87" s="69" t="s">
        <v>926</v>
      </c>
      <c r="T87" s="70" t="s">
        <v>1031</v>
      </c>
      <c r="U87" s="61" t="s">
        <v>1032</v>
      </c>
      <c r="V87" s="50" t="s">
        <v>1033</v>
      </c>
      <c r="W87" s="55" t="s">
        <v>1034</v>
      </c>
      <c r="X87" s="71" t="s">
        <v>1035</v>
      </c>
      <c r="Y87" s="72" t="s">
        <v>1036</v>
      </c>
      <c r="Z87" s="53" t="s">
        <v>1037</v>
      </c>
      <c r="AA87" s="52" t="s">
        <v>64</v>
      </c>
      <c r="AB87" s="55"/>
      <c r="AC87" s="56"/>
      <c r="AD87" s="56"/>
      <c r="AE87" s="55"/>
      <c r="AF87" s="55"/>
      <c r="AG87" s="56"/>
      <c r="AH87" s="56"/>
      <c r="AI87" s="55"/>
      <c r="AJ87" s="55"/>
      <c r="AK87" s="56"/>
      <c r="AL87" s="56"/>
      <c r="AM87" s="34"/>
      <c r="AN87" s="55"/>
      <c r="AO87" s="64"/>
      <c r="AP87" s="58" t="str">
        <f t="shared" si="6"/>
        <v>CRAFT PRODUCTION s. r. o. dom a zahrada, ine (tovary a sluzby), &amp;#32vsetky kategorie  972 12 Nedozery - Brezany  V nasej ponuke je vyroba dekorativnych predmetov, kamennych kvetinacov a sluzby v oblasti expedicie tovaru. Zamestnavame znevyhodnene a zranitelne osoby. CRAFT PRODUCTION s.r.o. Vyrabame dekorativne predmety. kamenne kvetinace a ponukame aj sluzby expedicie tovaru. kamenne kvetinace, dekorativne predmety           </v>
      </c>
      <c r="AQ87" s="37"/>
    </row>
    <row r="88" ht="15.75" customHeight="1">
      <c r="A88" s="43"/>
      <c r="B88" s="59">
        <v>91.0</v>
      </c>
      <c r="C88" s="96" t="s">
        <v>1038</v>
      </c>
      <c r="D88" s="41" t="s">
        <v>218</v>
      </c>
      <c r="E88" s="38" t="str">
        <f t="shared" si="1"/>
        <v>Košický kraj, &amp;#32celé Slovensko</v>
      </c>
      <c r="F88" s="42" t="s">
        <v>1039</v>
      </c>
      <c r="G88" s="38" t="str">
        <f t="shared" si="2"/>
        <v>auto-moto, elektro, &amp;#32všetky kategórie</v>
      </c>
      <c r="H88" s="42" t="s">
        <v>170</v>
      </c>
      <c r="I88" s="43" t="str">
        <f t="shared" si="3"/>
        <v>21 a viac, &amp;#32všetky možnosti</v>
      </c>
      <c r="J88" s="44" t="str">
        <f t="shared" si="7"/>
        <v>,Register partnerov VS,Náhradné plnenie</v>
      </c>
      <c r="K88" s="45">
        <f t="shared" si="5"/>
        <v>24356.50562</v>
      </c>
      <c r="L88" s="43"/>
      <c r="M88" s="43" t="str">
        <f>IFERROR(__xludf.DUMMYFUNCTION("SPLIT(O88,"","")"),"Plynárenská 2")</f>
        <v>Plynárenská 2</v>
      </c>
      <c r="N88" s="43" t="str">
        <f>IFERROR(__xludf.DUMMYFUNCTION("""COMPUTED_VALUE""")," 071 01 Michalovce")</f>
        <v> 071 01 Michalovce</v>
      </c>
      <c r="O88" s="42" t="s">
        <v>1040</v>
      </c>
      <c r="P88" s="43">
        <v>48.7437307999999</v>
      </c>
      <c r="Q88" s="43">
        <v>21.925438</v>
      </c>
      <c r="R88" s="46" t="s">
        <v>1041</v>
      </c>
      <c r="S88" s="69" t="s">
        <v>1042</v>
      </c>
      <c r="T88" s="70" t="s">
        <v>86</v>
      </c>
      <c r="U88" s="61" t="s">
        <v>1043</v>
      </c>
      <c r="V88" s="66" t="s">
        <v>1044</v>
      </c>
      <c r="W88" s="55" t="s">
        <v>1045</v>
      </c>
      <c r="X88" s="71" t="s">
        <v>1046</v>
      </c>
      <c r="Y88" s="72" t="s">
        <v>1047</v>
      </c>
      <c r="Z88" s="53" t="s">
        <v>1048</v>
      </c>
      <c r="AA88" s="52" t="s">
        <v>64</v>
      </c>
      <c r="AB88" s="55"/>
      <c r="AC88" s="56"/>
      <c r="AD88" s="56"/>
      <c r="AE88" s="55"/>
      <c r="AF88" s="55"/>
      <c r="AG88" s="56"/>
      <c r="AH88" s="56"/>
      <c r="AI88" s="55"/>
      <c r="AJ88" s="55"/>
      <c r="AK88" s="56"/>
      <c r="AL88" s="56"/>
      <c r="AM88" s="47"/>
      <c r="AN88" s="62" t="s">
        <v>39</v>
      </c>
      <c r="AO88" s="57" t="s">
        <v>40</v>
      </c>
      <c r="AP88" s="58" t="str">
        <f t="shared" si="6"/>
        <v>CHDMI, s.r.o. auto-moto, elektro, &amp;#32vsetky kategorie  071 01 Michalovce Je to vyroba kablovych zvazkov a vyroba komponentov do elektromotorov. Zamestnavame zdravotne znevyhodnenych obcanov. CHDMI, s.r.o., RSP Vyroba kablovych zvazkov, vyroba komponentov do elektromotorov. kablove zvazky, komponenty do elektromotorov           Register partnerov VS</v>
      </c>
      <c r="AQ88" s="37"/>
    </row>
    <row r="89" ht="15.75" customHeight="1">
      <c r="A89" s="43"/>
      <c r="B89" s="59">
        <v>93.0</v>
      </c>
      <c r="C89" s="96" t="s">
        <v>1049</v>
      </c>
      <c r="D89" s="41" t="s">
        <v>218</v>
      </c>
      <c r="E89" s="38" t="str">
        <f t="shared" si="1"/>
        <v>Košický kraj, &amp;#32celé Slovensko</v>
      </c>
      <c r="F89" s="42" t="s">
        <v>1050</v>
      </c>
      <c r="G89" s="38" t="str">
        <f t="shared" si="2"/>
        <v>čistiace a upratovacie služby, auto-moto, &amp;#32všetky kategórie</v>
      </c>
      <c r="H89" s="42" t="s">
        <v>170</v>
      </c>
      <c r="I89" s="43" t="str">
        <f t="shared" si="3"/>
        <v>21 a viac, &amp;#32všetky možnosti</v>
      </c>
      <c r="J89" s="44" t="str">
        <f t="shared" si="7"/>
        <v>,Register partnerov VS,Náhradné plnenie</v>
      </c>
      <c r="K89" s="45">
        <f t="shared" si="5"/>
        <v>44495.68336</v>
      </c>
      <c r="L89" s="43"/>
      <c r="M89" s="43" t="str">
        <f>IFERROR(__xludf.DUMMYFUNCTION("SPLIT(O89,"","")"),"Plynárenská 2")</f>
        <v>Plynárenská 2</v>
      </c>
      <c r="N89" s="43" t="str">
        <f>IFERROR(__xludf.DUMMYFUNCTION("""COMPUTED_VALUE""")," 071 01 Michalovce")</f>
        <v> 071 01 Michalovce</v>
      </c>
      <c r="O89" s="42" t="s">
        <v>1040</v>
      </c>
      <c r="P89" s="43">
        <v>48.7437307999999</v>
      </c>
      <c r="Q89" s="43">
        <v>21.925438</v>
      </c>
      <c r="R89" s="46" t="s">
        <v>1051</v>
      </c>
      <c r="S89" s="69" t="s">
        <v>1042</v>
      </c>
      <c r="T89" s="70" t="s">
        <v>86</v>
      </c>
      <c r="U89" s="61" t="s">
        <v>1052</v>
      </c>
      <c r="V89" s="50" t="s">
        <v>1044</v>
      </c>
      <c r="W89" s="55" t="s">
        <v>1045</v>
      </c>
      <c r="X89" s="71" t="s">
        <v>1049</v>
      </c>
      <c r="Y89" s="72" t="s">
        <v>1053</v>
      </c>
      <c r="Z89" s="53" t="s">
        <v>1054</v>
      </c>
      <c r="AA89" s="52" t="s">
        <v>64</v>
      </c>
      <c r="AB89" s="55"/>
      <c r="AC89" s="56"/>
      <c r="AD89" s="56"/>
      <c r="AE89" s="55"/>
      <c r="AF89" s="55"/>
      <c r="AG89" s="56"/>
      <c r="AH89" s="56"/>
      <c r="AI89" s="55"/>
      <c r="AJ89" s="55"/>
      <c r="AK89" s="56"/>
      <c r="AL89" s="56"/>
      <c r="AM89" s="47"/>
      <c r="AN89" s="62" t="s">
        <v>39</v>
      </c>
      <c r="AO89" s="57" t="s">
        <v>40</v>
      </c>
      <c r="AP89" s="58" t="str">
        <f t="shared" si="6"/>
        <v>Abalstav spol. s r.o. cistiace a upratovacie sluzby, auto-moto, &amp;#32vsetky kategorie  071 01 Michalovce Vyroba kablovych zvazkov, cistenie priestorov - ochrana pred Covid. Zamestnavame zdravotne znevyhodnenych obcanov. Abalstav spol. s r.o. Vyroba kablovych zvazkov, cistenie priestorov - ochrana pred Covid, pomocne prace pri vyrobe zdravotnickeho materialu. kablove zvazky           Register partnerov VS</v>
      </c>
      <c r="AQ89" s="37"/>
    </row>
    <row r="90" ht="15.75" customHeight="1">
      <c r="A90" s="43"/>
      <c r="B90" s="59">
        <v>94.0</v>
      </c>
      <c r="C90" s="96" t="s">
        <v>1055</v>
      </c>
      <c r="D90" s="41" t="s">
        <v>51</v>
      </c>
      <c r="E90" s="38" t="str">
        <f t="shared" si="1"/>
        <v>Prešovský kraj, &amp;#32celé Slovensko</v>
      </c>
      <c r="F90" s="42" t="s">
        <v>1056</v>
      </c>
      <c r="G90" s="38" t="str">
        <f t="shared" si="2"/>
        <v>poľnohospodárstvo a lesníctvo, stavebníctvo, potraviny a nápoje, elektro, iné (tovary a služby), &amp;#32všetky kategórie</v>
      </c>
      <c r="H90" s="42" t="s">
        <v>53</v>
      </c>
      <c r="I90" s="43" t="str">
        <f t="shared" si="3"/>
        <v>1 - 5, &amp;#32všetky možnosti</v>
      </c>
      <c r="J90" s="44" t="str">
        <f t="shared" si="7"/>
        <v>,,</v>
      </c>
      <c r="K90" s="45">
        <f t="shared" si="5"/>
        <v>20963.60533</v>
      </c>
      <c r="L90" s="43"/>
      <c r="M90" s="43" t="str">
        <f>IFERROR(__xludf.DUMMYFUNCTION("SPLIT(O90,"","")"),"Domaňovce 92")</f>
        <v>Domaňovce 92</v>
      </c>
      <c r="N90" s="43" t="str">
        <f>IFERROR(__xludf.DUMMYFUNCTION("""COMPUTED_VALUE""")," 053 02 Domaňovce")</f>
        <v> 053 02 Domaňovce</v>
      </c>
      <c r="O90" s="42" t="s">
        <v>1057</v>
      </c>
      <c r="P90" s="43">
        <v>48.9638483</v>
      </c>
      <c r="Q90" s="43">
        <v>20.6611684</v>
      </c>
      <c r="R90" s="46" t="s">
        <v>1058</v>
      </c>
      <c r="S90" s="69" t="s">
        <v>1059</v>
      </c>
      <c r="T90" s="70" t="s">
        <v>86</v>
      </c>
      <c r="U90" s="61" t="s">
        <v>1060</v>
      </c>
      <c r="V90" s="50" t="s">
        <v>1061</v>
      </c>
      <c r="W90" s="55" t="s">
        <v>1062</v>
      </c>
      <c r="X90" s="71" t="s">
        <v>1063</v>
      </c>
      <c r="Y90" s="72" t="s">
        <v>1064</v>
      </c>
      <c r="Z90" s="53" t="s">
        <v>1065</v>
      </c>
      <c r="AA90" s="52" t="s">
        <v>64</v>
      </c>
      <c r="AB90" s="55"/>
      <c r="AC90" s="56"/>
      <c r="AD90" s="56"/>
      <c r="AE90" s="55"/>
      <c r="AF90" s="55"/>
      <c r="AG90" s="56"/>
      <c r="AH90" s="56"/>
      <c r="AI90" s="55"/>
      <c r="AJ90" s="55"/>
      <c r="AK90" s="56"/>
      <c r="AL90" s="56"/>
      <c r="AM90" s="34"/>
      <c r="AN90" s="55"/>
      <c r="AO90" s="64"/>
      <c r="AP90" s="58" t="str">
        <f t="shared" si="6"/>
        <v>Obecne sluzby Domanovce s. r. o., r. s. p. polnohospodarstvo a lesnictvo, stavebnictvo, potraviny a napoje, elektro, ine (tovary a sluzby), &amp;#32vsetky kategorie  053 02 Domanovce Obecne sluzby Domanovce s.r.o., r.s.p. boli zriadene obcou so 100% ucastou obce. Jedna sa o obecny podnik, ktoreho hlavnym cielom spolocnosti nie je a nebude vytvaranie zisku pre zisk, ale zamestnavanie predovsetkym miestneho obyvatelstva. Prijmy z podnikania budu pouzite na dalsi rozvoj a v prospech obce. Medzi hlavne podnikatelske cinnosti podniku patri stavebna cinnost – pripravne prace k realizacii stavby, dokoncovacie stavebne prace. Nasim cielom je poskytnutie takych sluzieb v mikroregione, ktore tu ziadna ina organizacia neposkytuje, a to montaz kablovych zvazkov, poskytovanie sluzieb v oblasti rychleho obcerstvenia - predaj napojov a polotovarov (obecna cukraren) a pestovanie rakytnika. Zamestnavame znevyhodnene osoby. Obecne sluzby s.r.o, r.s.p. Stavebna cinnost, montaz kablovych zvazkov, predaj zakuskov, kavy, cokolady, zmrzliny, cukroviniek, panin, napojov, pestovanie rakytnika. cukraren, kaviaren, stavebne prace, udrzba verejnych priestranstiev, montaz kablovych zvazkov, rakytnik           </v>
      </c>
      <c r="AQ90" s="37"/>
    </row>
    <row r="91" ht="15.75" customHeight="1">
      <c r="A91" s="43"/>
      <c r="B91" s="59">
        <v>95.0</v>
      </c>
      <c r="C91" s="96" t="s">
        <v>1066</v>
      </c>
      <c r="D91" s="41" t="s">
        <v>94</v>
      </c>
      <c r="E91" s="38" t="str">
        <f t="shared" si="1"/>
        <v>Bratislavský kraj, &amp;#32celé Slovensko</v>
      </c>
      <c r="F91" s="42" t="s">
        <v>1067</v>
      </c>
      <c r="G91" s="38" t="str">
        <f t="shared" si="2"/>
        <v>dom a záhrada, krása-zdravie-relax, reklama, pre deti, iné (tovary a služby), &amp;#32všetky kategórie</v>
      </c>
      <c r="H91" s="42" t="s">
        <v>53</v>
      </c>
      <c r="I91" s="43" t="str">
        <f t="shared" si="3"/>
        <v>1 - 5, &amp;#32všetky možnosti</v>
      </c>
      <c r="J91" s="44" t="str">
        <f t="shared" si="7"/>
        <v>,,Náhradné plnenie</v>
      </c>
      <c r="K91" s="45">
        <f t="shared" si="5"/>
        <v>16412.34994</v>
      </c>
      <c r="L91" s="43"/>
      <c r="M91" s="43" t="str">
        <f>IFERROR(__xludf.DUMMYFUNCTION("SPLIT(O91,"","")"),"Biskupická 3")</f>
        <v>Biskupická 3</v>
      </c>
      <c r="N91" s="43" t="str">
        <f>IFERROR(__xludf.DUMMYFUNCTION("""COMPUTED_VALUE""")," 821 06 Bratislava ")</f>
        <v> 821 06 Bratislava </v>
      </c>
      <c r="O91" s="42" t="s">
        <v>1068</v>
      </c>
      <c r="P91" s="43">
        <v>48.1281571</v>
      </c>
      <c r="Q91" s="43">
        <v>17.2056473</v>
      </c>
      <c r="R91" s="46" t="s">
        <v>1069</v>
      </c>
      <c r="S91" s="69" t="s">
        <v>1070</v>
      </c>
      <c r="T91" s="70" t="s">
        <v>1071</v>
      </c>
      <c r="U91" s="61" t="s">
        <v>1072</v>
      </c>
      <c r="V91" s="50" t="s">
        <v>1073</v>
      </c>
      <c r="W91" s="55" t="s">
        <v>1074</v>
      </c>
      <c r="X91" s="71" t="s">
        <v>1075</v>
      </c>
      <c r="Y91" s="72" t="s">
        <v>1076</v>
      </c>
      <c r="Z91" s="53" t="s">
        <v>1077</v>
      </c>
      <c r="AA91" s="52" t="s">
        <v>64</v>
      </c>
      <c r="AB91" s="55"/>
      <c r="AC91" s="56"/>
      <c r="AD91" s="56"/>
      <c r="AE91" s="55"/>
      <c r="AF91" s="55"/>
      <c r="AG91" s="56"/>
      <c r="AH91" s="56"/>
      <c r="AI91" s="55"/>
      <c r="AJ91" s="55"/>
      <c r="AK91" s="56"/>
      <c r="AL91" s="56"/>
      <c r="AM91" s="34"/>
      <c r="AN91" s="55"/>
      <c r="AO91" s="57" t="s">
        <v>40</v>
      </c>
      <c r="AP91" s="58" t="str">
        <f t="shared" si="6"/>
        <v>Rozkvitnes, s. r. o. dom a zahrada, krasa-zdravie-relax, reklama, pre deti, ine (tovary a sluzby), &amp;#32vsetky kategorie  821 06 Bratislava  Predmetom cinnosti spolocnosti Rozkvitnes, s.r.o. je viazanie kytic pre rozne prilezitosti, kvetinove boxy, smutocne vence alebo aranzovanie kvetinovej vyzdoby do exterieru a interieru. Kytice sa budu viazat v roznych velkostiach od mensich a lacnejsich po vacsie a drahsie, podla prilezitosti aby si kazdy prisiel na svoje. V nasom zaujme je spolupracovat aj s roznymi firmami, ktorym by sme nasimi kvetinovymi vyrobkami skraslovali ich pracovne prostredie. Poskytujeme rovnako aj aranzovanie a vyzdobu priestorov na svadby a rozne ine slavnostne prilezitosti. Spolocnost sa rozhodla zamestnavat znevyhodnene osoby, ktore maju velky problem uplatnit sa na trhu prace. Ci uz su to obcania s chorobou z povolania, alebo ini obcania s invalidnym postihnutim, ktori nie su schopni najst si pracu. Zameriame sa tiez na poskytnutie prace absolventom skol, alebo takym obcanom, ktori sa dlhodobo nevedia zamestnat. Tym budeme podporovat pracovny trh na Slovensku a scasti prispejeme k tomu, aby tito ludia necestovali za pracou do zahranicia. Prijatim tychto osob do pracovno-pravneho vztahu by bolo mozne zvysit ich zivotnu uroven, zabezpecit rozvoj regionu i nasho podnikania a pracovneho kolektivu smerom napred. Rozkvitnes, s.r.o. Ponukame viazanie kytic pre rozne prilezitosti, kvetinove boxy, smutocne vence alebo aranzovanie kvetinovej vyzdoby do exterieru a interieru. kvety, kytica, kvetinova vyzdoba, darcek, veniec, aranzovanie, smutocne vence, kytice           </v>
      </c>
      <c r="AQ91" s="37"/>
    </row>
    <row r="92" ht="15.75" customHeight="1">
      <c r="A92" s="43"/>
      <c r="B92" s="59">
        <v>96.0</v>
      </c>
      <c r="C92" s="97" t="s">
        <v>1078</v>
      </c>
      <c r="D92" s="41" t="s">
        <v>134</v>
      </c>
      <c r="E92" s="38" t="str">
        <f t="shared" si="1"/>
        <v>Trenčiansky kraj, &amp;#32celé Slovensko</v>
      </c>
      <c r="F92" s="41" t="s">
        <v>258</v>
      </c>
      <c r="G92" s="38" t="str">
        <f t="shared" si="2"/>
        <v>odevy a obuv, &amp;#32všetky kategórie</v>
      </c>
      <c r="H92" s="42" t="s">
        <v>53</v>
      </c>
      <c r="I92" s="43" t="str">
        <f t="shared" si="3"/>
        <v>1 - 5, &amp;#32všetky možnosti</v>
      </c>
      <c r="J92" s="44" t="str">
        <f t="shared" si="7"/>
        <v>,,</v>
      </c>
      <c r="K92" s="45">
        <f t="shared" si="5"/>
        <v>572.2019041</v>
      </c>
      <c r="L92" s="43"/>
      <c r="M92" s="43" t="str">
        <f>IFERROR(__xludf.DUMMYFUNCTION("SPLIT(O92,"","")"),"Sládkovičova 2545")</f>
        <v>Sládkovičova 2545</v>
      </c>
      <c r="N92" s="43" t="str">
        <f>IFERROR(__xludf.DUMMYFUNCTION("""COMPUTED_VALUE""")," 017 01 Považská Bystrica ")</f>
        <v> 017 01 Považská Bystrica </v>
      </c>
      <c r="O92" s="42" t="s">
        <v>1079</v>
      </c>
      <c r="P92" s="43">
        <v>49.1152003</v>
      </c>
      <c r="Q92" s="43">
        <v>18.4412125</v>
      </c>
      <c r="R92" s="56" t="s">
        <v>1080</v>
      </c>
      <c r="S92" s="69" t="s">
        <v>1081</v>
      </c>
      <c r="T92" s="70" t="s">
        <v>86</v>
      </c>
      <c r="U92" s="61" t="s">
        <v>1082</v>
      </c>
      <c r="V92" s="50" t="s">
        <v>1083</v>
      </c>
      <c r="W92" s="55" t="s">
        <v>1084</v>
      </c>
      <c r="X92" s="54" t="s">
        <v>1078</v>
      </c>
      <c r="Y92" s="46" t="s">
        <v>1085</v>
      </c>
      <c r="Z92" s="53" t="s">
        <v>1086</v>
      </c>
      <c r="AA92" s="52" t="s">
        <v>64</v>
      </c>
      <c r="AB92" s="55"/>
      <c r="AC92" s="56"/>
      <c r="AD92" s="56"/>
      <c r="AE92" s="55"/>
      <c r="AF92" s="55"/>
      <c r="AG92" s="56"/>
      <c r="AH92" s="56"/>
      <c r="AI92" s="55"/>
      <c r="AJ92" s="55"/>
      <c r="AK92" s="56"/>
      <c r="AL92" s="56"/>
      <c r="AM92" s="34"/>
      <c r="AN92" s="55"/>
      <c r="AO92" s="64"/>
      <c r="AP92" s="58" t="str">
        <f t="shared" si="6"/>
        <v>CERNAN, s.r.o. odevy a obuv, &amp;#32vsetky kategorie  017 01 Povazska Bystrica  Prevadzkujeme krajcirsku dielnu, v ktorej realizujeme sitie pracovnych odevov, sportovych odevov, lahkej konfekcie. Nasimi zakaznikmi su fyzicke a pravnicke osoby, ponukame im sitie odevov podla ich zadania. Zamestnavame invalidne osoby. CERNAN, s.r.o. Sitie pracovnych a sportovych odevov, lahkej konfekcie. odevy, pracovne odevy, sportove odevy, konfekcia, ruska           </v>
      </c>
      <c r="AQ92" s="37"/>
    </row>
    <row r="93" ht="15.75" customHeight="1">
      <c r="A93" s="43"/>
      <c r="B93" s="59">
        <v>97.0</v>
      </c>
      <c r="C93" s="97" t="s">
        <v>1087</v>
      </c>
      <c r="D93" s="41" t="s">
        <v>218</v>
      </c>
      <c r="E93" s="38" t="str">
        <f t="shared" si="1"/>
        <v>Košický kraj, &amp;#32celé Slovensko</v>
      </c>
      <c r="F93" s="42" t="s">
        <v>1088</v>
      </c>
      <c r="G93" s="38" t="str">
        <f t="shared" si="2"/>
        <v>doprava, ochrana a bezpečnosť, vzdelávanie, kultúra a šport, &amp;#32všetky kategórie</v>
      </c>
      <c r="H93" s="42" t="s">
        <v>53</v>
      </c>
      <c r="I93" s="43" t="str">
        <f t="shared" si="3"/>
        <v>1 - 5, &amp;#32všetky možnosti</v>
      </c>
      <c r="J93" s="44" t="str">
        <f t="shared" si="7"/>
        <v>,,Náhradné plnenie</v>
      </c>
      <c r="K93" s="45">
        <f t="shared" si="5"/>
        <v>19127.50203</v>
      </c>
      <c r="L93" s="43"/>
      <c r="M93" s="43" t="str">
        <f>IFERROR(__xludf.DUMMYFUNCTION("SPLIT(O93,"","")"),"Kollárova 998/56")</f>
        <v>Kollárova 998/56</v>
      </c>
      <c r="N93" s="43" t="str">
        <f>IFERROR(__xludf.DUMMYFUNCTION("""COMPUTED_VALUE""")," 073 01 Sobrance ")</f>
        <v> 073 01 Sobrance </v>
      </c>
      <c r="O93" s="42" t="s">
        <v>1089</v>
      </c>
      <c r="P93" s="43">
        <v>48.7447822</v>
      </c>
      <c r="Q93" s="43">
        <v>22.1743117</v>
      </c>
      <c r="R93" s="56" t="s">
        <v>1090</v>
      </c>
      <c r="S93" s="34" t="s">
        <v>1091</v>
      </c>
      <c r="T93" s="63" t="s">
        <v>1092</v>
      </c>
      <c r="U93" s="61" t="s">
        <v>1093</v>
      </c>
      <c r="V93" s="50" t="s">
        <v>1094</v>
      </c>
      <c r="W93" s="55" t="s">
        <v>1095</v>
      </c>
      <c r="X93" s="54" t="s">
        <v>1087</v>
      </c>
      <c r="Y93" s="46" t="s">
        <v>1096</v>
      </c>
      <c r="Z93" s="53" t="s">
        <v>1097</v>
      </c>
      <c r="AA93" s="52" t="s">
        <v>64</v>
      </c>
      <c r="AB93" s="55"/>
      <c r="AC93" s="56"/>
      <c r="AD93" s="56"/>
      <c r="AE93" s="55"/>
      <c r="AF93" s="55"/>
      <c r="AG93" s="56"/>
      <c r="AH93" s="56"/>
      <c r="AI93" s="55"/>
      <c r="AJ93" s="55"/>
      <c r="AK93" s="56"/>
      <c r="AL93" s="56"/>
      <c r="AM93" s="34"/>
      <c r="AN93" s="55"/>
      <c r="AO93" s="57" t="s">
        <v>40</v>
      </c>
      <c r="AP93" s="58" t="str">
        <f t="shared" si="6"/>
        <v>o. z. Detske dopravne ihrisko Sobrance doprava, ochrana a bezpecnost, vzdelavanie, kultura a sport, &amp;#32vsetky kategorie  073 01 Sobrance  Prevadzkujeme detske dopravne ihrisko (DDI) v Sobranciach, na ktorom preferujeme zazitkove formy teoretickeho vyucovania a praktickeho vycviku dopravnej vychovy deti, mladeze a aj ostatneho - dospeleho - obyvatelstva. To vsetko v bezpecnom prostredi cestnej premavky dopravneho ihriska, na troj- a stvorkolesovych sliapacich vozidlach s nosnostou do 150 kg a s vyuzivanim na Slovensku jedinecnych simulatorov - simulatorov vplyvu alkoholu a drog, simulatora narazu a simulatora prevratenia vozidla. Simulatory s obsluhou, ako aj mobilne DDI, prenajimame na akcie zamerane na zvysovanie bezpecnosti cestnej premavky. Prevadzame aplikaciu vodorovneho dopravneho znacenia. Nasimi klientmi su napriklad: materske, zakladne a stredne skoly, samospravy, organy statnej spravy, poistovne, firmy ci individualni zaujemcovia. Zamestnavanim 30% znevyhodnenych alebo zranitelnych osob. o. z. Detske dopravne ihrisko Sobrance Prevadzkovanie detskeho dopravneho ihriska v Sobranciach, pripadne jeho mobilne prevadzkovanie u klienta. Prenajom simulatorov vplyvu alkoholu a drog, simulatora narazu a simulatora prevratenia vozidla s obsluhou. Aplikovanie noveho, alebo renovacia stareho vodorovneho dopravneho znacenia. vzdelavanie, dopravna vychova, simulovanie vplyvu alkoholu a drog, simulacie dopravnych nehod, dopravne znacenie           </v>
      </c>
      <c r="AQ93" s="37"/>
    </row>
    <row r="94" ht="15.75" customHeight="1">
      <c r="A94" s="43"/>
      <c r="B94" s="59">
        <v>98.0</v>
      </c>
      <c r="C94" s="97" t="s">
        <v>1098</v>
      </c>
      <c r="D94" s="41" t="s">
        <v>218</v>
      </c>
      <c r="E94" s="38" t="str">
        <f t="shared" si="1"/>
        <v>Košický kraj, &amp;#32celé Slovensko</v>
      </c>
      <c r="F94" s="42" t="s">
        <v>1099</v>
      </c>
      <c r="G94" s="38" t="str">
        <f t="shared" si="2"/>
        <v>cestovný ruch, účtovníctvo a poradenstvo, potraviny a nápoje, bižutéria a darčekové predmety, &amp;#32všetky kategórie</v>
      </c>
      <c r="H94" s="42" t="s">
        <v>170</v>
      </c>
      <c r="I94" s="43" t="str">
        <f t="shared" si="3"/>
        <v>21 a viac, &amp;#32všetky možnosti</v>
      </c>
      <c r="J94" s="44" t="str">
        <f t="shared" si="7"/>
        <v>,Register partnerov VS,Náhradné plnenie</v>
      </c>
      <c r="K94" s="45">
        <f t="shared" si="5"/>
        <v>13206.41719</v>
      </c>
      <c r="L94" s="43"/>
      <c r="M94" s="43" t="str">
        <f>IFERROR(__xludf.DUMMYFUNCTION("SPLIT(O94,"","")"),"Košické Oľšany 124")</f>
        <v>Košické Oľšany 124</v>
      </c>
      <c r="N94" s="43" t="str">
        <f>IFERROR(__xludf.DUMMYFUNCTION("""COMPUTED_VALUE""")," 044 42  Košické Oľšany")</f>
        <v> 044 42  Košické Oľšany</v>
      </c>
      <c r="O94" s="42" t="s">
        <v>1100</v>
      </c>
      <c r="P94" s="43">
        <v>48.7281679</v>
      </c>
      <c r="Q94" s="43">
        <v>21.3410284</v>
      </c>
      <c r="R94" s="56" t="s">
        <v>1101</v>
      </c>
      <c r="S94" s="34" t="s">
        <v>1102</v>
      </c>
      <c r="T94" s="63" t="s">
        <v>1103</v>
      </c>
      <c r="U94" s="61" t="s">
        <v>1104</v>
      </c>
      <c r="V94" s="50" t="s">
        <v>1105</v>
      </c>
      <c r="W94" s="55" t="s">
        <v>1106</v>
      </c>
      <c r="X94" s="54" t="s">
        <v>1107</v>
      </c>
      <c r="Y94" s="46" t="s">
        <v>1108</v>
      </c>
      <c r="Z94" s="53" t="s">
        <v>1109</v>
      </c>
      <c r="AA94" s="52" t="s">
        <v>64</v>
      </c>
      <c r="AB94" s="55"/>
      <c r="AC94" s="56"/>
      <c r="AD94" s="56" t="s">
        <v>1110</v>
      </c>
      <c r="AE94" s="55"/>
      <c r="AF94" s="55"/>
      <c r="AG94" s="56"/>
      <c r="AH94" s="56"/>
      <c r="AI94" s="55"/>
      <c r="AJ94" s="55"/>
      <c r="AK94" s="56"/>
      <c r="AL94" s="56" t="s">
        <v>1110</v>
      </c>
      <c r="AM94" s="47"/>
      <c r="AN94" s="62" t="s">
        <v>39</v>
      </c>
      <c r="AO94" s="57" t="s">
        <v>40</v>
      </c>
      <c r="AP94" s="58" t="str">
        <f t="shared" si="6"/>
        <v>ALLEGRIA KOSICE ISP s. r. o. cestovny ruch, uctovnictvo a poradenstvo, potraviny a napoje, bizuteria a darcekove predmety, &amp;#32vsetky kategorie  044 42  Kosicke Olsany Integracny socialny podnik Kaviaren od srdca ponuka svojim zakaznikom kaviarenske sluzby, vyrobu zakuskov, toriet, ale aj uctovnicke a mzdove sluzby, vyrobu dekoracnych predmetov a suvenirov. Nasimi zakaznikmi su obyvatelia a navstevnici Kosic, ktori pridu na kavu a kolacik do Kaviarne od srdca. Firmam ponukame vyrobky a sluzby v ramci povinneho nahradneho plnenia, ak nezamestnavaju obcanov so zdravotnym postihnutim. Kaviaren od srdca, ako chranene pracovisko typu Integracny socialny podnik,  zamestnava obcanov so zdravotnym postihnutim, ich asistentov a aj zdravych obcanov v sektore kaviarenskych sluzieb. Svojou cinnostou sa snazime likvidovat bariery, ktore brania ludom so specialnymi potrebami uplatnit sa v spolocnosti. Chceme tak zvysit kvalitu ich zivota a podporit ich v usili o samostatny zivot a integraciu do spolocnosti. Kaviaren od srdca Kaviaren od srdca ponuka svojim zakaznikom kaviarenske sluzby, posedenie pri kave a kolaciku, organizaciu malych akcii (narodeniny, oslavy, ...) vyrobu zakuskov alebo torty na objednavku, spracovanie podvojneho uctovnictva a mzdovej agendy pre pravnicke a fyzicke osoby, vyrobu dekoracnych hand-made vyrobkov a suvenirov. Kaviaren, cheesecake, kava, selfiecinno, cake, home-made vyrobky, uctovnictvo, mzdy, dane, suveniry             Register partnerov VS</v>
      </c>
      <c r="AQ94" s="37"/>
    </row>
    <row r="95" ht="15.75" customHeight="1">
      <c r="A95" s="43"/>
      <c r="B95" s="59">
        <v>99.0</v>
      </c>
      <c r="C95" s="97" t="s">
        <v>1111</v>
      </c>
      <c r="D95" s="41" t="s">
        <v>181</v>
      </c>
      <c r="E95" s="38" t="str">
        <f t="shared" si="1"/>
        <v>Banskobystrický kraj, &amp;#32celé Slovensko</v>
      </c>
      <c r="F95" s="42" t="s">
        <v>1112</v>
      </c>
      <c r="G95" s="38" t="str">
        <f t="shared" si="2"/>
        <v>čistiace a upratovacie služby, dom a záhrada, stavebníctvo, ochrana a bezpečnosť, doprava, ubytovacie a stravovacie služby, potraviny a nápoje, krása-zdravie-relax, bižutéria a darčekové predmety, &amp;#32všetky kategórie</v>
      </c>
      <c r="H95" s="42" t="s">
        <v>68</v>
      </c>
      <c r="I95" s="43" t="str">
        <f t="shared" si="3"/>
        <v>16 - 20, &amp;#32všetky možnosti</v>
      </c>
      <c r="J95" s="44" t="str">
        <f t="shared" si="7"/>
        <v>,Register partnerov VS,</v>
      </c>
      <c r="K95" s="45">
        <f t="shared" si="5"/>
        <v>38908.41385</v>
      </c>
      <c r="L95" s="43"/>
      <c r="M95" s="43" t="str">
        <f>IFERROR(__xludf.DUMMYFUNCTION("SPLIT(O95,"","")"),"Zvolenská 242/93")</f>
        <v>Zvolenská 242/93</v>
      </c>
      <c r="N95" s="43" t="str">
        <f>IFERROR(__xludf.DUMMYFUNCTION("""COMPUTED_VALUE""")," 992 01 Modrý Kameň")</f>
        <v> 992 01 Modrý Kameň</v>
      </c>
      <c r="O95" s="42" t="s">
        <v>1113</v>
      </c>
      <c r="P95" s="43">
        <v>48.2409630999999</v>
      </c>
      <c r="Q95" s="43">
        <v>19.3336798</v>
      </c>
      <c r="R95" s="56" t="s">
        <v>1114</v>
      </c>
      <c r="S95" s="34" t="s">
        <v>926</v>
      </c>
      <c r="T95" s="63" t="s">
        <v>1115</v>
      </c>
      <c r="U95" s="61" t="s">
        <v>1116</v>
      </c>
      <c r="V95" s="50" t="s">
        <v>1117</v>
      </c>
      <c r="W95" s="55" t="s">
        <v>1118</v>
      </c>
      <c r="X95" s="54" t="s">
        <v>1119</v>
      </c>
      <c r="Y95" s="46" t="s">
        <v>1114</v>
      </c>
      <c r="Z95" s="53" t="s">
        <v>1120</v>
      </c>
      <c r="AA95" s="67" t="s">
        <v>129</v>
      </c>
      <c r="AB95" s="55" t="s">
        <v>1121</v>
      </c>
      <c r="AC95" s="56" t="s">
        <v>1122</v>
      </c>
      <c r="AD95" s="56" t="s">
        <v>1123</v>
      </c>
      <c r="AE95" s="73" t="s">
        <v>129</v>
      </c>
      <c r="AF95" s="55" t="s">
        <v>1124</v>
      </c>
      <c r="AG95" s="56" t="s">
        <v>1125</v>
      </c>
      <c r="AH95" s="56" t="s">
        <v>1126</v>
      </c>
      <c r="AI95" s="74" t="s">
        <v>129</v>
      </c>
      <c r="AJ95" s="55" t="s">
        <v>1127</v>
      </c>
      <c r="AK95" s="56" t="s">
        <v>1128</v>
      </c>
      <c r="AL95" s="56" t="s">
        <v>1129</v>
      </c>
      <c r="AM95" s="47"/>
      <c r="AN95" s="62" t="s">
        <v>39</v>
      </c>
      <c r="AO95" s="64"/>
      <c r="AP95" s="58" t="str">
        <f t="shared" si="6"/>
        <v>Bariak, s.r.o. cistiace a upratovacie sluzby, dom a zahrada, stavebnictvo, ochrana a bezpecnost, doprava, ubytovacie a stravovacie sluzby, potraviny a napoje, krasa-zdravie-relax, bizuteria a darcekove predmety, &amp;#32vsetky kategorie  992 01 Modry Kamen Nasa spolocnost ponuka mnoho veci, ako su napriklad kupa tovaru na ucely jeho predaja konecnemu spotrebitelovi, sprostredkovatelska cinnost v oblasti obchodu, sluzieb, ubytovacie sluzby bez pohostinskych cinnosti, poskytovanie sluzieb rychleho obcerstvenia v spojeni s predajom na priamu konzumaciu, vykon povolania prevadzkovatela nakladnej cestnej dopravy a pod. Zamestnavame znevyhodnene a zranitelne osoby. Bariak, s. r. o., r. s. p. Nasa spolocnost ponuka mnoho veci, ako su napriklad kupa tovaru na ucely jeho predaja konecnemu spotrebitelovi, sprostredkovatelska cinnost v oblasti obchodu, sluzieb, ubytovacie sluzby bez pohostinskych cinnosti, poskytovanie sluzieb rychleho obcerstvenia v spojeni s predajom na priamu konzumaciu, vykon povolania prevadzkovatela nakladnej cestnej dopravy a pod. potraviny, domace potreby, sluzby, doprava, ubytovanie, predaj, dekoracie Potraviny pod Hradom Predajna potravin potraviny, napoje, pecivo, Predajna drogerie a rozlicneho tovaru Predaj drogerie a rozlicneho tovaru. drogeria, rozlicny tovar, tovar do domacnosti, suveniry, dekoracie a pod. Ubytovacie zariadenie ponukame ubytovacie zariadenie bez pohostenia. ubytovna, ubytovanie, postel, sprcha, wc  Register partnerov VS</v>
      </c>
      <c r="AQ95" s="37"/>
    </row>
    <row r="96" ht="15.75" customHeight="1">
      <c r="A96" s="43"/>
      <c r="B96" s="59">
        <v>100.0</v>
      </c>
      <c r="C96" s="97" t="s">
        <v>1130</v>
      </c>
      <c r="D96" s="41" t="s">
        <v>218</v>
      </c>
      <c r="E96" s="38" t="str">
        <f t="shared" si="1"/>
        <v>Košický kraj, &amp;#32celé Slovensko</v>
      </c>
      <c r="F96" s="42" t="s">
        <v>1131</v>
      </c>
      <c r="G96" s="38" t="str">
        <f t="shared" si="2"/>
        <v>doprava, ubytovacie a stravovacie služby, cestovný ruch, &amp;#32všetky kategórie</v>
      </c>
      <c r="H96" s="42" t="s">
        <v>53</v>
      </c>
      <c r="I96" s="43" t="str">
        <f t="shared" si="3"/>
        <v>1 - 5, &amp;#32všetky možnosti</v>
      </c>
      <c r="J96" s="44" t="str">
        <f t="shared" si="7"/>
        <v>,,Náhradné plnenie</v>
      </c>
      <c r="K96" s="45">
        <f t="shared" si="5"/>
        <v>1791.932022</v>
      </c>
      <c r="L96" s="43"/>
      <c r="M96" s="43" t="str">
        <f>IFERROR(__xludf.DUMMYFUNCTION("SPLIT(O96,"","")"),"Janigova 1324/9")</f>
        <v>Janigova 1324/9</v>
      </c>
      <c r="N96" s="43" t="str">
        <f>IFERROR(__xludf.DUMMYFUNCTION("""COMPUTED_VALUE""")," 040 23 Košice")</f>
        <v> 040 23 Košice</v>
      </c>
      <c r="O96" s="42" t="s">
        <v>1132</v>
      </c>
      <c r="P96" s="43">
        <v>48.716516</v>
      </c>
      <c r="Q96" s="43">
        <v>21.2073723</v>
      </c>
      <c r="R96" s="56" t="s">
        <v>1133</v>
      </c>
      <c r="S96" s="34" t="s">
        <v>1134</v>
      </c>
      <c r="T96" s="63" t="s">
        <v>1135</v>
      </c>
      <c r="U96" s="61" t="s">
        <v>1136</v>
      </c>
      <c r="V96" s="50" t="s">
        <v>1137</v>
      </c>
      <c r="W96" s="55" t="s">
        <v>1138</v>
      </c>
      <c r="X96" s="54" t="s">
        <v>1139</v>
      </c>
      <c r="Y96" s="46" t="s">
        <v>1140</v>
      </c>
      <c r="Z96" s="53" t="s">
        <v>1141</v>
      </c>
      <c r="AA96" s="52" t="s">
        <v>64</v>
      </c>
      <c r="AB96" s="55"/>
      <c r="AC96" s="56"/>
      <c r="AD96" s="56" t="s">
        <v>1110</v>
      </c>
      <c r="AE96" s="55"/>
      <c r="AF96" s="55"/>
      <c r="AG96" s="56"/>
      <c r="AH96" s="56"/>
      <c r="AI96" s="55"/>
      <c r="AJ96" s="55"/>
      <c r="AK96" s="56"/>
      <c r="AL96" s="56" t="s">
        <v>1110</v>
      </c>
      <c r="AM96" s="34"/>
      <c r="AN96" s="55"/>
      <c r="AO96" s="57" t="s">
        <v>40</v>
      </c>
      <c r="AP96" s="58" t="str">
        <f t="shared" si="6"/>
        <v>Obcianske zdruzenie Integrujeme doprava, ubytovacie a stravovacie sluzby, cestovny ruch, &amp;#32vsetky kategorie  040 23 Kosice Prevadzka osobnej dopravy do 8 ludi -TAXI, kurierske sluzby pri rozvoze stravy, kratkodobe rekreacne ubytovanie vo Vysokych Tatrach. Podpora regionalneho rozvoja a zamestnanosti zamestnavanim znevyhodnenych obcanov. Apartman B101 Kratkodobe turisticke ubytovanie s polpenziou alebo ranajkami v Restauracii Soul, akceptujeme vsetky dovolenkove kupony, vystavujeme faktury pre rekreacne poukazy. ubytovanie, turisticke ubytovanie, Restauracia Soul, ubytovanie Vysoke Tatry             </v>
      </c>
      <c r="AQ96" s="37"/>
    </row>
    <row r="97" ht="15.75" customHeight="1">
      <c r="A97" s="43"/>
      <c r="B97" s="59">
        <v>101.0</v>
      </c>
      <c r="C97" s="97" t="s">
        <v>1142</v>
      </c>
      <c r="D97" s="41" t="s">
        <v>66</v>
      </c>
      <c r="E97" s="38" t="str">
        <f t="shared" si="1"/>
        <v>Žilinský kraj, &amp;#32celé Slovensko</v>
      </c>
      <c r="F97" s="42" t="s">
        <v>639</v>
      </c>
      <c r="G97" s="38" t="str">
        <f t="shared" si="2"/>
        <v>čistiace a upratovacie služby, dom a záhrada, &amp;#32všetky kategórie</v>
      </c>
      <c r="H97" s="42" t="s">
        <v>96</v>
      </c>
      <c r="I97" s="43" t="str">
        <f t="shared" si="3"/>
        <v>6 - 10, &amp;#32všetky možnosti</v>
      </c>
      <c r="J97" s="44" t="str">
        <f t="shared" si="7"/>
        <v>Servisné poukážky,Register partnerov VS,</v>
      </c>
      <c r="K97" s="45">
        <f t="shared" si="5"/>
        <v>28920.36825</v>
      </c>
      <c r="L97" s="43"/>
      <c r="M97" s="43" t="str">
        <f>IFERROR(__xludf.DUMMYFUNCTION("SPLIT(O97,"","")"),"Podhorie 47")</f>
        <v>Podhorie 47</v>
      </c>
      <c r="N97" s="43" t="str">
        <f>IFERROR(__xludf.DUMMYFUNCTION("""COMPUTED_VALUE""")," 031 18 Podhorie")</f>
        <v> 031 18 Podhorie</v>
      </c>
      <c r="O97" s="42" t="s">
        <v>1143</v>
      </c>
      <c r="P97" s="43">
        <v>49.1728374</v>
      </c>
      <c r="Q97" s="43">
        <v>18.6446667</v>
      </c>
      <c r="R97" s="56" t="s">
        <v>1144</v>
      </c>
      <c r="S97" s="34" t="s">
        <v>1145</v>
      </c>
      <c r="T97" s="63" t="s">
        <v>1146</v>
      </c>
      <c r="U97" s="61" t="s">
        <v>1147</v>
      </c>
      <c r="V97" s="50" t="s">
        <v>1148</v>
      </c>
      <c r="W97" s="55" t="s">
        <v>1149</v>
      </c>
      <c r="X97" s="54" t="s">
        <v>1150</v>
      </c>
      <c r="Y97" s="46" t="s">
        <v>1151</v>
      </c>
      <c r="Z97" s="53" t="s">
        <v>1152</v>
      </c>
      <c r="AA97" s="52" t="s">
        <v>64</v>
      </c>
      <c r="AB97" s="55"/>
      <c r="AC97" s="56"/>
      <c r="AD97" s="56" t="s">
        <v>1110</v>
      </c>
      <c r="AE97" s="55"/>
      <c r="AF97" s="55"/>
      <c r="AG97" s="56"/>
      <c r="AH97" s="56"/>
      <c r="AI97" s="55"/>
      <c r="AJ97" s="55"/>
      <c r="AK97" s="56"/>
      <c r="AL97" s="56" t="s">
        <v>1110</v>
      </c>
      <c r="AM97" s="77" t="s">
        <v>321</v>
      </c>
      <c r="AN97" s="62" t="s">
        <v>39</v>
      </c>
      <c r="AO97" s="64"/>
      <c r="AP97" s="58" t="str">
        <f t="shared" si="6"/>
        <v>Lubivka, s. r. o. cistiace a upratovacie sluzby, dom a zahrada, &amp;#32vsetky kategorie  031 18 Podhorie Upratovacia sluzba, starostlivost o domacnost klienta - upratovanie, varenie, pranie, zehlenie, starostlivost o zahradu. Nasimi zakaznikmi su bezni zakaznici a osoby odkazane na pomoc. Vykonavame sluzby na podporu zamestnanosti – vytvaranie pracovnych prilezitosti pre osoby znevyhodnene alebo ohrozene na trhu prace. Lubivka s.r.o. Upratovacie sluzby upratovanie, pranie, zehlenie, starostlivost o domacnost a zahradu            Servisne poukazky Register partnerov VS</v>
      </c>
      <c r="AQ97" s="37"/>
    </row>
    <row r="98" ht="15.75" customHeight="1">
      <c r="A98" s="43"/>
      <c r="B98" s="59">
        <v>102.0</v>
      </c>
      <c r="C98" s="97" t="s">
        <v>1153</v>
      </c>
      <c r="D98" s="41" t="s">
        <v>66</v>
      </c>
      <c r="E98" s="38" t="str">
        <f t="shared" si="1"/>
        <v>Žilinský kraj, &amp;#32celé Slovensko</v>
      </c>
      <c r="F98" s="42" t="s">
        <v>1154</v>
      </c>
      <c r="G98" s="38" t="str">
        <f t="shared" si="2"/>
        <v>dom a záhrada, &amp;#32všetky kategórie</v>
      </c>
      <c r="H98" s="42" t="s">
        <v>96</v>
      </c>
      <c r="I98" s="43" t="str">
        <f t="shared" si="3"/>
        <v>6 - 10, &amp;#32všetky možnosti</v>
      </c>
      <c r="J98" s="44" t="str">
        <f t="shared" si="7"/>
        <v>,Register partnerov VS,</v>
      </c>
      <c r="K98" s="45">
        <f t="shared" si="5"/>
        <v>23754.12984</v>
      </c>
      <c r="L98" s="43"/>
      <c r="M98" s="43" t="str">
        <f>IFERROR(__xludf.DUMMYFUNCTION("SPLIT(O98,"","")"),"Valča 207")</f>
        <v>Valča 207</v>
      </c>
      <c r="N98" s="43" t="str">
        <f>IFERROR(__xludf.DUMMYFUNCTION("""COMPUTED_VALUE"""),"  038 35 Valča")</f>
        <v>  038 35 Valča</v>
      </c>
      <c r="O98" s="42" t="s">
        <v>1155</v>
      </c>
      <c r="P98" s="43">
        <v>49.0225620999999</v>
      </c>
      <c r="Q98" s="43">
        <v>18.796679</v>
      </c>
      <c r="R98" s="56" t="s">
        <v>1156</v>
      </c>
      <c r="S98" s="34" t="s">
        <v>1157</v>
      </c>
      <c r="T98" s="63" t="s">
        <v>1158</v>
      </c>
      <c r="U98" s="61" t="s">
        <v>1159</v>
      </c>
      <c r="V98" s="50" t="s">
        <v>1160</v>
      </c>
      <c r="W98" s="55" t="s">
        <v>1161</v>
      </c>
      <c r="X98" s="54" t="s">
        <v>1162</v>
      </c>
      <c r="Y98" s="46" t="s">
        <v>1163</v>
      </c>
      <c r="Z98" s="53" t="s">
        <v>1164</v>
      </c>
      <c r="AA98" s="52" t="s">
        <v>64</v>
      </c>
      <c r="AB98" s="55"/>
      <c r="AC98" s="56"/>
      <c r="AD98" s="56" t="s">
        <v>1110</v>
      </c>
      <c r="AE98" s="55"/>
      <c r="AF98" s="55"/>
      <c r="AG98" s="56"/>
      <c r="AH98" s="56"/>
      <c r="AI98" s="55"/>
      <c r="AJ98" s="55"/>
      <c r="AK98" s="56"/>
      <c r="AL98" s="56" t="s">
        <v>1110</v>
      </c>
      <c r="AM98" s="47"/>
      <c r="AN98" s="62" t="s">
        <v>39</v>
      </c>
      <c r="AO98" s="64"/>
      <c r="AP98" s="58" t="str">
        <f t="shared" si="6"/>
        <v>BOBGRASS s.r.o. dom a zahrada, &amp;#32vsetky kategorie   038 35 Valca Zahradnicke sluzby - realizacia a udrzba zahrad a parkov, travnikov a futbalovych ihrisk, zavlahovych systemov, predaj zahradnickych potrieb. Nasa spolocnost sa od roku 2016 venuje budovaniu a udrziavaniu zelenej infrastruktury. Pocas tejto doby sme nadobudli dostatok skusenosti. Po realizacii viacerych projektov sme dospeli ku komplexnemu pohladu na nevyuzite moznosti a potencial zelenej infrastruktury. Jedna sa najma o potencial inteligentneho vyuzitia priestoru tak, aby vytvoril podmienky pre oddych a relax, akusi filozofiu oddychoveho priestoru a nie len radove a jednotvarne vysadzanie rastlin. ​Celkove architektonicko-realizacne riesenie predstavuje hlavny potencial a pridanu hodnotu nasich sluzieb. BOBGRASS Sme zahradnicka firma, ktora ponuka svoje sluzby v Martine a jeho okoli. Od kosenia travy, strihania stromov a krikov, zahradnych a terennych uprav, zakladania travnikov, zavlahovych systemov, az po vysadbu drevin. Mame dobre vztahy s nasimi dodavatelmi, vieme poskytnut vyborne ceny aj kvalitne sluzby.
 zavlahove systemy, travniky, ihriska, kosenie, zahrady, vysadba, frezovanie pnov, terenne upravy, predaj zahradnickeho sortimentu, zahradnicky sortiment, zahradna architektura             Register partnerov VS</v>
      </c>
      <c r="AQ98" s="37"/>
    </row>
    <row r="99" ht="15.75" customHeight="1">
      <c r="A99" s="43"/>
      <c r="B99" s="59">
        <v>103.0</v>
      </c>
      <c r="C99" s="97" t="s">
        <v>1165</v>
      </c>
      <c r="D99" s="41" t="s">
        <v>134</v>
      </c>
      <c r="E99" s="38" t="str">
        <f t="shared" si="1"/>
        <v>Trenčiansky kraj, &amp;#32celé Slovensko</v>
      </c>
      <c r="F99" s="42" t="s">
        <v>1166</v>
      </c>
      <c r="G99" s="38" t="str">
        <f t="shared" si="2"/>
        <v>reklama, bižutéria a darčekové predmety, iné (tovary a služby), &amp;#32všetky kategórie</v>
      </c>
      <c r="H99" s="42" t="s">
        <v>53</v>
      </c>
      <c r="I99" s="43" t="str">
        <f t="shared" si="3"/>
        <v>1 - 5, &amp;#32všetky možnosti</v>
      </c>
      <c r="J99" s="44" t="str">
        <f t="shared" si="7"/>
        <v>,,Náhradné plnenie</v>
      </c>
      <c r="K99" s="45">
        <f t="shared" si="5"/>
        <v>12151.32766</v>
      </c>
      <c r="L99" s="43"/>
      <c r="M99" s="43" t="str">
        <f>IFERROR(__xludf.DUMMYFUNCTION("SPLIT(O99,"","")"),"Tužina 378")</f>
        <v>Tužina 378</v>
      </c>
      <c r="N99" s="43" t="str">
        <f>IFERROR(__xludf.DUMMYFUNCTION("""COMPUTED_VALUE""")," 972 14 Tužina")</f>
        <v> 972 14 Tužina</v>
      </c>
      <c r="O99" s="80" t="s">
        <v>1167</v>
      </c>
      <c r="P99" s="43">
        <v>48.8913284</v>
      </c>
      <c r="Q99" s="43">
        <v>18.618524</v>
      </c>
      <c r="R99" s="56" t="s">
        <v>1168</v>
      </c>
      <c r="S99" s="34" t="s">
        <v>1169</v>
      </c>
      <c r="T99" s="63" t="s">
        <v>1170</v>
      </c>
      <c r="U99" s="61" t="s">
        <v>1171</v>
      </c>
      <c r="V99" s="50" t="s">
        <v>1172</v>
      </c>
      <c r="W99" s="55" t="s">
        <v>1173</v>
      </c>
      <c r="X99" s="54" t="s">
        <v>1174</v>
      </c>
      <c r="Y99" s="46" t="s">
        <v>1175</v>
      </c>
      <c r="Z99" s="53" t="s">
        <v>1176</v>
      </c>
      <c r="AA99" s="52" t="s">
        <v>64</v>
      </c>
      <c r="AB99" s="55"/>
      <c r="AC99" s="56"/>
      <c r="AD99" s="56" t="s">
        <v>1110</v>
      </c>
      <c r="AE99" s="55"/>
      <c r="AF99" s="55"/>
      <c r="AG99" s="56"/>
      <c r="AH99" s="56"/>
      <c r="AI99" s="55"/>
      <c r="AJ99" s="55"/>
      <c r="AK99" s="56"/>
      <c r="AL99" s="56" t="s">
        <v>1110</v>
      </c>
      <c r="AM99" s="34"/>
      <c r="AN99" s="55"/>
      <c r="AO99" s="57" t="s">
        <v>40</v>
      </c>
      <c r="AP99" s="58" t="str">
        <f t="shared" si="6"/>
        <v>Darcekovo Erika s. r. o. reklama, bizuteria a darcekove predmety, ine (tovary a sluzby), &amp;#32vsetky kategorie  972 14 Tuzina Vyrabame darcekove a dekoracne predmety na mieru pre zakaznika - personalizovane vysivane produkty (uteraky, osusky, tricka, kucharske zastery, bytovy textil, mikiny, siltovky...) a produkty s potlacou (oblecenie, hrnceky, podnosy...), mydla a kozmeticke produkty s moznostou vyroby vlastnej etikety, darcekove vina (so zlatom, perletou, klasicke vina...), medovina s moznostou vyroby vlastnej etikety, darcekove dezerty a cokolady s venovanim, darcekove caje, sviecky, kozmeticke sady, drevene gravirovane predmety (srdiecka, lopariky, tabulky...), mydlove kytice, darcekove kose a ine - po dohode so zakaznikom moznost vyroby darcekoveho predmetu v pozadovanom mnozstve podla jeho predstav. Vytvarame pracovne miesta pre obcanov so zdravotnym znevyhodnenim. Darcekovo Erika Vyroba a predaj darcekovych a dekoracnych predmetov. Vysivane produkty, potlac, sperky, dezerty, caje, drevene dekoracne predmety s gravirom, sviecky, darcekove kose, mydla, kozmeticke sady, tricka s potlacou, zastery             </v>
      </c>
      <c r="AQ99" s="37"/>
    </row>
    <row r="100" ht="15.75" customHeight="1">
      <c r="A100" s="43"/>
      <c r="B100" s="59">
        <v>104.0</v>
      </c>
      <c r="C100" s="97" t="s">
        <v>1177</v>
      </c>
      <c r="D100" s="41" t="s">
        <v>51</v>
      </c>
      <c r="E100" s="38" t="str">
        <f t="shared" si="1"/>
        <v>Prešovský kraj, &amp;#32celé Slovensko</v>
      </c>
      <c r="F100" s="42" t="s">
        <v>1178</v>
      </c>
      <c r="G100" s="38" t="str">
        <f t="shared" si="2"/>
        <v>poľnohospodárstvo a lesníctvo, &amp;#32všetky kategórie</v>
      </c>
      <c r="H100" s="42" t="s">
        <v>53</v>
      </c>
      <c r="I100" s="43" t="str">
        <f t="shared" si="3"/>
        <v>1 - 5, &amp;#32všetky možnosti</v>
      </c>
      <c r="J100" s="44" t="str">
        <f t="shared" si="7"/>
        <v>,,</v>
      </c>
      <c r="K100" s="45">
        <f t="shared" si="5"/>
        <v>29556.44012</v>
      </c>
      <c r="L100" s="43"/>
      <c r="M100" s="43" t="str">
        <f>IFERROR(__xludf.DUMMYFUNCTION("SPLIT(O100,"","")"),"Ihľany 211")</f>
        <v>Ihľany 211</v>
      </c>
      <c r="N100" s="43" t="str">
        <f>IFERROR(__xludf.DUMMYFUNCTION("""COMPUTED_VALUE""")," 059 94 Ihľany")</f>
        <v> 059 94 Ihľany</v>
      </c>
      <c r="O100" s="42" t="s">
        <v>1179</v>
      </c>
      <c r="P100" s="43">
        <v>49.1888326</v>
      </c>
      <c r="Q100" s="43">
        <v>20.5368831</v>
      </c>
      <c r="R100" s="56" t="s">
        <v>1180</v>
      </c>
      <c r="S100" s="34" t="s">
        <v>1181</v>
      </c>
      <c r="T100" s="63" t="s">
        <v>86</v>
      </c>
      <c r="U100" s="61" t="s">
        <v>1182</v>
      </c>
      <c r="V100" s="50" t="s">
        <v>1183</v>
      </c>
      <c r="W100" s="55" t="s">
        <v>1184</v>
      </c>
      <c r="X100" s="54" t="s">
        <v>1185</v>
      </c>
      <c r="Y100" s="46" t="s">
        <v>1186</v>
      </c>
      <c r="Z100" s="53" t="s">
        <v>1187</v>
      </c>
      <c r="AA100" s="52" t="s">
        <v>64</v>
      </c>
      <c r="AB100" s="55"/>
      <c r="AC100" s="56"/>
      <c r="AD100" s="56"/>
      <c r="AE100" s="55"/>
      <c r="AF100" s="55"/>
      <c r="AG100" s="56"/>
      <c r="AH100" s="56"/>
      <c r="AI100" s="55"/>
      <c r="AJ100" s="55"/>
      <c r="AK100" s="56"/>
      <c r="AL100" s="56"/>
      <c r="AM100" s="34"/>
      <c r="AN100" s="55"/>
      <c r="AO100" s="64"/>
      <c r="AP100" s="58" t="str">
        <f t="shared" si="6"/>
        <v>IHLA, s. r. o. - registrovany socialny podnik polnohospodarstvo a lesnictvo, &amp;#32vsetky kategorie  059 94 Ihlany Nas registrovany socialny podnik ponuka sluzby prevazne v lesnictve. Ide o cinnosti ako napriklad priprava ploch po tazbe (cistenie), zalesnovacia cinnost, ochrana proti burine (vyzinanie), ochrana proti zveri, vychovne zasahy (prerezavky), tazbova cinnost (tazba dreva). Cielom socialneho podniku je ponuknut pracovnu moznost prevazne znevyhodnenym obcanom (ZTP), ktori su tazsie uplatnitelni na trhu prace. IHLA, s. r. o. Cinnosti v lesnictve (priprava ploch po tazbe, ochrana proti zveri, ochrana proti burine, zalesnovanie). Cinnosti v lesnictve,  obnova lesov, vysadba stromov, ochrana lesov           </v>
      </c>
      <c r="AQ100" s="37"/>
    </row>
    <row r="101" ht="15.75" customHeight="1">
      <c r="A101" s="43"/>
      <c r="B101" s="59">
        <v>105.0</v>
      </c>
      <c r="C101" s="97" t="s">
        <v>1188</v>
      </c>
      <c r="D101" s="41" t="s">
        <v>134</v>
      </c>
      <c r="E101" s="38" t="str">
        <f t="shared" si="1"/>
        <v>Trenčiansky kraj, &amp;#32celé Slovensko</v>
      </c>
      <c r="F101" s="42" t="s">
        <v>473</v>
      </c>
      <c r="G101" s="38" t="str">
        <f t="shared" si="2"/>
        <v>auto-moto, &amp;#32všetky kategórie</v>
      </c>
      <c r="H101" s="42" t="s">
        <v>68</v>
      </c>
      <c r="I101" s="43" t="str">
        <f t="shared" si="3"/>
        <v>16 - 20, &amp;#32všetky možnosti</v>
      </c>
      <c r="J101" s="44" t="str">
        <f t="shared" si="7"/>
        <v>,Register partnerov VS,</v>
      </c>
      <c r="K101" s="45">
        <f t="shared" si="5"/>
        <v>44345.36782</v>
      </c>
      <c r="L101" s="43"/>
      <c r="M101" s="43" t="str">
        <f>IFERROR(__xludf.DUMMYFUNCTION("SPLIT(O101,"","")"),"29. Augusta 44/6")</f>
        <v>29. Augusta 44/6</v>
      </c>
      <c r="N101" s="43" t="str">
        <f>IFERROR(__xludf.DUMMYFUNCTION("""COMPUTED_VALUE""")," 972 51 Handlová")</f>
        <v> 972 51 Handlová</v>
      </c>
      <c r="O101" s="42" t="s">
        <v>1189</v>
      </c>
      <c r="P101" s="43">
        <v>48.7234384</v>
      </c>
      <c r="Q101" s="43">
        <v>18.7575591</v>
      </c>
      <c r="R101" s="56" t="s">
        <v>1190</v>
      </c>
      <c r="S101" s="34" t="s">
        <v>1191</v>
      </c>
      <c r="T101" s="63" t="s">
        <v>86</v>
      </c>
      <c r="U101" s="61" t="s">
        <v>1192</v>
      </c>
      <c r="V101" s="50" t="s">
        <v>1193</v>
      </c>
      <c r="W101" s="55" t="s">
        <v>1194</v>
      </c>
      <c r="X101" s="54" t="s">
        <v>1195</v>
      </c>
      <c r="Y101" s="46" t="s">
        <v>1196</v>
      </c>
      <c r="Z101" s="53" t="s">
        <v>1197</v>
      </c>
      <c r="AA101" s="52" t="s">
        <v>64</v>
      </c>
      <c r="AB101" s="55"/>
      <c r="AC101" s="56"/>
      <c r="AD101" s="56"/>
      <c r="AE101" s="55"/>
      <c r="AF101" s="55"/>
      <c r="AG101" s="56"/>
      <c r="AH101" s="56"/>
      <c r="AI101" s="55"/>
      <c r="AJ101" s="55"/>
      <c r="AK101" s="56"/>
      <c r="AL101" s="56"/>
      <c r="AM101" s="47"/>
      <c r="AN101" s="62" t="s">
        <v>39</v>
      </c>
      <c r="AO101" s="64"/>
      <c r="AP101" s="58" t="str">
        <f t="shared" si="6"/>
        <v>C.B. ONE, s.r.o. auto-moto, &amp;#32vsetky kategorie  972 51 Handlova V roku 1991 sme zacali predajom a montazami radiokomunikacnej techniky, neskor sme rozsirili cinnost o dovoz a montaz offroad prislusenstva australskeho vyrobcu ARB na zvysenie priechodnosti a zivotnosti terennych vozidiel. Svojou polohou v strede Slovenska je nasa ponuka dostupna pre zakaznikov z celej republiky. Medzi najcastejsie upravy patri montaz navijakov, uzavierok diferencialu, zvysenych a zatazovych podvozkovych sad, pevnostnych naraznikov, mechanickej ochrany podvozku, radiostanic a pod.
Opakovane vykonavame komplexne upravy vozidiel pre lesnikov, polovnikov, energetikov, vyznamne stavebne firmy, silove a zachranne zlozky, statnu spravu, ci upravy vozidiel pre expedicne a sportove ucely. Najobjektivnejsim dokazom nasej odbornosti je vyhradne zastupenie renomovanej australskej spolocnosti ARB 4x4 Accessories pre Slovensko, ako i americkej spolocnosti PREDATOR 4x4 accessories a inych TOP znaciek. Opakovane vykonavame komplexne upravy vozidiel pre lesnikov, polovnikov, energetikov, vyznamne stavebne firmy, silove a zachranne zlozky, statnu spravu, ci upravy vozidiel pre expedicne a sportove ucely. Predvadzacie stredisko C.B. ONE, s.r.o. Vykonavame komplexne upravy vozidiel a predaj kvalitnych komponentov na motorove vozidla. Mame vyhradne zastupenie australskej spolocnosti ARB 4x4 Accessories pre Slovensko, ako i americkej spolocnosti PREDATOR 4x4 accessories a inych TOP znaciek, napr. OLDMAN EMU, PREDATOR 4x4, KING ONE WINCH,SAFARI SNORKEL, ASFIR, AVM, WARN, CRT- France, SIRIO. Predaj a montaz znackovych komponentov, navijaky, uzavierky diferencialu, zvysene a zatazove podvozkove sady, pevnostne narazniky, mechanicka ochrana podvozku, radiostanice, autosuciastky, autodiely           Register partnerov VS</v>
      </c>
      <c r="AQ101" s="37"/>
    </row>
    <row r="102" ht="15.75" customHeight="1">
      <c r="A102" s="43"/>
      <c r="B102" s="59">
        <v>106.0</v>
      </c>
      <c r="C102" s="97" t="s">
        <v>1198</v>
      </c>
      <c r="D102" s="41" t="s">
        <v>229</v>
      </c>
      <c r="E102" s="38" t="str">
        <f t="shared" si="1"/>
        <v>Nitriansky kraj, &amp;#32celé Slovensko</v>
      </c>
      <c r="F102" s="42" t="s">
        <v>1199</v>
      </c>
      <c r="G102" s="38" t="str">
        <f t="shared" si="2"/>
        <v>ochrana a bezpečnosť, &amp;#32všetky kategórie</v>
      </c>
      <c r="H102" s="42" t="s">
        <v>53</v>
      </c>
      <c r="I102" s="43" t="str">
        <f t="shared" si="3"/>
        <v>1 - 5, &amp;#32všetky možnosti</v>
      </c>
      <c r="J102" s="44" t="str">
        <f t="shared" si="7"/>
        <v>,,</v>
      </c>
      <c r="K102" s="45">
        <f t="shared" si="5"/>
        <v>23791.71492</v>
      </c>
      <c r="L102" s="43"/>
      <c r="M102" s="43" t="str">
        <f>IFERROR(__xludf.DUMMYFUNCTION("SPLIT(O102,"","")"),"A. Hlinku 484/10A")</f>
        <v>A. Hlinku 484/10A</v>
      </c>
      <c r="N102" s="43" t="str">
        <f>IFERROR(__xludf.DUMMYFUNCTION("""COMPUTED_VALUE""")," 951 31 Močenok")</f>
        <v> 951 31 Močenok</v>
      </c>
      <c r="O102" s="42" t="s">
        <v>1200</v>
      </c>
      <c r="P102" s="43">
        <v>48.2279012</v>
      </c>
      <c r="Q102" s="43">
        <v>17.9275105</v>
      </c>
      <c r="R102" s="56" t="s">
        <v>1201</v>
      </c>
      <c r="S102" s="34" t="s">
        <v>1202</v>
      </c>
      <c r="T102" s="98" t="s">
        <v>86</v>
      </c>
      <c r="U102" s="61" t="s">
        <v>1203</v>
      </c>
      <c r="V102" s="50" t="s">
        <v>1204</v>
      </c>
      <c r="W102" s="55" t="s">
        <v>1205</v>
      </c>
      <c r="X102" s="54" t="s">
        <v>1198</v>
      </c>
      <c r="Y102" s="46" t="s">
        <v>1206</v>
      </c>
      <c r="Z102" s="53" t="s">
        <v>1207</v>
      </c>
      <c r="AA102" s="52" t="s">
        <v>64</v>
      </c>
      <c r="AB102" s="55"/>
      <c r="AC102" s="56"/>
      <c r="AD102" s="56"/>
      <c r="AE102" s="55"/>
      <c r="AF102" s="55"/>
      <c r="AG102" s="56"/>
      <c r="AH102" s="56"/>
      <c r="AI102" s="55"/>
      <c r="AJ102" s="55"/>
      <c r="AK102" s="56"/>
      <c r="AL102" s="56"/>
      <c r="AM102" s="34"/>
      <c r="AN102" s="55"/>
      <c r="AO102" s="64"/>
      <c r="AP102" s="58" t="str">
        <f t="shared" si="6"/>
        <v>Obecny podnik Mocenok, s. r. o. ochrana a bezpecnost, &amp;#32vsetky kategorie  951 31 Mocenok Obecny podnik Mocenok, s. r. o. ponuka sluzby spojene s prevadzkou dohladoveho pracoviska kameroveho systemu - vykon prac zameranych na sledovanie kameroveho systemu a vyhodnocovanie moznych naruseni verejneho poriadku, ci ochrany majetku. Obecny podnik Mocenok, s. r. o. splna podmienku dosahovania pozitivneho socialneho vplyvu hlavne znizenim nezamestnanosti znevyhodnenych a najviac zranitelnych osob z obce Mocenok a jej okolia. Pozitivny spolocensky dopad Obecny podnik Mocenok, s.r.o. dosahuje aj svojou cinnostou - prevadzkovanim dohladoveho kameroveho systemu. Obecny podnik Mocenok, s. r. o. Prevadzkovanie dohladoveho pracoviska kameroveho systemu - vykon prac zameranych na sledovanie kameroveho systemu a vyhodnocovanie moznych naruseni verejneho poriadku, ci ochrany majetku. dohladove pracovisko kameroveho systemu           </v>
      </c>
      <c r="AQ102" s="37"/>
    </row>
    <row r="103" ht="15.75" customHeight="1">
      <c r="A103" s="43"/>
      <c r="B103" s="59">
        <v>107.0</v>
      </c>
      <c r="C103" s="97" t="s">
        <v>1208</v>
      </c>
      <c r="D103" s="41" t="s">
        <v>229</v>
      </c>
      <c r="E103" s="38" t="str">
        <f t="shared" si="1"/>
        <v>Nitriansky kraj, &amp;#32celé Slovensko</v>
      </c>
      <c r="F103" s="42" t="s">
        <v>1178</v>
      </c>
      <c r="G103" s="38" t="str">
        <f t="shared" si="2"/>
        <v>poľnohospodárstvo a lesníctvo, &amp;#32všetky kategórie</v>
      </c>
      <c r="H103" s="42" t="s">
        <v>68</v>
      </c>
      <c r="I103" s="43" t="str">
        <f t="shared" si="3"/>
        <v>16 - 20, &amp;#32všetky možnosti</v>
      </c>
      <c r="J103" s="44" t="str">
        <f t="shared" si="7"/>
        <v>,Register partnerov VS,</v>
      </c>
      <c r="K103" s="45">
        <f t="shared" si="5"/>
        <v>35463.60831</v>
      </c>
      <c r="L103" s="43"/>
      <c r="M103" s="43" t="str">
        <f>IFERROR(__xludf.DUMMYFUNCTION("SPLIT(O103,"","")"),"Tajná 163")</f>
        <v>Tajná 163</v>
      </c>
      <c r="N103" s="43" t="str">
        <f>IFERROR(__xludf.DUMMYFUNCTION("""COMPUTED_VALUE""")," 952 01 Tajná")</f>
        <v> 952 01 Tajná</v>
      </c>
      <c r="O103" s="42" t="s">
        <v>1209</v>
      </c>
      <c r="P103" s="43">
        <v>48.2556924</v>
      </c>
      <c r="Q103" s="43">
        <v>18.358972</v>
      </c>
      <c r="R103" s="56" t="s">
        <v>1210</v>
      </c>
      <c r="S103" s="34" t="s">
        <v>1211</v>
      </c>
      <c r="T103" s="63" t="s">
        <v>1212</v>
      </c>
      <c r="U103" s="99" t="s">
        <v>1213</v>
      </c>
      <c r="V103" s="50" t="s">
        <v>1214</v>
      </c>
      <c r="W103" s="55" t="s">
        <v>1215</v>
      </c>
      <c r="X103" s="54" t="s">
        <v>1208</v>
      </c>
      <c r="Y103" s="46" t="s">
        <v>1216</v>
      </c>
      <c r="Z103" s="53" t="s">
        <v>1217</v>
      </c>
      <c r="AA103" s="52" t="s">
        <v>64</v>
      </c>
      <c r="AB103" s="55"/>
      <c r="AC103" s="56"/>
      <c r="AD103" s="56"/>
      <c r="AE103" s="55"/>
      <c r="AF103" s="55"/>
      <c r="AG103" s="56"/>
      <c r="AH103" s="56"/>
      <c r="AI103" s="55"/>
      <c r="AJ103" s="55"/>
      <c r="AK103" s="56"/>
      <c r="AL103" s="56"/>
      <c r="AM103" s="47"/>
      <c r="AN103" s="62" t="s">
        <v>39</v>
      </c>
      <c r="AO103" s="64"/>
      <c r="AP103" s="58" t="str">
        <f t="shared" si="6"/>
        <v>AGRO SOCIALNY PODNIK s.r.o polnohospodarstvo a lesnictvo, &amp;#32vsetky kategorie  952 01 Tajna Sluzby v oblasti polnohospodarskej prvovyroby, sluzby vo vinohrade, zelene prace, zahradnicky servis. Integrujeme marginalizovane skupiny obyvatelov. AGRO SOCIALNY PODNIK s.r.o Sluzby v oblasti starostlivosti o vinohrad. zelene prace, prace vo vinohrade, pomocne stavebne prace, vykopove prace, buracie prace           Register partnerov VS</v>
      </c>
      <c r="AQ103" s="37"/>
    </row>
    <row r="104" ht="15.75" customHeight="1">
      <c r="A104" s="43"/>
      <c r="B104" s="59">
        <v>108.0</v>
      </c>
      <c r="C104" s="97" t="s">
        <v>1218</v>
      </c>
      <c r="D104" s="41" t="s">
        <v>94</v>
      </c>
      <c r="E104" s="38" t="str">
        <f t="shared" si="1"/>
        <v>Bratislavský kraj, &amp;#32celé Slovensko</v>
      </c>
      <c r="F104" s="42" t="s">
        <v>1219</v>
      </c>
      <c r="G104" s="38" t="str">
        <f t="shared" si="2"/>
        <v>krása-zdravie-relax, účtovníctvo a poradenstvo, vzdelávanie, pre deti, &amp;#32všetky kategórie</v>
      </c>
      <c r="H104" s="42" t="s">
        <v>82</v>
      </c>
      <c r="I104" s="43" t="str">
        <f t="shared" si="3"/>
        <v>11 - 15, &amp;#32všetky možnosti</v>
      </c>
      <c r="J104" s="44" t="str">
        <f t="shared" si="7"/>
        <v>,Register partnerov VS,Náhradné plnenie</v>
      </c>
      <c r="K104" s="45">
        <f t="shared" si="5"/>
        <v>35648.77596</v>
      </c>
      <c r="L104" s="43"/>
      <c r="M104" s="43" t="str">
        <f>IFERROR(__xludf.DUMMYFUNCTION("SPLIT(O104,"","")"),"Lichnerova 41")</f>
        <v>Lichnerova 41</v>
      </c>
      <c r="N104" s="43" t="str">
        <f>IFERROR(__xludf.DUMMYFUNCTION("""COMPUTED_VALUE""")," 903 01 Senec")</f>
        <v> 903 01 Senec</v>
      </c>
      <c r="O104" s="42" t="s">
        <v>1220</v>
      </c>
      <c r="P104" s="43">
        <v>48.2184685</v>
      </c>
      <c r="Q104" s="43">
        <v>17.4030421</v>
      </c>
      <c r="R104" s="56" t="s">
        <v>1221</v>
      </c>
      <c r="S104" s="34" t="s">
        <v>1222</v>
      </c>
      <c r="T104" s="63" t="s">
        <v>1223</v>
      </c>
      <c r="U104" s="61" t="s">
        <v>1224</v>
      </c>
      <c r="V104" s="50" t="s">
        <v>1225</v>
      </c>
      <c r="W104" s="85" t="s">
        <v>1226</v>
      </c>
      <c r="X104" s="54" t="s">
        <v>1227</v>
      </c>
      <c r="Y104" s="46" t="s">
        <v>1228</v>
      </c>
      <c r="Z104" s="53" t="s">
        <v>1229</v>
      </c>
      <c r="AA104" s="52" t="s">
        <v>64</v>
      </c>
      <c r="AB104" s="55"/>
      <c r="AC104" s="56"/>
      <c r="AD104" s="56"/>
      <c r="AE104" s="55"/>
      <c r="AF104" s="55"/>
      <c r="AG104" s="56"/>
      <c r="AH104" s="56"/>
      <c r="AI104" s="55"/>
      <c r="AJ104" s="55"/>
      <c r="AK104" s="56"/>
      <c r="AL104" s="56"/>
      <c r="AM104" s="47"/>
      <c r="AN104" s="62" t="s">
        <v>39</v>
      </c>
      <c r="AO104" s="57" t="s">
        <v>40</v>
      </c>
      <c r="AP104" s="58" t="str">
        <f t="shared" si="6"/>
        <v>WELLNEA s. r. o., r. s. p. krasa-zdravie-relax, uctovnictvo a poradenstvo, vzdelavanie, pre deti, &amp;#32vsetky kategorie  903 01 Senec Sluzby salonu krasy (kadernictvo, kozmetika, manikura, pedikura, masaze) a poradenstvo zamerane na regeneraciu a rekondiciu dusevnych a fyzickych sil pre siroku verejnost. 
Podnikatelske, organizacne a ekonomicke poradenstvo (poradenstvo v oblasti manazerskych zrucnosti, poradenstvo v oblasti personalistiky a HR zabezpecovane psychologmi, poradenstvo pri zakladani socialnych podnikov, chranenych dielni, rodinnych firiem maleho a stredneho podnikania atd.) a s tym suvisiace reklamne a marketingove sluzby + Vykonavanie mimoskolskej vzdelavacej cinnosti + vydavatelska cinnost.
Administrativne sluzby a Pocitacove sluzby suviace so spracovanim udajov.
Organizacia kulturnych a inych spolocenskych podujati.
Vyroba didaktickych pomocok a uciacich hraciek pre deti so specialno-vzdelavacimi a vychovnymi potrebami, vratane deti so zdravotnym znevyhodnenim. Pozitivnym socialnym vplyvom nasej spolocnosti je podpora regionalneho rozvoja a zamestnanosti, a to prostrednictvom zamestnavania znevyhodnenych osob a zranitelnych osob najma z radov zdravotne znevyhodnenych obcanov a umoznenie ich pracovnej integracie. WELLNEA s.r.o., r.s.p. 
Sluzby salonu krasy (kadernictvo, kozmetika, manikura, pedikura, masaze) a poradenstvo zamerane na regeneraciu a rekondiciu dusevnych a fyzickych sil.
Podnikatelske, organizacne a ekonomicke poradenstvo (poradenstvo v oblasti manazerskych zrucnosti, poradenstvo v oblasti personalistiky a HR zabezpecovane psychologmi, poradenstvo pri zakladani socialnych podnikov, chranenych dielni, rodinnych firiem maleho a stredneho podnikania atd.) a s tym suvisiace reklamne a marketingove sluzby + Vykonavanie mimoskolskej vzdelavacej cinnosti + vydavatelska cinnost;
Administrativne sluzby a Pocitacove sluzby suviace so spracovanim udajov ;
Organizacia kulturnych a inych spolocenskych podujati;
Vyroba didaktickych pomocok a uciacich hraciek pre deti so specialno- vzdelavacimi a vychovnymi potrebami vratane deti so zdravotnym znevyhodnenim. vlasy, nechty, nohy, ruky, farbenie vlasov, gelove nechty, pedikura, manikura, kadernictvo, kozmetika, masaze, konzultacie, skolenia, eventy, spolocenske akcie, pomocky pre postihnute deti           Register partnerov VS</v>
      </c>
      <c r="AQ104" s="37"/>
    </row>
    <row r="105" ht="15.75" customHeight="1">
      <c r="A105" s="43"/>
      <c r="B105" s="59">
        <v>109.0</v>
      </c>
      <c r="C105" s="97" t="s">
        <v>1230</v>
      </c>
      <c r="D105" s="41" t="s">
        <v>94</v>
      </c>
      <c r="E105" s="38" t="str">
        <f t="shared" si="1"/>
        <v>Bratislavský kraj, &amp;#32celé Slovensko</v>
      </c>
      <c r="F105" s="42" t="s">
        <v>1231</v>
      </c>
      <c r="G105" s="38" t="str">
        <f t="shared" si="2"/>
        <v>obaly, &amp;#32všetky kategórie</v>
      </c>
      <c r="H105" s="42" t="s">
        <v>82</v>
      </c>
      <c r="I105" s="43" t="str">
        <f t="shared" si="3"/>
        <v>11 - 15, &amp;#32všetky možnosti</v>
      </c>
      <c r="J105" s="44" t="str">
        <f t="shared" si="7"/>
        <v>,Register partnerov VS,Náhradné plnenie</v>
      </c>
      <c r="K105" s="45">
        <f t="shared" si="5"/>
        <v>2035.742096</v>
      </c>
      <c r="L105" s="43"/>
      <c r="M105" s="43" t="str">
        <f>IFERROR(__xludf.DUMMYFUNCTION("SPLIT(O105,"","")"),"Potočná 42")</f>
        <v>Potočná 42</v>
      </c>
      <c r="N105" s="43" t="str">
        <f>IFERROR(__xludf.DUMMYFUNCTION("""COMPUTED_VALUE""")," 900 84 Báhoň")</f>
        <v> 900 84 Báhoň</v>
      </c>
      <c r="O105" s="42" t="s">
        <v>1232</v>
      </c>
      <c r="P105" s="43">
        <v>48.3060621</v>
      </c>
      <c r="Q105" s="43">
        <v>17.4445623</v>
      </c>
      <c r="R105" s="56" t="s">
        <v>1233</v>
      </c>
      <c r="S105" s="34" t="s">
        <v>1234</v>
      </c>
      <c r="T105" s="63" t="s">
        <v>86</v>
      </c>
      <c r="U105" s="61" t="s">
        <v>1235</v>
      </c>
      <c r="V105" s="50" t="s">
        <v>1236</v>
      </c>
      <c r="W105" s="55" t="s">
        <v>1237</v>
      </c>
      <c r="X105" s="54" t="s">
        <v>1238</v>
      </c>
      <c r="Y105" s="46" t="s">
        <v>1239</v>
      </c>
      <c r="Z105" s="53" t="s">
        <v>1240</v>
      </c>
      <c r="AA105" s="52" t="s">
        <v>64</v>
      </c>
      <c r="AB105" s="55"/>
      <c r="AC105" s="56"/>
      <c r="AD105" s="56"/>
      <c r="AE105" s="55"/>
      <c r="AF105" s="55"/>
      <c r="AG105" s="56"/>
      <c r="AH105" s="56"/>
      <c r="AI105" s="55"/>
      <c r="AJ105" s="55"/>
      <c r="AK105" s="56"/>
      <c r="AL105" s="56"/>
      <c r="AM105" s="47"/>
      <c r="AN105" s="62" t="s">
        <v>39</v>
      </c>
      <c r="AO105" s="57" t="s">
        <v>40</v>
      </c>
      <c r="AP105" s="58" t="str">
        <f t="shared" si="6"/>
        <v>LUDIB, s. r. o. obaly, &amp;#32vsetky kategorie  900 84 Bahon Robime baliace cinnosti, triedenie a balenie spojovacieho materialu. Zamestnavame invalidnych obcanov. LUDIB s.r.o., r.s.p. Baliace cinnosti balenie spojovacieho materialu, obaly           Register partnerov VS</v>
      </c>
      <c r="AQ105" s="37"/>
    </row>
    <row r="106" ht="15.75" customHeight="1">
      <c r="A106" s="43"/>
      <c r="B106" s="59">
        <v>110.0</v>
      </c>
      <c r="C106" s="100" t="s">
        <v>1241</v>
      </c>
      <c r="D106" s="41" t="s">
        <v>218</v>
      </c>
      <c r="E106" s="38" t="str">
        <f t="shared" si="1"/>
        <v>Košický kraj, &amp;#32celé Slovensko</v>
      </c>
      <c r="F106" s="80" t="s">
        <v>1242</v>
      </c>
      <c r="G106" s="38" t="str">
        <f t="shared" si="2"/>
        <v>čistiace a upratovacie služby, dom a záhrada, iné (tovary a služby), &amp;#32všetky kategórie</v>
      </c>
      <c r="H106" s="42" t="s">
        <v>82</v>
      </c>
      <c r="I106" s="43" t="str">
        <f t="shared" si="3"/>
        <v>11 - 15, &amp;#32všetky možnosti</v>
      </c>
      <c r="J106" s="44" t="str">
        <f t="shared" si="7"/>
        <v>,Register partnerov VS,Náhradné plnenie</v>
      </c>
      <c r="K106" s="45">
        <f t="shared" si="5"/>
        <v>1413.709115</v>
      </c>
      <c r="L106" s="43"/>
      <c r="M106" s="43" t="str">
        <f>IFERROR(__xludf.DUMMYFUNCTION("SPLIT(O106,"","")"),"Krásnohorská Dlhá Lúka 165")</f>
        <v>Krásnohorská Dlhá Lúka 165</v>
      </c>
      <c r="N106" s="43" t="str">
        <f>IFERROR(__xludf.DUMMYFUNCTION("""COMPUTED_VALUE""")," 049 45 Krásnohorská Dlhá Lúka ")</f>
        <v> 049 45 Krásnohorská Dlhá Lúka </v>
      </c>
      <c r="O106" s="42" t="s">
        <v>1243</v>
      </c>
      <c r="P106" s="43">
        <v>48.6252055</v>
      </c>
      <c r="Q106" s="43">
        <v>20.5792732</v>
      </c>
      <c r="R106" s="82" t="s">
        <v>1244</v>
      </c>
      <c r="S106" s="83" t="s">
        <v>1245</v>
      </c>
      <c r="T106" s="63" t="s">
        <v>1246</v>
      </c>
      <c r="U106" s="61" t="s">
        <v>1247</v>
      </c>
      <c r="V106" s="50" t="s">
        <v>1248</v>
      </c>
      <c r="W106" s="55" t="s">
        <v>1249</v>
      </c>
      <c r="X106" s="85" t="s">
        <v>1241</v>
      </c>
      <c r="Y106" s="82" t="s">
        <v>1250</v>
      </c>
      <c r="Z106" s="86" t="s">
        <v>1251</v>
      </c>
      <c r="AA106" s="67" t="s">
        <v>129</v>
      </c>
      <c r="AB106" s="101" t="s">
        <v>1252</v>
      </c>
      <c r="AC106" s="82" t="s">
        <v>1253</v>
      </c>
      <c r="AD106" s="53" t="s">
        <v>1254</v>
      </c>
      <c r="AE106" s="102" t="s">
        <v>64</v>
      </c>
      <c r="AF106" s="55"/>
      <c r="AG106" s="56"/>
      <c r="AH106" s="56"/>
      <c r="AI106" s="55"/>
      <c r="AJ106" s="55"/>
      <c r="AK106" s="56"/>
      <c r="AL106" s="56"/>
      <c r="AM106" s="47"/>
      <c r="AN106" s="62" t="s">
        <v>39</v>
      </c>
      <c r="AO106" s="57" t="s">
        <v>40</v>
      </c>
      <c r="AP106" s="58" t="str">
        <f t="shared" si="6"/>
        <v>BUZGO, s.r.o. cistiace a upratovacie sluzby, dom a zahrada, ine (tovary a sluzby), &amp;#32vsetky kategorie  049 45 Krasnohorska Dlha Luka  Poskytujeme kompletne upratovacie sluzby ‍nielen pre spolocnosti, ale aj pre domacnosti. Na dokonale vysledky v podobe cistych priestorov sa mozete zarucene spolahnut.
Ponukame aj papierovu hygienu a servisne sluzby na nasom e-shope buzgopaper.sk. Servisne prace sme zamerali na upratovanie, malovanie, zimnu udrzbu, kosenie a dopravu zdravotne postihnutych.  Nasim cielom je prispiet k zvyseniu zamestnanosti, spolocenskej sudrznosti a regionalnemu rozvoju. Chceme oslovit vsetkych, ktori maju zaujem zmenit Slovensko k lepsiemu. BUZGO, s.r.o. Komplexne upratovacie sluzby. Upratujeme socialne a zdravotnicke zariadenia, byty, rodinne domy, administrativne budovy aj vyrobne haly.
Interier – umyvanie okien a okennych ramov, cistenie po maliaroch a rekonstrukcnych upravach, pred kolaudaciou, denne alebo sezonne.
Exterier – zahradnicke a sezonne prace, starostlivost o komunikacie a chodniky, vyskove cistenia. upratovanie, interier, umyvanie, cistenie,  buzgopaper.sk e-shop  Papierove utierky, toaletny papier, papierova hygiena, obrusky papierove, priemyselne utierky        Register partnerov VS</v>
      </c>
      <c r="AQ106" s="37"/>
    </row>
    <row r="107" ht="15.75" customHeight="1">
      <c r="A107" s="43"/>
      <c r="B107" s="59">
        <v>111.0</v>
      </c>
      <c r="C107" s="97" t="s">
        <v>1255</v>
      </c>
      <c r="D107" s="41" t="s">
        <v>181</v>
      </c>
      <c r="E107" s="38" t="str">
        <f t="shared" si="1"/>
        <v>Banskobystrický kraj, &amp;#32celé Slovensko</v>
      </c>
      <c r="F107" s="42" t="s">
        <v>385</v>
      </c>
      <c r="G107" s="38" t="str">
        <f t="shared" si="2"/>
        <v>iné (tovary a služby), &amp;#32všetky kategórie</v>
      </c>
      <c r="H107" s="42" t="s">
        <v>96</v>
      </c>
      <c r="I107" s="43" t="str">
        <f t="shared" si="3"/>
        <v>6 - 10, &amp;#32všetky možnosti</v>
      </c>
      <c r="J107" s="44" t="str">
        <f t="shared" si="7"/>
        <v>,Register partnerov VS,Náhradné plnenie</v>
      </c>
      <c r="K107" s="45">
        <f t="shared" si="5"/>
        <v>3004.230114</v>
      </c>
      <c r="L107" s="43"/>
      <c r="M107" s="43" t="str">
        <f>IFERROR(__xludf.DUMMYFUNCTION("SPLIT(O107,"","")"),"Nemčianska cesta 102/113")</f>
        <v>Nemčianska cesta 102/113</v>
      </c>
      <c r="N107" s="43" t="str">
        <f>IFERROR(__xludf.DUMMYFUNCTION("""COMPUTED_VALUE""")," 974 01 Nemce ")</f>
        <v> 974 01 Nemce </v>
      </c>
      <c r="O107" s="42" t="s">
        <v>1256</v>
      </c>
      <c r="P107" s="43">
        <v>48.7651307</v>
      </c>
      <c r="Q107" s="43">
        <v>19.1846308</v>
      </c>
      <c r="R107" s="56" t="s">
        <v>1257</v>
      </c>
      <c r="S107" s="34" t="s">
        <v>1258</v>
      </c>
      <c r="T107" s="63" t="s">
        <v>86</v>
      </c>
      <c r="U107" s="61" t="s">
        <v>1259</v>
      </c>
      <c r="V107" s="50" t="s">
        <v>1260</v>
      </c>
      <c r="W107" s="55" t="s">
        <v>1261</v>
      </c>
      <c r="X107" s="54" t="s">
        <v>1262</v>
      </c>
      <c r="Y107" s="46" t="s">
        <v>1263</v>
      </c>
      <c r="Z107" s="53" t="s">
        <v>1264</v>
      </c>
      <c r="AA107" s="52" t="s">
        <v>64</v>
      </c>
      <c r="AB107" s="55"/>
      <c r="AC107" s="56"/>
      <c r="AD107" s="56"/>
      <c r="AE107" s="55"/>
      <c r="AF107" s="55"/>
      <c r="AG107" s="56"/>
      <c r="AH107" s="56"/>
      <c r="AI107" s="55"/>
      <c r="AJ107" s="55"/>
      <c r="AK107" s="56"/>
      <c r="AL107" s="56"/>
      <c r="AM107" s="47"/>
      <c r="AN107" s="62" t="s">
        <v>39</v>
      </c>
      <c r="AO107" s="57" t="s">
        <v>40</v>
      </c>
      <c r="AP107" s="58" t="str">
        <f t="shared" si="6"/>
        <v>VYGAST s.r.o. ine (tovary a sluzby), &amp;#32vsetky kategorie  974 01 Nemce  Vyroba specialneho zdravotnickeho materialu z gazy - vyrabame a ponukame presivane tampony, stacane tampony, longety, skladanu gazu a prierezy, ktore sa pouzivaju na susenie a osetrovanie ran na operacnych salach, oddeleniach v nemocniciach a v ambulanciach. Vyrobky su site, stacane a skladane rucne v roznych rozmeroch a vrstvach podla specialnych poziadaviek. Nasimi zakaznikmi su zdravotnicke zariadenia, lekarne, distribucne spolocnosti a veterinarne ambulancie. Najvacsi objem nasich produktov dodavame do statnych koncovych nemocnic, specializovanych ustavov, vseobecnych nemocnic a sukromnym klinikam. Podmienku dosahovania pozitivneho socialneho vplyvu splname v zamestnavani zdravotne znevyhodnenych pracovnikov a ponukou slovenskych vyrobkov do nemocnic na osetrovanie pacientov. VYGAST s.r.o., r.s.p. Vyrabame presivane tampony z gazy, stacane tampony, longety, skladanu gazu, gazove prierezy. specialny zdravotnicky material z gazy , tampony, longety, gaza           Register partnerov VS</v>
      </c>
      <c r="AQ107" s="37"/>
    </row>
    <row r="108" ht="15.75" customHeight="1">
      <c r="A108" s="43"/>
      <c r="B108" s="59">
        <v>112.0</v>
      </c>
      <c r="C108" s="97" t="s">
        <v>1265</v>
      </c>
      <c r="D108" s="41" t="s">
        <v>51</v>
      </c>
      <c r="E108" s="38" t="str">
        <f t="shared" si="1"/>
        <v>Prešovský kraj, &amp;#32celé Slovensko</v>
      </c>
      <c r="F108" s="42" t="s">
        <v>1266</v>
      </c>
      <c r="G108" s="38" t="str">
        <f t="shared" si="2"/>
        <v>čistiace a upratovacie služby, krása-zdravie-relax, &amp;#32všetky kategórie</v>
      </c>
      <c r="H108" s="42" t="s">
        <v>53</v>
      </c>
      <c r="I108" s="43" t="str">
        <f t="shared" si="3"/>
        <v>1 - 5, &amp;#32všetky možnosti</v>
      </c>
      <c r="J108" s="44" t="str">
        <f t="shared" si="7"/>
        <v>,,Náhradné plnenie</v>
      </c>
      <c r="K108" s="45">
        <f t="shared" si="5"/>
        <v>30953.40442</v>
      </c>
      <c r="L108" s="43"/>
      <c r="M108" s="43" t="str">
        <f>IFERROR(__xludf.DUMMYFUNCTION("SPLIT(O108,"","")"),"Nám. sv. Mikuláša Zadné trakty 1721/26A")</f>
        <v>Nám. sv. Mikuláša Zadné trakty 1721/26A</v>
      </c>
      <c r="N108" s="43" t="str">
        <f>IFERROR(__xludf.DUMMYFUNCTION("""COMPUTED_VALUE""")," 064 01 Stará Ľubovňa")</f>
        <v> 064 01 Stará Ľubovňa</v>
      </c>
      <c r="O108" s="42" t="s">
        <v>1267</v>
      </c>
      <c r="P108" s="43">
        <v>49.3024124</v>
      </c>
      <c r="Q108" s="43">
        <v>20.689701</v>
      </c>
      <c r="R108" s="56" t="s">
        <v>1268</v>
      </c>
      <c r="S108" s="34" t="s">
        <v>1269</v>
      </c>
      <c r="T108" s="63" t="s">
        <v>1270</v>
      </c>
      <c r="U108" s="61" t="s">
        <v>1271</v>
      </c>
      <c r="V108" s="50" t="s">
        <v>1272</v>
      </c>
      <c r="W108" s="55" t="s">
        <v>1273</v>
      </c>
      <c r="X108" s="54" t="s">
        <v>1274</v>
      </c>
      <c r="Y108" s="46" t="s">
        <v>1275</v>
      </c>
      <c r="Z108" s="53" t="s">
        <v>1276</v>
      </c>
      <c r="AA108" s="67" t="s">
        <v>129</v>
      </c>
      <c r="AB108" s="55" t="s">
        <v>1277</v>
      </c>
      <c r="AC108" s="56" t="s">
        <v>1278</v>
      </c>
      <c r="AD108" s="56" t="s">
        <v>1279</v>
      </c>
      <c r="AE108" s="55" t="s">
        <v>64</v>
      </c>
      <c r="AF108" s="55"/>
      <c r="AG108" s="56"/>
      <c r="AH108" s="56"/>
      <c r="AI108" s="55"/>
      <c r="AJ108" s="55"/>
      <c r="AK108" s="56"/>
      <c r="AL108" s="56"/>
      <c r="AM108" s="34"/>
      <c r="AN108" s="55"/>
      <c r="AO108" s="57" t="s">
        <v>40</v>
      </c>
      <c r="AP108" s="58" t="str">
        <f t="shared" si="6"/>
        <v>Registrovany socialny podnik MJ Faba, s. r. o. cistiace a upratovacie sluzby, krasa-zdravie-relax, &amp;#32vsetky kategorie  064 01 Stara Lubovna Nas podnik ma dve oblasti posobnosti: 1. ponukame medicinalnu pedikuru, riesime zarastajuce nechty a kompletnu starostlivost o chodidla, a to odborne vyskolenym personalom a spickovo zariadenym salonom; 2. poskytujeme upratovacie sluzby pre kancelarske priestory a domacnosti, tepovanie caluneneho nabytku a automobilov. Ponukame zamestnanie pre zdravotne znevyhodnenych pracovnikov. Pedikj, TepovanieSL V nasej ponuke su: 1.) medicinalna pedikura, reflexna masaz chodidiel, riesenie zarastajucich nechtov, liecba mykotickych nechtov a chodidiel, riesenie deformit a problemov chodidiel, predaj doplnkov a pomocok pre starostlivost o chodidla.
2.) upratovacie sluzby prevadzok, kancelarskych priestorov, bytov a domacnosti, tepovanie caluneneho nabytku, kobercov, tepovanie automobilov vsetkych druhov.
3.) predaj cistiacich prostriedkov. pedikura, masaz,  tepovanie, upratovanie, predaj tovaru, predaj cistiacich prostriedkov, drogeria TepovanieSL Tepovacie a upratovacie sluzby. Tepovanie,  Upratovanie, Predaj vyrobkov        </v>
      </c>
      <c r="AQ108" s="37"/>
    </row>
    <row r="109" ht="15.75" customHeight="1">
      <c r="A109" s="43"/>
      <c r="B109" s="59">
        <v>113.0</v>
      </c>
      <c r="C109" s="97" t="s">
        <v>1280</v>
      </c>
      <c r="D109" s="41" t="s">
        <v>181</v>
      </c>
      <c r="E109" s="38" t="str">
        <f t="shared" si="1"/>
        <v>Banskobystrický kraj, &amp;#32celé Slovensko</v>
      </c>
      <c r="F109" s="42" t="s">
        <v>689</v>
      </c>
      <c r="G109" s="38" t="str">
        <f t="shared" si="2"/>
        <v>dom a záhrada, stavebníctvo, &amp;#32všetky kategórie</v>
      </c>
      <c r="H109" s="42" t="s">
        <v>96</v>
      </c>
      <c r="I109" s="43" t="str">
        <f t="shared" si="3"/>
        <v>6 - 10, &amp;#32všetky možnosti</v>
      </c>
      <c r="J109" s="44" t="str">
        <f t="shared" si="7"/>
        <v>,,Náhradné plnenie</v>
      </c>
      <c r="K109" s="45">
        <f t="shared" si="5"/>
        <v>1258.743902</v>
      </c>
      <c r="L109" s="43"/>
      <c r="M109" s="43" t="str">
        <f>IFERROR(__xludf.DUMMYFUNCTION("SPLIT(O109,"","")"),"Hlavná 66/62")</f>
        <v>Hlavná 66/62</v>
      </c>
      <c r="N109" s="43" t="str">
        <f>IFERROR(__xludf.DUMMYFUNCTION("""COMPUTED_VALUE""")," 064 01 Pohronská Polhora")</f>
        <v> 064 01 Pohronská Polhora</v>
      </c>
      <c r="O109" s="42" t="s">
        <v>1281</v>
      </c>
      <c r="P109" s="43">
        <v>48.7551565</v>
      </c>
      <c r="Q109" s="43">
        <v>19.799098</v>
      </c>
      <c r="R109" s="56" t="s">
        <v>1282</v>
      </c>
      <c r="S109" s="34" t="s">
        <v>1283</v>
      </c>
      <c r="T109" s="63" t="s">
        <v>86</v>
      </c>
      <c r="U109" s="61" t="s">
        <v>1284</v>
      </c>
      <c r="V109" s="50" t="s">
        <v>1285</v>
      </c>
      <c r="W109" s="55" t="s">
        <v>1286</v>
      </c>
      <c r="X109" s="54" t="s">
        <v>1287</v>
      </c>
      <c r="Y109" s="46" t="s">
        <v>1282</v>
      </c>
      <c r="Z109" s="53" t="s">
        <v>1288</v>
      </c>
      <c r="AA109" s="52" t="s">
        <v>64</v>
      </c>
      <c r="AB109" s="55"/>
      <c r="AC109" s="56"/>
      <c r="AD109" s="56"/>
      <c r="AE109" s="55"/>
      <c r="AF109" s="55"/>
      <c r="AG109" s="56"/>
      <c r="AH109" s="56"/>
      <c r="AI109" s="55"/>
      <c r="AJ109" s="55"/>
      <c r="AK109" s="56"/>
      <c r="AL109" s="56"/>
      <c r="AM109" s="34"/>
      <c r="AN109" s="55"/>
      <c r="AO109" s="57" t="s">
        <v>40</v>
      </c>
      <c r="AP109" s="58" t="str">
        <f t="shared" si="6"/>
        <v>Obecne sluzby Polhora, s. r. o. dom a zahrada, stavebnictvo, &amp;#32vsetky kategorie  064 01 Pohronska Polhora Pomocne stavebne prace, starostlivost o dom a zahradu. Zamestnavanim socialne znevyhodnenych osob. Obecne sluzby Polhora, s.r.o Pomocne stavebne prace, starostlivost o dom a zahradu. pomocne stavebne prace, kosenie           </v>
      </c>
      <c r="AQ109" s="37"/>
    </row>
    <row r="110" ht="15.75" customHeight="1">
      <c r="A110" s="43"/>
      <c r="B110" s="59">
        <v>114.0</v>
      </c>
      <c r="C110" s="97" t="s">
        <v>1289</v>
      </c>
      <c r="D110" s="41" t="s">
        <v>181</v>
      </c>
      <c r="E110" s="38" t="str">
        <f t="shared" si="1"/>
        <v>Banskobystrický kraj, &amp;#32celé Slovensko</v>
      </c>
      <c r="F110" s="42" t="s">
        <v>1290</v>
      </c>
      <c r="G110" s="38" t="str">
        <f t="shared" si="2"/>
        <v>poľnohospodárstvo a lesníctvo, dom a záhrada, stavebníctvo, obaly, &amp;#32všetky kategórie</v>
      </c>
      <c r="H110" s="42" t="s">
        <v>68</v>
      </c>
      <c r="I110" s="43" t="str">
        <f t="shared" si="3"/>
        <v>16 - 20, &amp;#32všetky možnosti</v>
      </c>
      <c r="J110" s="44" t="str">
        <f t="shared" si="7"/>
        <v>,Register partnerov VS,</v>
      </c>
      <c r="K110" s="45">
        <f t="shared" si="5"/>
        <v>33048.00674</v>
      </c>
      <c r="L110" s="43"/>
      <c r="M110" s="43" t="str">
        <f>IFERROR(__xludf.DUMMYFUNCTION("SPLIT(O110,"","")"),"Lučenecká 847")</f>
        <v>Lučenecká 847</v>
      </c>
      <c r="N110" s="43" t="str">
        <f>IFERROR(__xludf.DUMMYFUNCTION("""COMPUTED_VALUE""")," 990 01 Veľký Krtíš ")</f>
        <v> 990 01 Veľký Krtíš </v>
      </c>
      <c r="O110" s="42" t="s">
        <v>1291</v>
      </c>
      <c r="P110" s="43">
        <v>48.2083508</v>
      </c>
      <c r="Q110" s="43">
        <v>19.3507599</v>
      </c>
      <c r="R110" s="56" t="s">
        <v>1292</v>
      </c>
      <c r="S110" s="34" t="s">
        <v>1059</v>
      </c>
      <c r="T110" s="63" t="s">
        <v>86</v>
      </c>
      <c r="U110" s="61" t="s">
        <v>1293</v>
      </c>
      <c r="V110" s="50" t="s">
        <v>1294</v>
      </c>
      <c r="W110" s="55" t="s">
        <v>1295</v>
      </c>
      <c r="X110" s="54" t="s">
        <v>1289</v>
      </c>
      <c r="Y110" s="46" t="s">
        <v>1292</v>
      </c>
      <c r="Z110" s="53" t="s">
        <v>1296</v>
      </c>
      <c r="AA110" s="52" t="s">
        <v>64</v>
      </c>
      <c r="AB110" s="55"/>
      <c r="AC110" s="56"/>
      <c r="AD110" s="56"/>
      <c r="AE110" s="55"/>
      <c r="AF110" s="55"/>
      <c r="AG110" s="56"/>
      <c r="AH110" s="56"/>
      <c r="AI110" s="55"/>
      <c r="AJ110" s="55"/>
      <c r="AK110" s="56"/>
      <c r="AL110" s="56"/>
      <c r="AM110" s="47"/>
      <c r="AN110" s="62" t="s">
        <v>39</v>
      </c>
      <c r="AO110" s="64"/>
      <c r="AP110" s="58" t="str">
        <f t="shared" si="6"/>
        <v>PRIMA TIMBER s.r.o. polnohospodarstvo a lesnictvo, dom a zahrada, stavebnictvo, obaly, &amp;#32vsetky kategorie  990 01 Velky Krtis  Nasa spolocnost sa zameriava na spracovanie reziva a naslednu vyrobu paliet podla poziadaviek zakaznika. Zamestnavame znevyhodnene osoby. PRIMA TIMBER s.r.o. Nasa spolocnost sa zameriava na spracovanie reziva a naslednu vyrobu paliet podla poziadaviek zakaznika. drevene palety, palety, drevo, rezivo, gulatina, stavebne rezivo, pila, drevovyroba, krovy           Register partnerov VS</v>
      </c>
      <c r="AQ110" s="37"/>
    </row>
    <row r="111" ht="15.75" customHeight="1">
      <c r="A111" s="43"/>
      <c r="B111" s="59">
        <v>115.0</v>
      </c>
      <c r="C111" s="97" t="s">
        <v>1297</v>
      </c>
      <c r="D111" s="41" t="s">
        <v>134</v>
      </c>
      <c r="E111" s="38" t="str">
        <f t="shared" si="1"/>
        <v>Trenčiansky kraj, &amp;#32celé Slovensko</v>
      </c>
      <c r="F111" s="42" t="s">
        <v>1298</v>
      </c>
      <c r="G111" s="38" t="str">
        <f t="shared" si="2"/>
        <v>stavebníctvo, elektro, kultúra a šport, bižutéria a darčekové predmety, &amp;#32všetky kategórie</v>
      </c>
      <c r="H111" s="42" t="s">
        <v>170</v>
      </c>
      <c r="I111" s="43" t="str">
        <f t="shared" si="3"/>
        <v>21 a viac, &amp;#32všetky možnosti</v>
      </c>
      <c r="J111" s="44" t="str">
        <f t="shared" si="7"/>
        <v>,Register partnerov VS,</v>
      </c>
      <c r="K111" s="45">
        <f t="shared" si="5"/>
        <v>27134.6238</v>
      </c>
      <c r="L111" s="43"/>
      <c r="M111" s="43" t="str">
        <f>IFERROR(__xludf.DUMMYFUNCTION("SPLIT(O111,"","")"),"Okružná 99")</f>
        <v>Okružná 99</v>
      </c>
      <c r="N111" s="43" t="str">
        <f>IFERROR(__xludf.DUMMYFUNCTION("""COMPUTED_VALUE""")," 972 26 Nitrianske Rudno")</f>
        <v> 972 26 Nitrianske Rudno</v>
      </c>
      <c r="O111" s="42" t="s">
        <v>1299</v>
      </c>
      <c r="P111" s="43">
        <v>48.7985724</v>
      </c>
      <c r="Q111" s="43">
        <v>18.4738764</v>
      </c>
      <c r="R111" s="56" t="s">
        <v>1300</v>
      </c>
      <c r="S111" s="34" t="s">
        <v>1301</v>
      </c>
      <c r="T111" s="63" t="s">
        <v>86</v>
      </c>
      <c r="U111" s="61" t="s">
        <v>1302</v>
      </c>
      <c r="V111" s="50" t="s">
        <v>1303</v>
      </c>
      <c r="W111" s="55" t="s">
        <v>1304</v>
      </c>
      <c r="X111" s="54" t="s">
        <v>1297</v>
      </c>
      <c r="Y111" s="46" t="s">
        <v>1305</v>
      </c>
      <c r="Z111" s="53" t="s">
        <v>1306</v>
      </c>
      <c r="AA111" s="67" t="s">
        <v>129</v>
      </c>
      <c r="AB111" s="55" t="s">
        <v>1297</v>
      </c>
      <c r="AC111" s="56" t="s">
        <v>1307</v>
      </c>
      <c r="AD111" s="56" t="s">
        <v>1308</v>
      </c>
      <c r="AE111" s="73" t="s">
        <v>129</v>
      </c>
      <c r="AF111" s="55" t="s">
        <v>1297</v>
      </c>
      <c r="AG111" s="56" t="s">
        <v>1309</v>
      </c>
      <c r="AH111" s="56" t="s">
        <v>1310</v>
      </c>
      <c r="AI111" s="55" t="s">
        <v>64</v>
      </c>
      <c r="AJ111" s="55"/>
      <c r="AK111" s="56"/>
      <c r="AL111" s="56"/>
      <c r="AM111" s="47"/>
      <c r="AN111" s="62" t="s">
        <v>39</v>
      </c>
      <c r="AO111" s="64"/>
      <c r="AP111" s="58" t="str">
        <f t="shared" si="6"/>
        <v>B a B, spol. s r.o. stavebnictvo, elektro, kultura a sport, bizuteria a darcekove predmety, &amp;#32vsetky kategorie  972 26 Nitrianske Rudno Predavame stavebne a elektroinstalacne materialy, robime sluzby v oblasti stavebnictva, vyrobu krojovych vyrobkov. Realizujeme sluzby na podporu regionalneho rozvoja a zamestnanosti. B a B, spol. s r.o. Predavame stavebne a elektroinstalacne materialy, ponukame sluzby v oblasti stavebnictva. stavebniny, poradenstvo B a B, spol. s r.o. Predaj stavebnych a elektroinstalacnych materialov. Stavebniny, sluzby v stavebnictve  B a B, spol. s r.o. Vyroba ludovych krojov a darcekovych predmetov. vyroba ludovych krojov, darcekove predmety     Register partnerov VS</v>
      </c>
      <c r="AQ111" s="37"/>
    </row>
    <row r="112" ht="15.75" customHeight="1">
      <c r="A112" s="43"/>
      <c r="B112" s="59">
        <v>118.0</v>
      </c>
      <c r="C112" s="97" t="s">
        <v>1311</v>
      </c>
      <c r="D112" s="41" t="s">
        <v>229</v>
      </c>
      <c r="E112" s="38" t="str">
        <f t="shared" si="1"/>
        <v>Nitriansky kraj, &amp;#32celé Slovensko</v>
      </c>
      <c r="F112" s="42" t="s">
        <v>1312</v>
      </c>
      <c r="G112" s="38" t="str">
        <f t="shared" si="2"/>
        <v>krása-zdravie-relax, stavebníctvo, &amp;#32všetky kategórie</v>
      </c>
      <c r="H112" s="42" t="s">
        <v>96</v>
      </c>
      <c r="I112" s="43" t="str">
        <f t="shared" si="3"/>
        <v>6 - 10, &amp;#32všetky možnosti</v>
      </c>
      <c r="J112" s="44" t="str">
        <f t="shared" si="7"/>
        <v>,Register partnerov VS,Náhradné plnenie</v>
      </c>
      <c r="K112" s="45">
        <f t="shared" si="5"/>
        <v>11406.34861</v>
      </c>
      <c r="L112" s="43"/>
      <c r="M112" s="43" t="str">
        <f>IFERROR(__xludf.DUMMYFUNCTION("SPLIT(O112,"","")"),"Svodov 59")</f>
        <v>Svodov 59</v>
      </c>
      <c r="N112" s="43" t="str">
        <f>IFERROR(__xludf.DUMMYFUNCTION("""COMPUTED_VALUE""")," 937 01 Želiezovce")</f>
        <v> 937 01 Želiezovce</v>
      </c>
      <c r="O112" s="42" t="s">
        <v>1313</v>
      </c>
      <c r="P112" s="43">
        <v>48.0789416999999</v>
      </c>
      <c r="Q112" s="43">
        <v>18.6577373</v>
      </c>
      <c r="R112" s="56" t="s">
        <v>1314</v>
      </c>
      <c r="S112" s="34" t="s">
        <v>1315</v>
      </c>
      <c r="T112" s="63" t="s">
        <v>1316</v>
      </c>
      <c r="U112" s="61" t="s">
        <v>1317</v>
      </c>
      <c r="V112" s="50" t="s">
        <v>1318</v>
      </c>
      <c r="W112" s="55" t="s">
        <v>1319</v>
      </c>
      <c r="X112" s="54" t="s">
        <v>1320</v>
      </c>
      <c r="Y112" s="46" t="s">
        <v>1321</v>
      </c>
      <c r="Z112" s="53" t="s">
        <v>1322</v>
      </c>
      <c r="AA112" s="52" t="s">
        <v>64</v>
      </c>
      <c r="AB112" s="55"/>
      <c r="AC112" s="56"/>
      <c r="AD112" s="56"/>
      <c r="AE112" s="55"/>
      <c r="AF112" s="55"/>
      <c r="AG112" s="56"/>
      <c r="AH112" s="56"/>
      <c r="AI112" s="55"/>
      <c r="AJ112" s="55"/>
      <c r="AK112" s="56"/>
      <c r="AL112" s="56"/>
      <c r="AM112" s="47"/>
      <c r="AN112" s="62" t="s">
        <v>39</v>
      </c>
      <c r="AO112" s="57" t="s">
        <v>40</v>
      </c>
      <c r="AP112" s="58" t="str">
        <f t="shared" si="6"/>
        <v>MULTIHOUSE, s. r. o. krasa-zdravie-relax, stavebnictvo, &amp;#32vsetky kategorie  937 01 Zeliezovce Hlavnou cinnostou nasej firmy je stavebna cinnost, zelena energia - poradenstvo, projekt a samotna instalacia fotovoltaickeho systemu, ktory dokaze okrem setrenia zivotneho prostredia usetrit niekolko stovak eur aj domacnostiam a aj podnikatelskym subjektom. MULTIHOUSE, s.r.o. sa okrem zdraveho, ekologickeho zivotneho prostredia stara aj o zdravie ludi. Prevadzka NATURHOUSE, zdrava vyziva, sa nachadza v Sturove na Hlavnej ulici 57, kde Vas s radostou uvita a postara sa o Vas pani dietologicka. Nase produkty su 100% prirodne a ucinne pri zdravej vyzive. Poskytujeme konzultacie, poradenstvo, predaj. Nasa spolocnost sa neustale rozsiruje a sluzi sirokej verejnosti. Zamestnavanim znevyhodnenych a zranitelnych osob. NATURHOUSE Ponukame konzultacie, poradenstvo a predaj 100%-ne prirodnych produktov zdravej vyzivy. Celym procesom Vas prevedie odbornicka zdravej vyzivy, dietologicka... 100% prirodne produkty zdravej vyzivy- predaj, konzultacie, poradenstvo, zdrava vyziva, vyzivove doplnky; stavebne prace, zelena energia, uspora energie; fotovoltaicky system           Register partnerov VS</v>
      </c>
      <c r="AQ112" s="37"/>
    </row>
    <row r="113" ht="15.75" customHeight="1">
      <c r="A113" s="43"/>
      <c r="B113" s="59">
        <v>120.0</v>
      </c>
      <c r="C113" s="75" t="s">
        <v>1323</v>
      </c>
      <c r="D113" s="41" t="s">
        <v>134</v>
      </c>
      <c r="E113" s="38" t="str">
        <f t="shared" si="1"/>
        <v>Trenčiansky kraj, &amp;#32celé Slovensko</v>
      </c>
      <c r="F113" s="42" t="s">
        <v>1324</v>
      </c>
      <c r="G113" s="38" t="str">
        <f t="shared" si="2"/>
        <v>ubytovacie a stravovacie služby, cestovný ruch, &amp;#32všetky kategórie</v>
      </c>
      <c r="H113" s="42" t="s">
        <v>96</v>
      </c>
      <c r="I113" s="43" t="str">
        <f t="shared" si="3"/>
        <v>6 - 10, &amp;#32všetky možnosti</v>
      </c>
      <c r="J113" s="44" t="str">
        <f t="shared" si="7"/>
        <v>,Register partnerov VS,</v>
      </c>
      <c r="K113" s="45">
        <f t="shared" si="5"/>
        <v>15400.11603</v>
      </c>
      <c r="L113" s="43"/>
      <c r="M113" s="43" t="str">
        <f>IFERROR(__xludf.DUMMYFUNCTION("SPLIT(O113,"","")"),"Hlboké 1564")</f>
        <v>Hlboké 1564</v>
      </c>
      <c r="N113" s="43" t="str">
        <f>IFERROR(__xludf.DUMMYFUNCTION("""COMPUTED_VALUE""")," 972 01 Bojnice")</f>
        <v> 972 01 Bojnice</v>
      </c>
      <c r="O113" s="42" t="s">
        <v>1325</v>
      </c>
      <c r="P113" s="43">
        <v>48.7855859</v>
      </c>
      <c r="Q113" s="43">
        <v>18.5485623</v>
      </c>
      <c r="R113" s="56" t="s">
        <v>1326</v>
      </c>
      <c r="S113" s="34" t="s">
        <v>1327</v>
      </c>
      <c r="T113" s="63" t="s">
        <v>86</v>
      </c>
      <c r="U113" s="61" t="s">
        <v>1328</v>
      </c>
      <c r="V113" s="50" t="s">
        <v>1329</v>
      </c>
      <c r="W113" s="55" t="s">
        <v>1330</v>
      </c>
      <c r="X113" s="54" t="s">
        <v>1331</v>
      </c>
      <c r="Y113" s="46" t="s">
        <v>1332</v>
      </c>
      <c r="Z113" s="53" t="s">
        <v>1333</v>
      </c>
      <c r="AA113" s="67" t="s">
        <v>129</v>
      </c>
      <c r="AB113" s="55" t="s">
        <v>1334</v>
      </c>
      <c r="AC113" s="56" t="s">
        <v>1332</v>
      </c>
      <c r="AD113" s="56" t="s">
        <v>1333</v>
      </c>
      <c r="AE113" s="55" t="s">
        <v>64</v>
      </c>
      <c r="AF113" s="55"/>
      <c r="AG113" s="56"/>
      <c r="AH113" s="56"/>
      <c r="AI113" s="55"/>
      <c r="AJ113" s="55"/>
      <c r="AK113" s="56"/>
      <c r="AL113" s="56"/>
      <c r="AM113" s="47"/>
      <c r="AN113" s="62" t="s">
        <v>39</v>
      </c>
      <c r="AO113" s="64"/>
      <c r="AP113" s="58" t="str">
        <f t="shared" si="6"/>
        <v>ISTRASLOV spol. s r.o. ubytovacie a stravovacie sluzby, cestovny ruch, &amp;#32vsetky kategorie  972 01 Bojnice Poskytujeme ubytovacie, stravovacie a doplnkove sluzby v cestovnom ruchu. Zamestnavame zdravotne znevyhodnene a zranitelne osoby. Pouzivame 100 % svojho zisku po zdaneni na dosahovanie hlavneho pozitivneho ciela spolocnosti. Penzion Hlboke Ubytovacie, stravovacie a doplnkove sluzby v cestovnom ruchu. hotel, penzion, ubytovanie, doprava Penzion MADO Ubytovacie, stravovacie a doplnkove sluzby v cestovnom ruchu. hotel, penzion, ubytovanie, doprava        Register partnerov VS</v>
      </c>
      <c r="AQ113" s="37"/>
    </row>
    <row r="114" ht="15.75" customHeight="1">
      <c r="A114" s="43"/>
      <c r="B114" s="59">
        <v>121.0</v>
      </c>
      <c r="C114" s="97" t="s">
        <v>1335</v>
      </c>
      <c r="D114" s="41" t="s">
        <v>66</v>
      </c>
      <c r="E114" s="38" t="str">
        <f t="shared" si="1"/>
        <v>Žilinský kraj, &amp;#32celé Slovensko</v>
      </c>
      <c r="F114" s="42" t="s">
        <v>108</v>
      </c>
      <c r="G114" s="38" t="str">
        <f t="shared" si="2"/>
        <v>čistiace a upratovacie služby, stavebníctvo, &amp;#32všetky kategórie</v>
      </c>
      <c r="H114" s="42" t="s">
        <v>170</v>
      </c>
      <c r="I114" s="43" t="str">
        <f t="shared" si="3"/>
        <v>21 a viac, &amp;#32všetky možnosti</v>
      </c>
      <c r="J114" s="44" t="str">
        <f t="shared" si="7"/>
        <v>,Register partnerov VS,</v>
      </c>
      <c r="K114" s="45">
        <f t="shared" si="5"/>
        <v>464.6104512</v>
      </c>
      <c r="L114" s="43"/>
      <c r="M114" s="43" t="str">
        <f>IFERROR(__xludf.DUMMYFUNCTION("SPLIT(O114,"","")"),"Komenského 2622/48")</f>
        <v>Komenského 2622/48</v>
      </c>
      <c r="N114" s="43" t="str">
        <f>IFERROR(__xludf.DUMMYFUNCTION("""COMPUTED_VALUE""")," 011 09 Žilina")</f>
        <v> 011 09 Žilina</v>
      </c>
      <c r="O114" s="42" t="s">
        <v>1336</v>
      </c>
      <c r="P114" s="43">
        <v>49.2167097</v>
      </c>
      <c r="Q114" s="43">
        <v>18.7371857</v>
      </c>
      <c r="R114" s="56" t="s">
        <v>1337</v>
      </c>
      <c r="S114" s="34" t="s">
        <v>969</v>
      </c>
      <c r="T114" s="63" t="s">
        <v>1338</v>
      </c>
      <c r="U114" s="61" t="s">
        <v>1339</v>
      </c>
      <c r="V114" s="50" t="s">
        <v>1340</v>
      </c>
      <c r="W114" s="55" t="s">
        <v>1341</v>
      </c>
      <c r="X114" s="54" t="s">
        <v>1342</v>
      </c>
      <c r="Y114" s="46" t="s">
        <v>1343</v>
      </c>
      <c r="Z114" s="53" t="s">
        <v>1344</v>
      </c>
      <c r="AA114" s="67" t="s">
        <v>129</v>
      </c>
      <c r="AB114" s="55" t="s">
        <v>1345</v>
      </c>
      <c r="AC114" s="56" t="s">
        <v>1346</v>
      </c>
      <c r="AD114" s="56" t="s">
        <v>1347</v>
      </c>
      <c r="AE114" s="73" t="s">
        <v>129</v>
      </c>
      <c r="AF114" s="55" t="s">
        <v>1348</v>
      </c>
      <c r="AG114" s="56" t="s">
        <v>1349</v>
      </c>
      <c r="AH114" s="56" t="s">
        <v>1350</v>
      </c>
      <c r="AI114" s="55" t="s">
        <v>64</v>
      </c>
      <c r="AJ114" s="55"/>
      <c r="AK114" s="56"/>
      <c r="AL114" s="56"/>
      <c r="AM114" s="47"/>
      <c r="AN114" s="62" t="s">
        <v>39</v>
      </c>
      <c r="AO114" s="64"/>
      <c r="AP114" s="58" t="str">
        <f t="shared" si="6"/>
        <v>Socialno-ekonomicky podnik ZSK, s.r.o. r. s. p. cistiace a upratovacie sluzby, stavebnictvo, &amp;#32vsetky kategorie  011 09 Zilina Nasa spolocnost poskytuje sluzby pracovne (pranie postelnej bielizne, uterakov, obrusov,...), upratovacie a udrzbarske sluzby v centrach zdravotnej starostlivosti, maliarske a natieracske prace, drobne udrzbarske prace. Zamestnavanim znevyhodnenych osob. Socialno-ekonomicky podnik ZSK, Pracovna LIPA Pracovna: pranie postelnej bielizne, obrusov, uterakov, i ostatne velke pradlo; Stredisko oprav a udrzby: maliarske a drobne stavebne prace; Stredisko upratovania a udrzby CZS: upratovanie centier zdravotnej starostlivosti ZSK. pranie, susenie, manglovanie pradla, pranie postelneho pradla Stredisko oprav a udrzby Maliarske a natieracske prace, drobne stavebne prace. maliarske prace, natieracske prace, udrzba okolia budov Stredisko upratovania a udrzby centier zdravotnej starostlivosti Upratovacie a udrzbarske prace v budovach centier zdravotnej starostlivosti ZSK. upratovanie, cistota, dezinfekcia, udrzbarske prace, drobne opravy      Register partnerov VS</v>
      </c>
      <c r="AQ114" s="37"/>
    </row>
    <row r="115" ht="15.75" customHeight="1">
      <c r="A115" s="43"/>
      <c r="B115" s="59">
        <v>122.0</v>
      </c>
      <c r="C115" s="97" t="s">
        <v>1351</v>
      </c>
      <c r="D115" s="41" t="s">
        <v>51</v>
      </c>
      <c r="E115" s="38" t="str">
        <f t="shared" si="1"/>
        <v>Prešovský kraj, &amp;#32celé Slovensko</v>
      </c>
      <c r="F115" s="42" t="s">
        <v>108</v>
      </c>
      <c r="G115" s="38" t="str">
        <f t="shared" si="2"/>
        <v>čistiace a upratovacie služby, stavebníctvo, &amp;#32všetky kategórie</v>
      </c>
      <c r="H115" s="42" t="s">
        <v>68</v>
      </c>
      <c r="I115" s="43" t="str">
        <f t="shared" si="3"/>
        <v>16 - 20, &amp;#32všetky možnosti</v>
      </c>
      <c r="J115" s="44" t="str">
        <f t="shared" si="7"/>
        <v>,Register partnerov VS,</v>
      </c>
      <c r="K115" s="45">
        <f t="shared" si="5"/>
        <v>25714.25874</v>
      </c>
      <c r="L115" s="43"/>
      <c r="M115" s="43" t="str">
        <f>IFERROR(__xludf.DUMMYFUNCTION("SPLIT(O115,"","")"),"Námestie Sv. Michala 76/2")</f>
        <v>Námestie Sv. Michala 76/2</v>
      </c>
      <c r="N115" s="43" t="str">
        <f>IFERROR(__xludf.DUMMYFUNCTION("""COMPUTED_VALUE""")," 059 95 Toporec")</f>
        <v> 059 95 Toporec</v>
      </c>
      <c r="O115" s="42" t="s">
        <v>1352</v>
      </c>
      <c r="P115" s="43">
        <v>49.2602606</v>
      </c>
      <c r="Q115" s="43">
        <v>20.4954919</v>
      </c>
      <c r="R115" s="56" t="s">
        <v>1353</v>
      </c>
      <c r="S115" s="34" t="s">
        <v>1354</v>
      </c>
      <c r="T115" s="63" t="s">
        <v>86</v>
      </c>
      <c r="U115" s="61" t="s">
        <v>1355</v>
      </c>
      <c r="V115" s="50" t="s">
        <v>1356</v>
      </c>
      <c r="W115" s="55" t="s">
        <v>1357</v>
      </c>
      <c r="X115" s="54" t="s">
        <v>1358</v>
      </c>
      <c r="Y115" s="46" t="s">
        <v>1359</v>
      </c>
      <c r="Z115" s="53" t="s">
        <v>1360</v>
      </c>
      <c r="AA115" s="52" t="s">
        <v>64</v>
      </c>
      <c r="AB115" s="55"/>
      <c r="AC115" s="56"/>
      <c r="AD115" s="56"/>
      <c r="AE115" s="55"/>
      <c r="AF115" s="55"/>
      <c r="AG115" s="56"/>
      <c r="AH115" s="56"/>
      <c r="AI115" s="55"/>
      <c r="AJ115" s="55"/>
      <c r="AK115" s="56"/>
      <c r="AL115" s="56"/>
      <c r="AM115" s="47"/>
      <c r="AN115" s="62" t="s">
        <v>39</v>
      </c>
      <c r="AO115" s="64"/>
      <c r="AP115" s="58" t="str">
        <f t="shared" si="6"/>
        <v>Socialny podnik Toporec, s. r. o. cistiace a upratovacie sluzby, stavebnictvo, &amp;#32vsetky kategorie  059 95 Toporec Stavebna cinnost, upratovacie prace, pomocnice v domacnosti. Prispievame k rozvoju sluzieb v obci. Socialna podnik Toporec, s.r.o. Stavebna cinnost. stavebna cinnost, upratovanie, cistenie, pomoc v domacnosti           Register partnerov VS</v>
      </c>
      <c r="AQ115" s="37"/>
    </row>
    <row r="116" ht="15.75" customHeight="1">
      <c r="A116" s="43"/>
      <c r="B116" s="59">
        <v>123.0</v>
      </c>
      <c r="C116" s="97" t="s">
        <v>1361</v>
      </c>
      <c r="D116" s="41" t="s">
        <v>134</v>
      </c>
      <c r="E116" s="38" t="str">
        <f t="shared" si="1"/>
        <v>Trenčiansky kraj, &amp;#32celé Slovensko</v>
      </c>
      <c r="F116" s="42" t="s">
        <v>1362</v>
      </c>
      <c r="G116" s="38" t="str">
        <f t="shared" si="2"/>
        <v>dom a záhrada, odevy a obuv, &amp;#32všetky kategórie</v>
      </c>
      <c r="H116" s="42" t="s">
        <v>170</v>
      </c>
      <c r="I116" s="43" t="str">
        <f t="shared" si="3"/>
        <v>21 a viac, &amp;#32všetky možnosti</v>
      </c>
      <c r="J116" s="44" t="str">
        <f t="shared" si="7"/>
        <v>Servisné poukážky,Register partnerov VS,</v>
      </c>
      <c r="K116" s="45">
        <f t="shared" si="5"/>
        <v>44085.03088</v>
      </c>
      <c r="L116" s="43"/>
      <c r="M116" s="43" t="str">
        <f>IFERROR(__xludf.DUMMYFUNCTION("SPLIT(O116,"","")"),"Moravská 1633/15")</f>
        <v>Moravská 1633/15</v>
      </c>
      <c r="N116" s="43" t="str">
        <f>IFERROR(__xludf.DUMMYFUNCTION("""COMPUTED_VALUE""")," 020 01 Púchov")</f>
        <v> 020 01 Púchov</v>
      </c>
      <c r="O116" s="42" t="s">
        <v>1363</v>
      </c>
      <c r="P116" s="43">
        <v>49.1233121</v>
      </c>
      <c r="Q116" s="43">
        <v>18.3273622</v>
      </c>
      <c r="R116" s="56" t="s">
        <v>1364</v>
      </c>
      <c r="S116" s="34" t="s">
        <v>1365</v>
      </c>
      <c r="T116" s="63" t="s">
        <v>1366</v>
      </c>
      <c r="U116" s="61" t="s">
        <v>1367</v>
      </c>
      <c r="V116" s="50" t="s">
        <v>1368</v>
      </c>
      <c r="W116" s="55" t="s">
        <v>1369</v>
      </c>
      <c r="X116" s="54" t="s">
        <v>1370</v>
      </c>
      <c r="Y116" s="46" t="s">
        <v>1371</v>
      </c>
      <c r="Z116" s="53" t="s">
        <v>1372</v>
      </c>
      <c r="AA116" s="52" t="s">
        <v>64</v>
      </c>
      <c r="AB116" s="55"/>
      <c r="AC116" s="56"/>
      <c r="AD116" s="56"/>
      <c r="AE116" s="55"/>
      <c r="AF116" s="55"/>
      <c r="AG116" s="56"/>
      <c r="AH116" s="56"/>
      <c r="AI116" s="55"/>
      <c r="AJ116" s="55"/>
      <c r="AK116" s="56"/>
      <c r="AL116" s="56"/>
      <c r="AM116" s="77" t="s">
        <v>321</v>
      </c>
      <c r="AN116" s="62" t="s">
        <v>39</v>
      </c>
      <c r="AO116" s="64"/>
      <c r="AP116" s="58" t="str">
        <f t="shared" si="6"/>
        <v>CONTI-eco s. r. o. dom a zahrada, odevy a obuv, &amp;#32vsetky kategorie  020 01 Puchov Ponukame sitie damskeho a panskeho vrchneho osatenia, lahkej konfekcie ako su saka, saty, bluzky a ine. Zaroven ponukame sluzby pre domacnost - starostlivost o zahradu, kosenie, strihanie stromov a krikov, a ine zahradne prace. Pozitivny socialny vplyv splname zamestnavanim znevyhodnenych a zranitelnych osob - 40% nasich zamestnancov. CONTI-eco s.r.o. Sitie damskeho a panskeho vrchneho osatenia. Ponukame tiez pomoc pri koseni, strihani stromov a krikov. sitie, kosenie, pilenie stromov, krajcistvo, krajcirska dielna, zakazkove sitie          Servisne poukazky Register partnerov VS</v>
      </c>
      <c r="AQ116" s="37"/>
    </row>
    <row r="117" ht="15.75" customHeight="1">
      <c r="A117" s="43"/>
      <c r="B117" s="59">
        <v>124.0</v>
      </c>
      <c r="C117" s="97" t="s">
        <v>1373</v>
      </c>
      <c r="D117" s="41" t="s">
        <v>229</v>
      </c>
      <c r="E117" s="38" t="str">
        <f t="shared" si="1"/>
        <v>Nitriansky kraj, &amp;#32celé Slovensko</v>
      </c>
      <c r="F117" s="42" t="s">
        <v>1374</v>
      </c>
      <c r="G117" s="38" t="str">
        <f t="shared" si="2"/>
        <v>poľnohospodárstvo a lesníctvo, doprava, odevy a obuv, ochrana a bezpečnosť, &amp;#32všetky kategórie</v>
      </c>
      <c r="H117" s="42" t="s">
        <v>68</v>
      </c>
      <c r="I117" s="43" t="str">
        <f t="shared" si="3"/>
        <v>16 - 20, &amp;#32všetky možnosti</v>
      </c>
      <c r="J117" s="44" t="str">
        <f t="shared" si="7"/>
        <v>,Register partnerov VS,</v>
      </c>
      <c r="K117" s="45">
        <f t="shared" si="5"/>
        <v>9526.826199</v>
      </c>
      <c r="L117" s="43"/>
      <c r="M117" s="43" t="str">
        <f>IFERROR(__xludf.DUMMYFUNCTION("SPLIT(O117,"","")"),"Mojmírovce 964")</f>
        <v>Mojmírovce 964</v>
      </c>
      <c r="N117" s="43" t="str">
        <f>IFERROR(__xludf.DUMMYFUNCTION("""COMPUTED_VALUE""")," 951 15 Mojmírovce")</f>
        <v> 951 15 Mojmírovce</v>
      </c>
      <c r="O117" s="42" t="s">
        <v>1375</v>
      </c>
      <c r="P117" s="43">
        <v>48.207471</v>
      </c>
      <c r="Q117" s="43">
        <v>18.064238</v>
      </c>
      <c r="R117" s="56" t="s">
        <v>1376</v>
      </c>
      <c r="S117" s="34" t="s">
        <v>1377</v>
      </c>
      <c r="T117" s="63" t="s">
        <v>1378</v>
      </c>
      <c r="U117" s="61" t="s">
        <v>1379</v>
      </c>
      <c r="V117" s="50" t="s">
        <v>1380</v>
      </c>
      <c r="W117" s="55" t="s">
        <v>1381</v>
      </c>
      <c r="X117" s="54" t="s">
        <v>1373</v>
      </c>
      <c r="Y117" s="46" t="s">
        <v>1382</v>
      </c>
      <c r="Z117" s="53" t="s">
        <v>1383</v>
      </c>
      <c r="AA117" s="67" t="s">
        <v>129</v>
      </c>
      <c r="AB117" s="55" t="s">
        <v>1384</v>
      </c>
      <c r="AC117" s="56" t="s">
        <v>1385</v>
      </c>
      <c r="AD117" s="56" t="s">
        <v>1386</v>
      </c>
      <c r="AE117" s="55" t="s">
        <v>64</v>
      </c>
      <c r="AF117" s="55"/>
      <c r="AG117" s="56"/>
      <c r="AH117" s="56"/>
      <c r="AI117" s="55"/>
      <c r="AJ117" s="55"/>
      <c r="AK117" s="56"/>
      <c r="AL117" s="56"/>
      <c r="AM117" s="47"/>
      <c r="AN117" s="62" t="s">
        <v>39</v>
      </c>
      <c r="AO117" s="64"/>
      <c r="AP117" s="58" t="str">
        <f t="shared" si="6"/>
        <v>JUMBO MOJMIROVCE spol. s r.o. polnohospodarstvo a lesnictvo, doprava, odevy a obuv, ochrana a bezpecnost, &amp;#32vsetky kategorie  951 15 Mojmirovce Spolocnost sa zaobera poskytovanim sluzieb vnutrostatnej a medzinarodnej nakladnej cestnej dopravy a spedicie a obchodnou cinnostou v oblasti agrokomodit, nakupom a predajom pracovneho oblecenia, obuvi a ochrannych pracovnych pomocok - predajna v obci Mocenok, e-shop. Cinnost, ktorou spolocnost dosahuje pozitivny socialny vplyv v zmysle zakladneho dokumentu spolocnosti, je zamestnavanie zdravotne znevyhodnenych osob alebo zranitelnych osob. Spolocnost zamestnava viac ako 70% takychto zamestnancov, cim splna meratelny PSV. JUMBO MOJMIROVCE spol. s r.o. Nakladna cestna doprava a spedicia, obchodna cinnost v oblasti agrokomodit.
 doprava, obchod, preprava krmiv, spedicia, preprava polnohospodarskych materialov PRODESAFETY Predaj pracovneho oblecenia a ochrannych pracovnych prostriedkov. pracovne oblecenie, pracovna obuv, rukavice, respirator, rusko, ochrana sluchu, sluchadla, postroj, lano, karabina        Register partnerov VS</v>
      </c>
      <c r="AQ117" s="37"/>
    </row>
    <row r="118" ht="15.75" customHeight="1">
      <c r="A118" s="43"/>
      <c r="B118" s="59">
        <v>125.0</v>
      </c>
      <c r="C118" s="97" t="s">
        <v>1387</v>
      </c>
      <c r="D118" s="41" t="s">
        <v>134</v>
      </c>
      <c r="E118" s="38" t="str">
        <f t="shared" si="1"/>
        <v>Trenčiansky kraj, &amp;#32celé Slovensko</v>
      </c>
      <c r="F118" s="42" t="s">
        <v>628</v>
      </c>
      <c r="G118" s="38" t="str">
        <f t="shared" si="2"/>
        <v>počítačová a kancelárska technika, &amp;#32všetky kategórie</v>
      </c>
      <c r="H118" s="42" t="s">
        <v>96</v>
      </c>
      <c r="I118" s="43" t="str">
        <f t="shared" si="3"/>
        <v>6 - 10, &amp;#32všetky možnosti</v>
      </c>
      <c r="J118" s="44" t="str">
        <f t="shared" si="7"/>
        <v>,,</v>
      </c>
      <c r="K118" s="45">
        <f t="shared" si="5"/>
        <v>4458.651375</v>
      </c>
      <c r="L118" s="43"/>
      <c r="M118" s="43" t="str">
        <f>IFERROR(__xludf.DUMMYFUNCTION("SPLIT(O118,"","")"),"Športová 655")</f>
        <v>Športová 655</v>
      </c>
      <c r="N118" s="43" t="str">
        <f>IFERROR(__xludf.DUMMYFUNCTION("""COMPUTED_VALUE""")," 972 26 Nitrianske Rudno ")</f>
        <v> 972 26 Nitrianske Rudno </v>
      </c>
      <c r="O118" s="42" t="s">
        <v>1388</v>
      </c>
      <c r="P118" s="43">
        <v>48.8011195</v>
      </c>
      <c r="Q118" s="43">
        <v>18.4798054</v>
      </c>
      <c r="R118" s="56" t="s">
        <v>1389</v>
      </c>
      <c r="S118" s="34" t="s">
        <v>969</v>
      </c>
      <c r="T118" s="63" t="s">
        <v>86</v>
      </c>
      <c r="U118" s="61" t="s">
        <v>1390</v>
      </c>
      <c r="V118" s="50" t="s">
        <v>1391</v>
      </c>
      <c r="W118" s="55" t="s">
        <v>1392</v>
      </c>
      <c r="X118" s="54" t="s">
        <v>1393</v>
      </c>
      <c r="Y118" s="46" t="s">
        <v>1394</v>
      </c>
      <c r="Z118" s="53" t="s">
        <v>1395</v>
      </c>
      <c r="AA118" s="52" t="s">
        <v>64</v>
      </c>
      <c r="AB118" s="55"/>
      <c r="AC118" s="56"/>
      <c r="AD118" s="56"/>
      <c r="AE118" s="55"/>
      <c r="AF118" s="55"/>
      <c r="AG118" s="56"/>
      <c r="AH118" s="56"/>
      <c r="AI118" s="55"/>
      <c r="AJ118" s="55"/>
      <c r="AK118" s="56"/>
      <c r="AL118" s="56"/>
      <c r="AM118" s="34"/>
      <c r="AN118" s="55"/>
      <c r="AO118" s="64"/>
      <c r="AP118" s="58" t="str">
        <f t="shared" si="6"/>
        <v>MURALI s. r. o. pocitacova a kancelarska technika, &amp;#32vsetky kategorie  972 26 Nitrianske Rudno  Vyroba a plnenie atramentovych (inkjetovych) kaziet roznych znaciek a roznych farieb. Zamestnavanim znevyhodnenych osob. MURALI s.r.o. Vyroba a plnenie atramentovych (inkjetovych) kaziet. atramentova kazeta, inkjet           </v>
      </c>
      <c r="AQ118" s="37"/>
    </row>
    <row r="119" ht="15.75" customHeight="1">
      <c r="A119" s="43"/>
      <c r="B119" s="59">
        <v>126.0</v>
      </c>
      <c r="C119" s="97" t="s">
        <v>1396</v>
      </c>
      <c r="D119" s="41" t="s">
        <v>66</v>
      </c>
      <c r="E119" s="38" t="str">
        <f t="shared" si="1"/>
        <v>Žilinský kraj, &amp;#32celé Slovensko</v>
      </c>
      <c r="F119" s="42" t="s">
        <v>1324</v>
      </c>
      <c r="G119" s="38" t="str">
        <f t="shared" si="2"/>
        <v>ubytovacie a stravovacie služby, cestovný ruch, &amp;#32všetky kategórie</v>
      </c>
      <c r="H119" s="42" t="s">
        <v>96</v>
      </c>
      <c r="I119" s="43" t="str">
        <f t="shared" si="3"/>
        <v>6 - 10, &amp;#32všetky možnosti</v>
      </c>
      <c r="J119" s="44" t="str">
        <f t="shared" si="7"/>
        <v>,,</v>
      </c>
      <c r="K119" s="45">
        <f t="shared" si="5"/>
        <v>34592.28408</v>
      </c>
      <c r="L119" s="43"/>
      <c r="M119" s="43" t="str">
        <f>IFERROR(__xludf.DUMMYFUNCTION("SPLIT(O119,"","")"),"Námestie M. Benku 1385/1")</f>
        <v>Námestie M. Benku 1385/1</v>
      </c>
      <c r="N119" s="43" t="str">
        <f>IFERROR(__xludf.DUMMYFUNCTION("""COMPUTED_VALUE"""),"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119" s="55" t="s">
        <v>1403</v>
      </c>
      <c r="X119" s="54" t="s">
        <v>1404</v>
      </c>
      <c r="Y119" s="46" t="s">
        <v>1398</v>
      </c>
      <c r="Z119" s="53" t="s">
        <v>1405</v>
      </c>
      <c r="AA119" s="52" t="s">
        <v>64</v>
      </c>
      <c r="AB119" s="55"/>
      <c r="AC119" s="56"/>
      <c r="AD119" s="56"/>
      <c r="AE119" s="55"/>
      <c r="AF119" s="55"/>
      <c r="AG119" s="56"/>
      <c r="AH119" s="56"/>
      <c r="AI119" s="55"/>
      <c r="AJ119" s="55"/>
      <c r="AK119" s="56"/>
      <c r="AL119" s="56"/>
      <c r="AM119" s="34"/>
      <c r="AN119" s="55"/>
      <c r="AO119" s="64"/>
      <c r="AP119" s="58" t="str">
        <f t="shared" si="6"/>
        <v>Sliacanske Obecne Sluzby, s.r.o. ubytovacie a stravovacie sluzby, cestovny ruch, &amp;#32vsetky kategorie  034 84 Liptovske Sliace Oblasti nasej cinnosti: cestovny ruch - Penzion Pramen**; ponukame ubytovanie v blizkosti aquaparkov Besenova a Tatralandia, priehrady Liptovska Mara, rieky Vah, lyziarskych stredisk Jasna, Malino Brdo, Vysoke a Nizke Tatry, Mala a Velka Fatra. Mame vybornu restauraciu, poriadame oslavy, spolocenske akcie, konferencie. Spolocnost Sliacanske Obecne Sluzby, s. r. o., r.s.p. je verejnoprospesny podnik, ktoreho hlavnym cielom je dosahovanie meratelneho pozitivneho socialneho vplyvu poskytovanim spolocensky prospesnej sluzby v oblasti sluzieb na podporu regionalneho rozvoja a zamestnanosti, a to najma poskytovanim ubytovania, stravovania v restauracii, varenim a rozvozom obedov pre dochodcov a pre znevyhodnene a zranitelne osoby. Penzion Pramen** Oblasti nasej cinnosti: cestovny ruch - Penzion Pramen**; ponukame ubytovanie v blizkosti aquaparkov Besenova a Tatralandia, priehrady Liptovska Mara, rieky Vah, lyziarskych stredisk Jasna, Malino Brdo, Vysoke a Nizke Tatry, Mala a Velka Fatra. Mame vybornu restauraciu, poriadame oslavy, spolocenske akcie, konferencie. penzion, ubytovanie, restauracia, pizza, obedove menu, oslavy, eventy, akcie           </v>
      </c>
      <c r="AQ119" s="37"/>
    </row>
    <row r="120" ht="15.75" customHeight="1">
      <c r="A120" s="43"/>
      <c r="B120" s="59">
        <v>127.0</v>
      </c>
      <c r="C120" s="97" t="s">
        <v>1406</v>
      </c>
      <c r="D120" s="41" t="s">
        <v>134</v>
      </c>
      <c r="E120" s="38" t="str">
        <f t="shared" si="1"/>
        <v>Trenčiansky kraj, &amp;#32celé Slovensko</v>
      </c>
      <c r="F120" s="42" t="s">
        <v>628</v>
      </c>
      <c r="G120" s="38" t="str">
        <f t="shared" si="2"/>
        <v>počítačová a kancelárska technika, &amp;#32všetky kategórie</v>
      </c>
      <c r="H120" s="42" t="s">
        <v>96</v>
      </c>
      <c r="I120" s="43" t="str">
        <f t="shared" si="3"/>
        <v>6 - 10, &amp;#32všetky možnosti</v>
      </c>
      <c r="J120" s="44" t="str">
        <f t="shared" si="7"/>
        <v>,,Náhradné plnenie</v>
      </c>
      <c r="K120" s="45">
        <f t="shared" si="5"/>
        <v>6120.233835</v>
      </c>
      <c r="L120" s="43"/>
      <c r="M120" s="43" t="str">
        <f>IFERROR(__xludf.DUMMYFUNCTION("SPLIT(O120,"","")"),"Športová 655")</f>
        <v>Športová 655</v>
      </c>
      <c r="N120" s="43" t="str">
        <f>IFERROR(__xludf.DUMMYFUNCTION("""COMPUTED_VALUE""")," 972 26 Nitrianske Rudno ")</f>
        <v> 972 26 Nitrianske Rudno </v>
      </c>
      <c r="O120" s="42" t="s">
        <v>1388</v>
      </c>
      <c r="P120" s="43">
        <v>48.8011195</v>
      </c>
      <c r="Q120" s="43">
        <v>18.4798054</v>
      </c>
      <c r="R120" s="56" t="s">
        <v>1407</v>
      </c>
      <c r="S120" s="34" t="s">
        <v>969</v>
      </c>
      <c r="T120" s="63" t="s">
        <v>86</v>
      </c>
      <c r="U120" s="61" t="s">
        <v>1408</v>
      </c>
      <c r="V120" s="50" t="s">
        <v>1391</v>
      </c>
      <c r="W120" s="55" t="s">
        <v>1392</v>
      </c>
      <c r="X120" s="54" t="s">
        <v>1409</v>
      </c>
      <c r="Y120" s="46" t="s">
        <v>1410</v>
      </c>
      <c r="Z120" s="53" t="s">
        <v>1411</v>
      </c>
      <c r="AA120" s="52" t="s">
        <v>64</v>
      </c>
      <c r="AB120" s="55"/>
      <c r="AC120" s="56"/>
      <c r="AD120" s="56"/>
      <c r="AE120" s="55"/>
      <c r="AF120" s="55"/>
      <c r="AG120" s="56"/>
      <c r="AH120" s="56"/>
      <c r="AI120" s="55"/>
      <c r="AJ120" s="55"/>
      <c r="AK120" s="56"/>
      <c r="AL120" s="56"/>
      <c r="AM120" s="34"/>
      <c r="AN120" s="55"/>
      <c r="AO120" s="57" t="s">
        <v>40</v>
      </c>
      <c r="AP120" s="58" t="str">
        <f t="shared" si="6"/>
        <v>Octopus SK s. r. o. pocitacova a kancelarska technika, &amp;#32vsetky kategorie  972 26 Nitrianske Rudno  Renovujeme tonerove kazety. Zamestnavanim znevyhodnenych osob. Octopus SK s.r.o. Renovacia tonerovych kaziet. toner, tonerova kazeta, napln           </v>
      </c>
      <c r="AQ120" s="37"/>
    </row>
    <row r="121" ht="15.75" customHeight="1">
      <c r="A121" s="43"/>
      <c r="B121" s="59">
        <v>128.0</v>
      </c>
      <c r="C121" s="97" t="s">
        <v>1412</v>
      </c>
      <c r="D121" s="41" t="s">
        <v>134</v>
      </c>
      <c r="E121" s="38" t="str">
        <f t="shared" si="1"/>
        <v>Trenčiansky kraj, &amp;#32celé Slovensko</v>
      </c>
      <c r="F121" s="42" t="s">
        <v>628</v>
      </c>
      <c r="G121" s="38" t="str">
        <f t="shared" si="2"/>
        <v>počítačová a kancelárska technika, &amp;#32všetky kategórie</v>
      </c>
      <c r="H121" s="42" t="s">
        <v>53</v>
      </c>
      <c r="I121" s="43" t="str">
        <f t="shared" si="3"/>
        <v>1 - 5, &amp;#32všetky možnosti</v>
      </c>
      <c r="J121" s="44" t="str">
        <f t="shared" si="7"/>
        <v>,Register partnerov VS,</v>
      </c>
      <c r="K121" s="45">
        <f t="shared" si="5"/>
        <v>7249.60585</v>
      </c>
      <c r="L121" s="43"/>
      <c r="M121" s="43" t="str">
        <f>IFERROR(__xludf.DUMMYFUNCTION("SPLIT(O121,"","")"),"Bojnická cesta 24")</f>
        <v>Bojnická cesta 24</v>
      </c>
      <c r="N121" s="43" t="str">
        <f>IFERROR(__xludf.DUMMYFUNCTION("""COMPUTED_VALUE""")," 971 01 Prievidza")</f>
        <v> 971 01 Prievidza</v>
      </c>
      <c r="O121" s="42" t="s">
        <v>1413</v>
      </c>
      <c r="P121" s="43">
        <v>48.7751101</v>
      </c>
      <c r="Q121" s="43">
        <v>18.6106454</v>
      </c>
      <c r="R121" s="56" t="s">
        <v>1414</v>
      </c>
      <c r="S121" s="34" t="s">
        <v>969</v>
      </c>
      <c r="T121" s="63" t="s">
        <v>86</v>
      </c>
      <c r="U121" s="61" t="s">
        <v>1415</v>
      </c>
      <c r="V121" s="50" t="s">
        <v>1391</v>
      </c>
      <c r="W121" s="55" t="s">
        <v>1392</v>
      </c>
      <c r="X121" s="54" t="s">
        <v>1416</v>
      </c>
      <c r="Y121" s="46" t="s">
        <v>1414</v>
      </c>
      <c r="Z121" s="53" t="s">
        <v>1417</v>
      </c>
      <c r="AA121" s="52" t="s">
        <v>64</v>
      </c>
      <c r="AB121" s="55"/>
      <c r="AC121" s="56"/>
      <c r="AD121" s="56"/>
      <c r="AE121" s="55"/>
      <c r="AF121" s="55"/>
      <c r="AG121" s="56"/>
      <c r="AH121" s="56"/>
      <c r="AI121" s="55"/>
      <c r="AJ121" s="55"/>
      <c r="AK121" s="56"/>
      <c r="AL121" s="56"/>
      <c r="AM121" s="47"/>
      <c r="AN121" s="62" t="s">
        <v>39</v>
      </c>
      <c r="AO121" s="64"/>
      <c r="AP121" s="58" t="str">
        <f t="shared" si="6"/>
        <v>Printmania s. r. o. pocitacova a kancelarska technika, &amp;#32vsetky kategorie  971 01 Prievidza Predaj naplni do tlaciarni. Zamestnavanim znevyhodnenych osob. Printmania s.r.o. Predaj naplni do tlaciarni. napln do tlaciarne, toner, inkjet, kazeta, farba           Register partnerov VS</v>
      </c>
      <c r="AQ121" s="37"/>
    </row>
    <row r="122" ht="15.75" customHeight="1">
      <c r="A122" s="43"/>
      <c r="B122" s="59">
        <v>129.0</v>
      </c>
      <c r="C122" s="97" t="s">
        <v>1418</v>
      </c>
      <c r="D122" s="41" t="s">
        <v>181</v>
      </c>
      <c r="E122" s="38" t="str">
        <f t="shared" si="1"/>
        <v>Banskobystrický kraj, &amp;#32celé Slovensko</v>
      </c>
      <c r="F122" s="42" t="s">
        <v>1419</v>
      </c>
      <c r="G122" s="38" t="str">
        <f t="shared" si="2"/>
        <v>čistiace a upratovacie služby, dom a záhrada, ochrana a bezpečnosť, odpady a recyklácia, &amp;#32všetky kategórie</v>
      </c>
      <c r="H122" s="42" t="s">
        <v>53</v>
      </c>
      <c r="I122" s="43" t="str">
        <f t="shared" si="3"/>
        <v>1 - 5, &amp;#32všetky možnosti</v>
      </c>
      <c r="J122" s="44" t="str">
        <f t="shared" si="7"/>
        <v>,,</v>
      </c>
      <c r="K122" s="45">
        <f t="shared" si="5"/>
        <v>41104.43132</v>
      </c>
      <c r="L122" s="43"/>
      <c r="M122" s="43" t="str">
        <f>IFERROR(__xludf.DUMMYFUNCTION("SPLIT(O122,"","")"),"Hlavná 279/43")</f>
        <v>Hlavná 279/43</v>
      </c>
      <c r="N122" s="43" t="str">
        <f>IFERROR(__xludf.DUMMYFUNCTION("""COMPUTED_VALUE""")," 976 64 Bacúch")</f>
        <v> 976 64 Bacúch</v>
      </c>
      <c r="O122" s="42" t="s">
        <v>1420</v>
      </c>
      <c r="P122" s="43">
        <v>48.8550891999999</v>
      </c>
      <c r="Q122" s="43">
        <v>19.8079263</v>
      </c>
      <c r="R122" s="56" t="s">
        <v>1421</v>
      </c>
      <c r="S122" s="34" t="s">
        <v>1422</v>
      </c>
      <c r="T122" s="63" t="s">
        <v>86</v>
      </c>
      <c r="U122" s="61" t="s">
        <v>1423</v>
      </c>
      <c r="V122" s="50" t="s">
        <v>1424</v>
      </c>
      <c r="W122" s="55" t="s">
        <v>1425</v>
      </c>
      <c r="X122" s="54" t="s">
        <v>1426</v>
      </c>
      <c r="Y122" s="46" t="s">
        <v>1421</v>
      </c>
      <c r="Z122" s="53" t="s">
        <v>1427</v>
      </c>
      <c r="AA122" s="52" t="s">
        <v>64</v>
      </c>
      <c r="AB122" s="55"/>
      <c r="AC122" s="56"/>
      <c r="AD122" s="56"/>
      <c r="AE122" s="55"/>
      <c r="AF122" s="55"/>
      <c r="AG122" s="56"/>
      <c r="AH122" s="56"/>
      <c r="AI122" s="55"/>
      <c r="AJ122" s="55"/>
      <c r="AK122" s="56"/>
      <c r="AL122" s="56"/>
      <c r="AM122" s="34"/>
      <c r="AN122" s="55"/>
      <c r="AO122" s="64"/>
      <c r="AP122" s="58" t="str">
        <f t="shared" si="6"/>
        <v>OH Bacuch, s. r. o. cistiace a upratovacie sluzby, dom a zahrada, ochrana a bezpecnost, odpady a recyklacia, &amp;#32vsetky kategorie  976 64 Bacuch Zabezpecenie komunalnych prac v obci: udrzba zelene, ciest, chodnikov. Podnik zamestnava zdravotne znevyhodnenych obcanov. OH Bacuch, s.r.o. Zabezpecenie komunalnych prac v obci: udrzba zelene, ciest, chodnikov. Zemne prace, kosenie, udrzba ciest, chodnikov, komunalne prace           </v>
      </c>
      <c r="AQ122" s="37"/>
    </row>
    <row r="123" ht="15.75" customHeight="1">
      <c r="A123" s="43"/>
      <c r="B123" s="59">
        <v>130.0</v>
      </c>
      <c r="C123" s="97" t="s">
        <v>1428</v>
      </c>
      <c r="D123" s="41" t="s">
        <v>80</v>
      </c>
      <c r="E123" s="38" t="str">
        <f t="shared" si="1"/>
        <v>Trnavský kraj, &amp;#32celé Slovensko</v>
      </c>
      <c r="F123" s="42" t="s">
        <v>1429</v>
      </c>
      <c r="G123" s="38" t="str">
        <f t="shared" si="2"/>
        <v>krása-zdravie-relax, iné (tovary a služby), &amp;#32všetky kategórie</v>
      </c>
      <c r="H123" s="42" t="s">
        <v>53</v>
      </c>
      <c r="I123" s="43" t="str">
        <f t="shared" si="3"/>
        <v>1 - 5, &amp;#32všetky možnosti</v>
      </c>
      <c r="J123" s="44" t="str">
        <f t="shared" si="7"/>
        <v>,,</v>
      </c>
      <c r="K123" s="45">
        <f t="shared" si="5"/>
        <v>36224.92963</v>
      </c>
      <c r="L123" s="43"/>
      <c r="M123" s="43" t="str">
        <f>IFERROR(__xludf.DUMMYFUNCTION("SPLIT(O123,"","")"),"Okružná 9")</f>
        <v>Okružná 9</v>
      </c>
      <c r="N123" s="43" t="str">
        <f>IFERROR(__xludf.DUMMYFUNCTION("""COMPUTED_VALUE""")," 976 64 Trnava")</f>
        <v> 976 64 Trnava</v>
      </c>
      <c r="O123" s="42" t="s">
        <v>1430</v>
      </c>
      <c r="P123" s="43">
        <v>48.3859372999999</v>
      </c>
      <c r="Q123" s="43">
        <v>17.5955106</v>
      </c>
      <c r="R123" s="56" t="s">
        <v>1431</v>
      </c>
      <c r="S123" s="34" t="s">
        <v>1432</v>
      </c>
      <c r="T123" s="63" t="s">
        <v>1433</v>
      </c>
      <c r="U123" s="61" t="s">
        <v>1434</v>
      </c>
      <c r="V123" s="50" t="s">
        <v>1435</v>
      </c>
      <c r="W123" s="55" t="s">
        <v>1436</v>
      </c>
      <c r="X123" s="54" t="s">
        <v>1428</v>
      </c>
      <c r="Y123" s="46" t="s">
        <v>1437</v>
      </c>
      <c r="Z123" s="53" t="s">
        <v>1438</v>
      </c>
      <c r="AA123" s="52" t="s">
        <v>64</v>
      </c>
      <c r="AB123" s="55"/>
      <c r="AC123" s="56"/>
      <c r="AD123" s="56"/>
      <c r="AE123" s="55"/>
      <c r="AF123" s="55"/>
      <c r="AG123" s="56"/>
      <c r="AH123" s="56"/>
      <c r="AI123" s="55"/>
      <c r="AJ123" s="55"/>
      <c r="AK123" s="56"/>
      <c r="AL123" s="56"/>
      <c r="AM123" s="34"/>
      <c r="AN123" s="55"/>
      <c r="AO123" s="64"/>
      <c r="AP123" s="58" t="str">
        <f t="shared" si="6"/>
        <v>Mydlaren TAMARA krasa-zdravie-relax, ine (tovary a sluzby), &amp;#32vsetky kategorie  976 64 Trnava Vyrabame a predavame rucne robene mydla roznych druhov a velkosti. Na vyber ponukame rozdielne balenia alebo mydla uvarene na mieru. Nasimi zakaznikmi su firmy a spolocnosti, ktore nakupuju mydla ako svoje reklamne predmety, alebo darceky pre zamestnancov a partnerov. V zmysle poskytovania spolocensky prospesnej sluzby podpory zamestnanosti nase zdruzenie zamestnava zranitelne a znevyhodnene osoby. Ich zamestnavanim zdruzenie sleduje ciel ich (opatovneho) socialneho zaclenenia. Mydlaren TAMARA Vyrabame rucne robene mydla roznych druhov a velkosti. Na vyber tiez ponukame rozdielne balenia alebo mydla uvarene na mieru. domace mydla, reklamne darceky, sampony, darcekove mydla           </v>
      </c>
      <c r="AQ123" s="37"/>
    </row>
    <row r="124" ht="15.75" customHeight="1">
      <c r="A124" s="43"/>
      <c r="B124" s="59">
        <v>131.0</v>
      </c>
      <c r="C124" s="97" t="s">
        <v>1439</v>
      </c>
      <c r="D124" s="41" t="s">
        <v>218</v>
      </c>
      <c r="E124" s="38" t="str">
        <f t="shared" si="1"/>
        <v>Košický kraj, &amp;#32celé Slovensko</v>
      </c>
      <c r="F124" s="42" t="s">
        <v>503</v>
      </c>
      <c r="G124" s="38" t="str">
        <f t="shared" si="2"/>
        <v>ubytovacie a stravovacie služby, potraviny a nápoje, &amp;#32všetky kategórie</v>
      </c>
      <c r="H124" s="42" t="s">
        <v>68</v>
      </c>
      <c r="I124" s="43" t="str">
        <f t="shared" si="3"/>
        <v>16 - 20, &amp;#32všetky možnosti</v>
      </c>
      <c r="J124" s="44" t="str">
        <f t="shared" si="7"/>
        <v>,Register partnerov VS,</v>
      </c>
      <c r="K124" s="45">
        <f t="shared" si="5"/>
        <v>7501.152627</v>
      </c>
      <c r="L124" s="43"/>
      <c r="M124" s="43" t="str">
        <f>IFERROR(__xludf.DUMMYFUNCTION("SPLIT(O124,"","")"),"Medza 3444/10")</f>
        <v>Medza 3444/10</v>
      </c>
      <c r="N124" s="43" t="str">
        <f>IFERROR(__xludf.DUMMYFUNCTION("""COMPUTED_VALUE""")," 052 01 Spišská Nová Ves")</f>
        <v> 052 01 Spišská Nová Ves</v>
      </c>
      <c r="O124" s="42" t="s">
        <v>1440</v>
      </c>
      <c r="P124" s="43">
        <v>48.9454151</v>
      </c>
      <c r="Q124" s="43">
        <v>20.5546192</v>
      </c>
      <c r="R124" s="56" t="s">
        <v>1441</v>
      </c>
      <c r="S124" s="34" t="s">
        <v>1442</v>
      </c>
      <c r="T124" s="63" t="s">
        <v>1443</v>
      </c>
      <c r="U124" s="61" t="s">
        <v>1444</v>
      </c>
      <c r="V124" s="50" t="s">
        <v>1445</v>
      </c>
      <c r="W124" s="55" t="s">
        <v>1446</v>
      </c>
      <c r="X124" s="54" t="s">
        <v>1447</v>
      </c>
      <c r="Y124" s="46" t="s">
        <v>1448</v>
      </c>
      <c r="Z124" s="53" t="s">
        <v>1449</v>
      </c>
      <c r="AA124" s="52" t="s">
        <v>64</v>
      </c>
      <c r="AB124" s="55"/>
      <c r="AC124" s="56"/>
      <c r="AD124" s="56"/>
      <c r="AE124" s="55"/>
      <c r="AF124" s="55"/>
      <c r="AG124" s="56"/>
      <c r="AH124" s="56"/>
      <c r="AI124" s="55"/>
      <c r="AJ124" s="55"/>
      <c r="AK124" s="56"/>
      <c r="AL124" s="56"/>
      <c r="AM124" s="47"/>
      <c r="AN124" s="62" t="s">
        <v>39</v>
      </c>
      <c r="AO124" s="64"/>
      <c r="AP124" s="58" t="str">
        <f t="shared" si="6"/>
        <v>GASTRODOM SPIS s.r.o. ubytovacie a stravovacie sluzby, potraviny a napoje, &amp;#32vsetky kategorie  052 01 Spisska Nova Ves Spolocnost GASTRODOM SPIS a jej prevadzka Fajnotka - domaca kuchyna ponukaju svojim zakaznikom kazdy den na vyber zo 4 domacich jedal v ramci denneho obedoveho menu (cena je 4,50€). Restauracia vari vylucne z cerstvych kvalitnych potravin od lokalnych dodavatelov a z vlastnych domacich vyrobkov, akymi su domace rucne lepene pirohy roznych chuti, ci noky a sulance. Tie si mozu nasi zakaznici zakupit aj vo forme mrazenych kilovych baleni. Kuchyna sa moze pochvalit aj vyrobou svojich vlastnych knedli, buchticiek, kolacikov a inych jedal ako od babicky. Vo Fajnotke myslime aj na vegetarianov a veganov, ktori si tiez mozu pochutnat na nasich domacich fajnotkach i zdravsich alternativach. Zakaznici Fajnotky mozu vyuzit nasu donaskovu sluzbu, ktora je zdarma, prist si pre obed osobne alebo si ho vychutnat v pokojnom domacom prostredi nasej restauracie. Cinnost nasho podniku sa v prvom rade zameriava na pripravu a vydaj jedal socialne znevyhodnenym obcanom nasho mesta ci dochodcom. Podnik v sucasnosti zamestnava 20 pracovnikov, z ktorych vacsina patri do skupiny znevyhodnenych obcanov (zdravotne postihnuti, absolventi skoly, obcan marginalizovanej romskej komunity, dlhodobo nezamestnani, starsi ako 50 rokov atd.), ktori su na okraji zaujmu beznych zamestnavatelov. Spolocnost podporuje miestnu komunitu, pracuje vylucne s miestnymi dodavatelmi a snazi sa rozvijat aj situaciu v miestnom regione Spis. Fajnotka - domaca kuchyna Spolocnost GASTRODOM SPIS a jeho prevadzka Fajnotka - domaca kuchyna ponukaju svojim zakaznikom kazdy den na vyber zo 4 domacich jedal v ramci denneho obedoveho menu (cena je 4,50€). Restauracia vari vylucne z cerstvych kvalitnych potravin od lokalnych dodavatelov a z vlastnych domacich vyrobkov, akymi su domace rucne lepene pirohy roznych chuti, ci noky a sulance. Kuchyna sa moze pochvalit aj vyrobou svojich vlastnych knedli, buchticiek, kolacikov a inych jedal ako od babicky. Vo Fajnotke myslime aj na vegetarianov a veganov, ktori si tiez mozu pochutnat na nasich domacich fajnotkach i zdravsich alternativach. Zakaznici Fajnotky mozu vyuzit nasu donaskovu sluzbu, ktora je zdarma, prist si pre obed osobne alebo si ho vychutnat v pokojnom domacom prostredi nasej restauracie, ak to situacia dovoluje.
 restauracia, denne menu, obedove menu, obed, domaca kuchyna, slovenska kuchyna, domace jedlo, zdrave recepty, donaska jedla, veganska strava, vegetarianska kuchyna, lokalne jedla, tradicne jedla, lokalne potraviny            Register partnerov VS</v>
      </c>
      <c r="AQ124" s="37"/>
    </row>
    <row r="125" ht="15.75" customHeight="1">
      <c r="A125" s="43"/>
      <c r="B125" s="59">
        <v>132.0</v>
      </c>
      <c r="C125" s="97" t="s">
        <v>1450</v>
      </c>
      <c r="D125" s="41" t="s">
        <v>51</v>
      </c>
      <c r="E125" s="38" t="str">
        <f t="shared" si="1"/>
        <v>Prešovský kraj, &amp;#32celé Slovensko</v>
      </c>
      <c r="F125" s="42" t="s">
        <v>1009</v>
      </c>
      <c r="G125" s="38" t="str">
        <f t="shared" si="2"/>
        <v>stavebníctvo, &amp;#32všetky kategórie</v>
      </c>
      <c r="H125" s="42" t="s">
        <v>96</v>
      </c>
      <c r="I125" s="43" t="str">
        <f t="shared" si="3"/>
        <v>6 - 10, &amp;#32všetky možnosti</v>
      </c>
      <c r="J125" s="44" t="str">
        <f t="shared" si="7"/>
        <v>,Register partnerov VS,Náhradné plnenie</v>
      </c>
      <c r="K125" s="45">
        <f t="shared" si="5"/>
        <v>13844.98619</v>
      </c>
      <c r="L125" s="43"/>
      <c r="M125" s="43" t="str">
        <f>IFERROR(__xludf.DUMMYFUNCTION("SPLIT(O125,"","")"),"Vyšné Ružbachy 243")</f>
        <v>Vyšné Ružbachy 243</v>
      </c>
      <c r="N125" s="43" t="str">
        <f>IFERROR(__xludf.DUMMYFUNCTION("""COMPUTED_VALUE""")," 065 02 Vyšné Ružbachy")</f>
        <v> 065 02 Vyšné Ružbachy</v>
      </c>
      <c r="O125" s="42" t="s">
        <v>1451</v>
      </c>
      <c r="P125" s="43">
        <v>49.3033462</v>
      </c>
      <c r="Q125" s="43">
        <v>20.5667438</v>
      </c>
      <c r="R125" s="56" t="s">
        <v>1452</v>
      </c>
      <c r="S125" s="34" t="s">
        <v>1453</v>
      </c>
      <c r="T125" s="63" t="s">
        <v>1454</v>
      </c>
      <c r="U125" s="61" t="s">
        <v>1455</v>
      </c>
      <c r="V125" s="50" t="s">
        <v>1456</v>
      </c>
      <c r="W125" s="55" t="s">
        <v>1457</v>
      </c>
      <c r="X125" s="54" t="s">
        <v>1458</v>
      </c>
      <c r="Y125" s="46" t="s">
        <v>1359</v>
      </c>
      <c r="Z125" s="53" t="s">
        <v>1459</v>
      </c>
      <c r="AA125" s="52" t="s">
        <v>64</v>
      </c>
      <c r="AB125" s="55"/>
      <c r="AC125" s="56"/>
      <c r="AD125" s="56"/>
      <c r="AE125" s="55"/>
      <c r="AF125" s="55"/>
      <c r="AG125" s="56"/>
      <c r="AH125" s="56"/>
      <c r="AI125" s="55"/>
      <c r="AJ125" s="55"/>
      <c r="AK125" s="56"/>
      <c r="AL125" s="56"/>
      <c r="AM125" s="47"/>
      <c r="AN125" s="62" t="s">
        <v>39</v>
      </c>
      <c r="AO125" s="57" t="s">
        <v>40</v>
      </c>
      <c r="AP125" s="58" t="str">
        <f t="shared" si="6"/>
        <v>VALINEK, s. r. o., registrovany socialny podnik stavebnictvo, &amp;#32vsetky kategorie  065 02 Vysne Ruzbachy Zaoberame sa prevazne stavebnou cinnostou. Ponukame sluzby na podporu regionalneho rozvoja a zamestnanosti, zamestnavame prevazne obcanov so zdravotnym postihnutim. VALINEK, s. r. o., r. s. p. Stavebna cinnost. Stavebne prace, vykopove prace, pripravne prace, dlazby, chodniky, oporne mury, oplotenie           Register partnerov VS</v>
      </c>
      <c r="AQ125" s="37"/>
    </row>
    <row r="126" ht="15.75" customHeight="1">
      <c r="A126" s="43"/>
      <c r="B126" s="59">
        <v>133.0</v>
      </c>
      <c r="C126" s="97" t="s">
        <v>1460</v>
      </c>
      <c r="D126" s="41" t="s">
        <v>229</v>
      </c>
      <c r="E126" s="38" t="str">
        <f t="shared" si="1"/>
        <v>Nitriansky kraj, &amp;#32celé Slovensko</v>
      </c>
      <c r="F126" s="42" t="s">
        <v>244</v>
      </c>
      <c r="G126" s="38" t="str">
        <f t="shared" si="2"/>
        <v>potraviny a nápoje, &amp;#32všetky kategórie</v>
      </c>
      <c r="H126" s="42" t="s">
        <v>96</v>
      </c>
      <c r="I126" s="43" t="str">
        <f t="shared" si="3"/>
        <v>6 - 10, &amp;#32všetky možnosti</v>
      </c>
      <c r="J126" s="44" t="str">
        <f t="shared" si="7"/>
        <v>,Register partnerov VS,Náhradné plnenie</v>
      </c>
      <c r="K126" s="45">
        <f t="shared" si="5"/>
        <v>3954.323699</v>
      </c>
      <c r="L126" s="43"/>
      <c r="M126" s="43" t="str">
        <f>IFERROR(__xludf.DUMMYFUNCTION("SPLIT(O126,"","")"),"Fučíkova 10")</f>
        <v>Fučíkova 10</v>
      </c>
      <c r="N126" s="43" t="str">
        <f>IFERROR(__xludf.DUMMYFUNCTION("""COMPUTED_VALUE""")," 935 61 Hronovce ")</f>
        <v> 935 61 Hronovce </v>
      </c>
      <c r="O126" s="42" t="s">
        <v>1461</v>
      </c>
      <c r="P126" s="43">
        <v>48.0118168</v>
      </c>
      <c r="Q126" s="43">
        <v>18.6593134</v>
      </c>
      <c r="R126" s="56" t="s">
        <v>1462</v>
      </c>
      <c r="S126" s="34" t="s">
        <v>1463</v>
      </c>
      <c r="T126" s="63" t="s">
        <v>1464</v>
      </c>
      <c r="U126" s="61" t="s">
        <v>1465</v>
      </c>
      <c r="V126" s="50" t="s">
        <v>1466</v>
      </c>
      <c r="W126" s="55" t="s">
        <v>1467</v>
      </c>
      <c r="X126" s="54" t="s">
        <v>1468</v>
      </c>
      <c r="Y126" s="46" t="s">
        <v>1469</v>
      </c>
      <c r="Z126" s="53" t="s">
        <v>1470</v>
      </c>
      <c r="AA126" s="52" t="s">
        <v>64</v>
      </c>
      <c r="AB126" s="55"/>
      <c r="AC126" s="56"/>
      <c r="AD126" s="56"/>
      <c r="AE126" s="55"/>
      <c r="AF126" s="55"/>
      <c r="AG126" s="56"/>
      <c r="AH126" s="56"/>
      <c r="AI126" s="55"/>
      <c r="AJ126" s="55"/>
      <c r="AK126" s="56"/>
      <c r="AL126" s="56"/>
      <c r="AM126" s="47"/>
      <c r="AN126" s="62" t="s">
        <v>39</v>
      </c>
      <c r="AO126" s="57" t="s">
        <v>40</v>
      </c>
      <c r="AP126" s="58" t="str">
        <f t="shared" si="6"/>
        <v>SOLIDE SLOVAKIA, s.r.o. potraviny a napoje, &amp;#32vsetky kategorie  935 61 Hronovce  Nasa ponuka: vyroba tradicnych cukroviniek (rucna vyroba), kusovy predaj cukroviniek, darcekove balenie vyrobkov z nasej vyroby do roznych baleni (Mikulas, balicky pre deti a seniorov, darcekove kosiky, darcekove balenia pre rozne firemne oslavy), ale aj vymenovane darcekove balenia (mix s nasimi vyrobkami ako aj s klasickym tovarom, kozmeticke balenia) pre rozne spolocenske udalosti. Dosahovanie pozitivneho socialneho vplyvu v nasej spolocnosti splname zamestnavanim zdravotne znevyhodnenych osob. SOLIDE SLOVAKIA s.r.o. Vyroba tradicnych cukroviniek. cukrovinky, kosicky med, kokosky, trubicky, sladkosti, penove cukrovinky, kornutky, sultanky, oblatky, darcekove kose           Register partnerov VS</v>
      </c>
      <c r="AQ126" s="37"/>
    </row>
    <row r="127" ht="15.75" customHeight="1">
      <c r="A127" s="43"/>
      <c r="B127" s="59">
        <v>134.0</v>
      </c>
      <c r="C127" s="97" t="s">
        <v>1471</v>
      </c>
      <c r="D127" s="41" t="s">
        <v>66</v>
      </c>
      <c r="E127" s="38" t="str">
        <f t="shared" si="1"/>
        <v>Žilinský kraj, &amp;#32celé Slovensko</v>
      </c>
      <c r="F127" s="42" t="s">
        <v>244</v>
      </c>
      <c r="G127" s="38" t="str">
        <f t="shared" si="2"/>
        <v>potraviny a nápoje, &amp;#32všetky kategórie</v>
      </c>
      <c r="H127" s="42" t="s">
        <v>170</v>
      </c>
      <c r="I127" s="43" t="str">
        <f t="shared" si="3"/>
        <v>21 a viac, &amp;#32všetky možnosti</v>
      </c>
      <c r="J127" s="44" t="str">
        <f t="shared" si="7"/>
        <v>,,Náhradné plnenie</v>
      </c>
      <c r="K127" s="45">
        <f t="shared" si="5"/>
        <v>43698.84177</v>
      </c>
      <c r="L127" s="43"/>
      <c r="M127" s="43" t="str">
        <f>IFERROR(__xludf.DUMMYFUNCTION("SPLIT(O127,"","")"),"Námestie SNP 16")</f>
        <v>Námestie SNP 16</v>
      </c>
      <c r="N127" s="43" t="str">
        <f>IFERROR(__xludf.DUMMYFUNCTION("""COMPUTED_VALUE""")," 015 01 Rajec")</f>
        <v> 015 01 Rajec</v>
      </c>
      <c r="O127" s="42" t="s">
        <v>1472</v>
      </c>
      <c r="P127" s="43">
        <v>49.0880946</v>
      </c>
      <c r="Q127" s="43">
        <v>18.6350244</v>
      </c>
      <c r="R127" s="56" t="s">
        <v>1473</v>
      </c>
      <c r="S127" s="34" t="s">
        <v>1474</v>
      </c>
      <c r="T127" s="63" t="s">
        <v>1475</v>
      </c>
      <c r="U127" s="61" t="s">
        <v>1476</v>
      </c>
      <c r="V127" s="50" t="s">
        <v>1477</v>
      </c>
      <c r="W127" s="55" t="s">
        <v>1478</v>
      </c>
      <c r="X127" s="54" t="s">
        <v>1479</v>
      </c>
      <c r="Y127" s="46" t="s">
        <v>1480</v>
      </c>
      <c r="Z127" s="53" t="s">
        <v>1481</v>
      </c>
      <c r="AA127" s="52" t="s">
        <v>64</v>
      </c>
      <c r="AB127" s="55"/>
      <c r="AC127" s="56"/>
      <c r="AD127" s="56"/>
      <c r="AE127" s="55"/>
      <c r="AF127" s="55"/>
      <c r="AG127" s="56"/>
      <c r="AH127" s="56"/>
      <c r="AI127" s="55"/>
      <c r="AJ127" s="55"/>
      <c r="AK127" s="56"/>
      <c r="AL127" s="56"/>
      <c r="AM127" s="34"/>
      <c r="AN127" s="55"/>
      <c r="AO127" s="57" t="s">
        <v>40</v>
      </c>
      <c r="AP127" s="58" t="str">
        <f t="shared" si="6"/>
        <v>LABORE n. o., registrovany socialny podnik potraviny a napoje, &amp;#32vsetky kategorie  015 01 Rajec Nas registrovany socialny podnik je primarne orientovany na vyrobu kolacov, zakuskov, tort a medovnikov (aj zdobenych). Vyrobky predavame v nasej cukrarni alebo na objednavku. Vyrobky vieme vyrobit aj s logom firmy. Nasimi zakaznikmi su vacsinou firmy, podnikatelia ale aj fyzicke osoby (napr. na rodinne oslavy a pod.). V nasej cukrarni predavame aj vyrobky dalsich znevyhodnenych ludi zo Slovenska. Zamestnavanim znevyhodnenych a zranitelnych na trhu prace - momentalne tvoria az 80% vsetkych zamestnancov. RAJecke Radosti - cukraren v Rajeckych Tepliciach V prevadzke cukrarne predavame nase cukrarenske vyrobky a tiez darcekove predmety - vyrobky znevyhodnenych ludi zo Slovenska. cukraren, medovniky, kolace, zakusky, torty, rucne vyrabane darcekove predmety           </v>
      </c>
      <c r="AQ127" s="37"/>
    </row>
    <row r="128" ht="15.75" customHeight="1">
      <c r="A128" s="43"/>
      <c r="B128" s="59">
        <v>135.0</v>
      </c>
      <c r="C128" s="97" t="s">
        <v>1482</v>
      </c>
      <c r="D128" s="41" t="s">
        <v>218</v>
      </c>
      <c r="E128" s="38" t="str">
        <f t="shared" si="1"/>
        <v>Košický kraj, &amp;#32celé Slovensko</v>
      </c>
      <c r="F128" s="42" t="s">
        <v>503</v>
      </c>
      <c r="G128" s="38" t="str">
        <f t="shared" si="2"/>
        <v>ubytovacie a stravovacie služby, potraviny a nápoje, &amp;#32všetky kategórie</v>
      </c>
      <c r="H128" s="42" t="s">
        <v>96</v>
      </c>
      <c r="I128" s="43" t="str">
        <f t="shared" si="3"/>
        <v>6 - 10, &amp;#32všetky možnosti</v>
      </c>
      <c r="J128" s="44" t="str">
        <f t="shared" si="7"/>
        <v>,Register partnerov VS,</v>
      </c>
      <c r="K128" s="45">
        <f t="shared" si="5"/>
        <v>28587.68598</v>
      </c>
      <c r="L128" s="43"/>
      <c r="M128" s="43" t="str">
        <f>IFERROR(__xludf.DUMMYFUNCTION("SPLIT(O128,"","")"),"Mojmírova 787/12")</f>
        <v>Mojmírova 787/12</v>
      </c>
      <c r="N128" s="43" t="str">
        <f>IFERROR(__xludf.DUMMYFUNCTION("""COMPUTED_VALUE"""),"  040 01 Košice - Staré Mesto")</f>
        <v>  040 01 Košice - Staré Mesto</v>
      </c>
      <c r="O128" s="42" t="s">
        <v>1483</v>
      </c>
      <c r="P128" s="43">
        <v>48.7168873</v>
      </c>
      <c r="Q128" s="43">
        <v>21.2582552</v>
      </c>
      <c r="R128" s="56" t="s">
        <v>1484</v>
      </c>
      <c r="S128" s="34" t="s">
        <v>1485</v>
      </c>
      <c r="T128" s="63" t="s">
        <v>86</v>
      </c>
      <c r="U128" s="61" t="s">
        <v>1486</v>
      </c>
      <c r="V128" s="50" t="s">
        <v>1487</v>
      </c>
      <c r="W128" s="55" t="s">
        <v>1488</v>
      </c>
      <c r="X128" s="54" t="s">
        <v>1489</v>
      </c>
      <c r="Y128" s="46" t="s">
        <v>1490</v>
      </c>
      <c r="Z128" s="53" t="s">
        <v>1491</v>
      </c>
      <c r="AA128" s="52" t="s">
        <v>64</v>
      </c>
      <c r="AB128" s="55"/>
      <c r="AC128" s="56"/>
      <c r="AD128" s="56"/>
      <c r="AE128" s="55"/>
      <c r="AF128" s="55"/>
      <c r="AG128" s="56"/>
      <c r="AH128" s="56"/>
      <c r="AI128" s="55"/>
      <c r="AJ128" s="55"/>
      <c r="AK128" s="56"/>
      <c r="AL128" s="56"/>
      <c r="AM128" s="47"/>
      <c r="AN128" s="62" t="s">
        <v>39</v>
      </c>
      <c r="AO128" s="64"/>
      <c r="AP128" s="58" t="str">
        <f t="shared" si="6"/>
        <v>Fajnoty s. r. o. r. s. p. ubytovacie a stravovacie sluzby, potraviny a napoje, &amp;#32vsetky kategorie   040 01 Kosice - Stare Mesto Sluzby a tovary v gastro sektore. Podpora zamestnanosti znevyhodnenych a zranitelnych osob. Fajnoty s.r.o. r.s.p. Ponuka tovaru a sluzieb v gastro sektore. salaty, kolace, balene hotove jedla           Register partnerov VS</v>
      </c>
      <c r="AQ128" s="37"/>
    </row>
    <row r="129" ht="15.75" customHeight="1">
      <c r="A129" s="43"/>
      <c r="B129" s="59">
        <v>136.0</v>
      </c>
      <c r="C129" s="97" t="s">
        <v>1492</v>
      </c>
      <c r="D129" s="41" t="s">
        <v>181</v>
      </c>
      <c r="E129" s="38" t="str">
        <f t="shared" si="1"/>
        <v>Banskobystrický kraj, &amp;#32celé Slovensko</v>
      </c>
      <c r="F129" s="42" t="s">
        <v>1009</v>
      </c>
      <c r="G129" s="38" t="str">
        <f t="shared" si="2"/>
        <v>stavebníctvo, &amp;#32všetky kategórie</v>
      </c>
      <c r="H129" s="42" t="s">
        <v>82</v>
      </c>
      <c r="I129" s="43" t="str">
        <f t="shared" si="3"/>
        <v>11 - 15, &amp;#32všetky možnosti</v>
      </c>
      <c r="J129" s="44" t="str">
        <f t="shared" si="7"/>
        <v>,Register partnerov VS,</v>
      </c>
      <c r="K129" s="45">
        <f t="shared" si="5"/>
        <v>33336.79749</v>
      </c>
      <c r="L129" s="43"/>
      <c r="M129" s="43" t="str">
        <f>IFERROR(__xludf.DUMMYFUNCTION("SPLIT(O129,"","")"),"Banská Belá 501")</f>
        <v>Banská Belá 501</v>
      </c>
      <c r="N129" s="43" t="str">
        <f>IFERROR(__xludf.DUMMYFUNCTION("""COMPUTED_VALUE""")," 966 15 Banská Belá")</f>
        <v> 966 15 Banská Belá</v>
      </c>
      <c r="O129" s="42" t="s">
        <v>1493</v>
      </c>
      <c r="P129" s="43">
        <v>48.4753584</v>
      </c>
      <c r="Q129" s="43">
        <v>18.9333675</v>
      </c>
      <c r="R129" s="56" t="s">
        <v>1494</v>
      </c>
      <c r="S129" s="34" t="s">
        <v>1495</v>
      </c>
      <c r="T129" s="63" t="s">
        <v>1496</v>
      </c>
      <c r="U129" s="61" t="s">
        <v>1497</v>
      </c>
      <c r="V129" s="50" t="s">
        <v>1498</v>
      </c>
      <c r="W129" s="55" t="s">
        <v>1499</v>
      </c>
      <c r="X129" s="54" t="s">
        <v>1492</v>
      </c>
      <c r="Y129" s="46" t="s">
        <v>1500</v>
      </c>
      <c r="Z129" s="53" t="s">
        <v>1501</v>
      </c>
      <c r="AA129" s="52" t="s">
        <v>64</v>
      </c>
      <c r="AB129" s="55"/>
      <c r="AC129" s="56"/>
      <c r="AD129" s="56"/>
      <c r="AE129" s="55"/>
      <c r="AF129" s="55"/>
      <c r="AG129" s="56"/>
      <c r="AH129" s="56"/>
      <c r="AI129" s="55"/>
      <c r="AJ129" s="55"/>
      <c r="AK129" s="56"/>
      <c r="AL129" s="56"/>
      <c r="AM129" s="47"/>
      <c r="AN129" s="62" t="s">
        <v>39</v>
      </c>
      <c r="AO129" s="64"/>
      <c r="AP129" s="58" t="str">
        <f t="shared" si="6"/>
        <v>Stavebny socialny podnik s. r. o. stavebnictvo, &amp;#32vsetky kategorie  966 15 Banska Bela Stavebny socialny podnik s. r. o. je stavebna firma, ktora sa venuje najma stavebnej vyrobe a uskutocnovaniu stavieb. Hlavnou cinnostou su stavebne prace, vykonavanie zemnych prac, buracich prac, pomocnych stavebnych prac a s tym suvisiacich pridruzenych cinnosti. Nasim cielom je, aby si znevyhodneni zamestnanci, ktori u nas pracuju, osvojili v co najvacsej moznej miere pracovne navyky a dokazali sa tak postupne integrovat na trh prace a byt plnohodnotnymi zamestnancami. Stavebny socialny podnik s. r. o. Hlavnym predmetom podnikania je uskutocnovanie stavieb a ich zmien. stavebne prace
zemne prace
buracie prace
pomocne stavebne prace
suvisiace pridruzene cinnosti           Register partnerov VS</v>
      </c>
      <c r="AQ129" s="37"/>
    </row>
    <row r="130" ht="15.75" customHeight="1">
      <c r="A130" s="43"/>
      <c r="B130" s="59">
        <v>137.0</v>
      </c>
      <c r="C130" s="97" t="s">
        <v>1502</v>
      </c>
      <c r="D130" s="41" t="s">
        <v>51</v>
      </c>
      <c r="E130" s="38" t="str">
        <f t="shared" si="1"/>
        <v>Prešovský kraj, &amp;#32celé Slovensko</v>
      </c>
      <c r="F130" s="42" t="s">
        <v>1503</v>
      </c>
      <c r="G130" s="38" t="str">
        <f t="shared" si="2"/>
        <v>čistiace a upratovacie služby, ubytovacie a stravovacie služby, &amp;#32všetky kategórie</v>
      </c>
      <c r="H130" s="42" t="s">
        <v>82</v>
      </c>
      <c r="I130" s="43" t="str">
        <f t="shared" si="3"/>
        <v>11 - 15, &amp;#32všetky možnosti</v>
      </c>
      <c r="J130" s="44" t="str">
        <f t="shared" si="7"/>
        <v>,Register partnerov VS,</v>
      </c>
      <c r="K130" s="45">
        <f t="shared" si="5"/>
        <v>16443.16714</v>
      </c>
      <c r="L130" s="43"/>
      <c r="M130" s="43" t="str">
        <f>IFERROR(__xludf.DUMMYFUNCTION("SPLIT(O130,"","")"),"Dukelská 31")</f>
        <v>Dukelská 31</v>
      </c>
      <c r="N130" s="43" t="str">
        <f>IFERROR(__xludf.DUMMYFUNCTION("""COMPUTED_VALUE""")," 087 01 Giraltovce")</f>
        <v> 087 01 Giraltovce</v>
      </c>
      <c r="O130" s="42" t="s">
        <v>1504</v>
      </c>
      <c r="P130" s="43">
        <v>49.1106171</v>
      </c>
      <c r="Q130" s="43">
        <v>21.5119673</v>
      </c>
      <c r="R130" s="56" t="s">
        <v>1505</v>
      </c>
      <c r="S130" s="34" t="s">
        <v>1506</v>
      </c>
      <c r="T130" s="63" t="s">
        <v>86</v>
      </c>
      <c r="U130" s="61" t="s">
        <v>1507</v>
      </c>
      <c r="V130" s="50" t="s">
        <v>1508</v>
      </c>
      <c r="W130" s="55" t="s">
        <v>1509</v>
      </c>
      <c r="X130" s="54" t="s">
        <v>1510</v>
      </c>
      <c r="Y130" s="46" t="s">
        <v>1511</v>
      </c>
      <c r="Z130" s="53" t="s">
        <v>1512</v>
      </c>
      <c r="AA130" s="52" t="s">
        <v>64</v>
      </c>
      <c r="AB130" s="55"/>
      <c r="AC130" s="56"/>
      <c r="AD130" s="56"/>
      <c r="AE130" s="55"/>
      <c r="AF130" s="55"/>
      <c r="AG130" s="56"/>
      <c r="AH130" s="56"/>
      <c r="AI130" s="55"/>
      <c r="AJ130" s="55"/>
      <c r="AK130" s="56"/>
      <c r="AL130" s="56"/>
      <c r="AM130" s="47"/>
      <c r="AN130" s="62" t="s">
        <v>39</v>
      </c>
      <c r="AO130" s="64"/>
      <c r="AP130" s="58" t="str">
        <f t="shared" si="6"/>
        <v>Integracia s. r. o. cistiace a upratovacie sluzby, ubytovacie a stravovacie sluzby, &amp;#32vsetky kategorie  087 01 Giraltovce Ponukame stravovanie a sluzby pracovne. Zamestnavame obcanov so zdravotnym postihnutim. Integracia s.r.o. RSP Ponukame sluzby pracovne, ubytovanie. pracovna, stravovacie sluzby           Register partnerov VS</v>
      </c>
      <c r="AQ130" s="37"/>
    </row>
    <row r="131" ht="15.75" customHeight="1">
      <c r="A131" s="43"/>
      <c r="B131" s="59">
        <v>138.0</v>
      </c>
      <c r="C131" s="97" t="s">
        <v>1513</v>
      </c>
      <c r="D131" s="41" t="s">
        <v>229</v>
      </c>
      <c r="E131" s="38" t="str">
        <f t="shared" si="1"/>
        <v>Nitriansky kraj, &amp;#32celé Slovensko</v>
      </c>
      <c r="F131" s="42" t="s">
        <v>1514</v>
      </c>
      <c r="G131" s="38" t="str">
        <f t="shared" si="2"/>
        <v>čistiace a upratovacie služby, poľnohospodárstvo a lesníctvo, dom a záhrada, stavebníctvo, účtovníctvo a poradenstvo, &amp;#32všetky kategórie</v>
      </c>
      <c r="H131" s="42" t="s">
        <v>82</v>
      </c>
      <c r="I131" s="43" t="str">
        <f t="shared" si="3"/>
        <v>11 - 15, &amp;#32všetky možnosti</v>
      </c>
      <c r="J131" s="44" t="str">
        <f t="shared" si="7"/>
        <v>,Register partnerov VS,</v>
      </c>
      <c r="K131" s="45">
        <f t="shared" si="5"/>
        <v>41778.20197</v>
      </c>
      <c r="L131" s="43"/>
      <c r="M131" s="43" t="str">
        <f>IFERROR(__xludf.DUMMYFUNCTION("SPLIT(O131,"","")"),"Tehla 88")</f>
        <v>Tehla 88</v>
      </c>
      <c r="N131" s="43" t="str">
        <f>IFERROR(__xludf.DUMMYFUNCTION("""COMPUTED_VALUE""")," 935 35 Tehla")</f>
        <v> 935 35 Tehla</v>
      </c>
      <c r="O131" s="42" t="s">
        <v>1515</v>
      </c>
      <c r="P131" s="43">
        <v>48.1819851</v>
      </c>
      <c r="Q131" s="43">
        <v>18.3826649</v>
      </c>
      <c r="R131" s="56" t="s">
        <v>1516</v>
      </c>
      <c r="S131" s="34" t="s">
        <v>1517</v>
      </c>
      <c r="T131" s="63" t="s">
        <v>1518</v>
      </c>
      <c r="U131" s="61" t="s">
        <v>1519</v>
      </c>
      <c r="V131" s="103" t="s">
        <v>1520</v>
      </c>
      <c r="W131" s="55" t="s">
        <v>1521</v>
      </c>
      <c r="X131" s="54" t="s">
        <v>1522</v>
      </c>
      <c r="Y131" s="46" t="s">
        <v>1523</v>
      </c>
      <c r="Z131" s="53" t="s">
        <v>1524</v>
      </c>
      <c r="AA131" s="52" t="s">
        <v>64</v>
      </c>
      <c r="AB131" s="55"/>
      <c r="AC131" s="56"/>
      <c r="AD131" s="56"/>
      <c r="AE131" s="55"/>
      <c r="AF131" s="55"/>
      <c r="AG131" s="56"/>
      <c r="AH131" s="56"/>
      <c r="AI131" s="55"/>
      <c r="AJ131" s="55"/>
      <c r="AK131" s="56"/>
      <c r="AL131" s="56"/>
      <c r="AM131" s="47"/>
      <c r="AN131" s="62" t="s">
        <v>39</v>
      </c>
      <c r="AO131" s="64"/>
      <c r="AP131" s="58" t="str">
        <f t="shared" si="6"/>
        <v>TEHLAN, s. r. o. cistiace a upratovacie sluzby, polnohospodarstvo a lesnictvo, dom a zahrada, stavebnictvo, uctovnictvo a poradenstvo, &amp;#32vsetky kategorie  935 35 Tehla Poskytujeme mensiu stavebnu cinnost, letnu a zimnu udrzbu, upratovacie prace a vedenie uctovnictva. Medzi nasich zakaznikov patria najma obcania a obce v regione. Nas podnik zamestnava najma zdravotne znevyhodnene osoby, cim im poskytujeme moznost integracie. TEHLAN, s.r.o. Poskytujeme stavebnu cinnost, letnu a zimnu udrzbu, upratovacie sluzby a vedenie uctovnictva. zemne prace, buranie, stavebne prace, kosenie, upratovanie, vedenie uctovnictva           Register partnerov VS</v>
      </c>
      <c r="AQ131" s="37"/>
    </row>
    <row r="132" ht="15.75" customHeight="1">
      <c r="A132" s="43"/>
      <c r="B132" s="59">
        <v>139.0</v>
      </c>
      <c r="C132" s="97" t="s">
        <v>1525</v>
      </c>
      <c r="D132" s="41" t="s">
        <v>229</v>
      </c>
      <c r="E132" s="38" t="str">
        <f t="shared" si="1"/>
        <v>Nitriansky kraj, &amp;#32celé Slovensko</v>
      </c>
      <c r="F132" s="42" t="s">
        <v>639</v>
      </c>
      <c r="G132" s="38" t="str">
        <f t="shared" si="2"/>
        <v>čistiace a upratovacie služby, dom a záhrada, &amp;#32všetky kategórie</v>
      </c>
      <c r="H132" s="42" t="s">
        <v>53</v>
      </c>
      <c r="I132" s="43" t="str">
        <f t="shared" si="3"/>
        <v>1 - 5, &amp;#32všetky možnosti</v>
      </c>
      <c r="J132" s="44" t="str">
        <f t="shared" si="7"/>
        <v>,,</v>
      </c>
      <c r="K132" s="45">
        <f t="shared" si="5"/>
        <v>38061.993</v>
      </c>
      <c r="L132" s="43"/>
      <c r="M132" s="43" t="str">
        <f>IFERROR(__xludf.DUMMYFUNCTION("SPLIT(O132,"","")"),"Bátovce 2")</f>
        <v>Bátovce 2</v>
      </c>
      <c r="N132" s="43" t="str">
        <f>IFERROR(__xludf.DUMMYFUNCTION("""COMPUTED_VALUE""")," 935 03 Bátovce")</f>
        <v> 935 03 Bátovce</v>
      </c>
      <c r="O132" s="42" t="s">
        <v>1526</v>
      </c>
      <c r="P132" s="43">
        <v>48.2911605</v>
      </c>
      <c r="Q132" s="43">
        <v>18.7450585</v>
      </c>
      <c r="R132" s="56" t="s">
        <v>1527</v>
      </c>
      <c r="S132" s="34" t="s">
        <v>1528</v>
      </c>
      <c r="T132" s="63" t="s">
        <v>86</v>
      </c>
      <c r="U132" s="61" t="s">
        <v>1529</v>
      </c>
      <c r="V132" s="66" t="s">
        <v>1530</v>
      </c>
      <c r="W132" s="55" t="s">
        <v>1531</v>
      </c>
      <c r="X132" s="54" t="s">
        <v>1532</v>
      </c>
      <c r="Y132" s="46" t="s">
        <v>1533</v>
      </c>
      <c r="Z132" s="53" t="s">
        <v>1534</v>
      </c>
      <c r="AA132" s="52" t="s">
        <v>64</v>
      </c>
      <c r="AB132" s="55"/>
      <c r="AC132" s="56"/>
      <c r="AD132" s="56"/>
      <c r="AE132" s="55"/>
      <c r="AF132" s="55"/>
      <c r="AG132" s="56"/>
      <c r="AH132" s="56"/>
      <c r="AI132" s="55"/>
      <c r="AJ132" s="55"/>
      <c r="AK132" s="56"/>
      <c r="AL132" s="56"/>
      <c r="AM132" s="34"/>
      <c r="AN132" s="55"/>
      <c r="AO132" s="64"/>
      <c r="AP132" s="58" t="str">
        <f t="shared" si="6"/>
        <v>Batovske sluzby, s. r. o. cistiace a upratovacie sluzby, dom a zahrada, &amp;#32vsetky kategorie  935 03 Batovce Udrzba verejnych priestranstiev, technicke prace, cistiace prace, reklama . Okrem  zamestnavania znevyhodnenych osob poskytujeme sluzby seniorom a obcanom v nudzi.  Batovske sluzby, s.r.o. Udrzba verejnych priestranstiev,  technicke sluzby, sluzby obcanom ako pilenie dreva, kosenie zahrad, rylovanie, udrzba zelene, cistiace prace... kosenie, rylovanie, pilenie, upratovanie, opilovanie, malovanie, zemne prace...           </v>
      </c>
      <c r="AQ132" s="37"/>
    </row>
    <row r="133" ht="15.75" customHeight="1">
      <c r="A133" s="43"/>
      <c r="B133" s="59">
        <v>140.0</v>
      </c>
      <c r="C133" s="97" t="s">
        <v>1535</v>
      </c>
      <c r="D133" s="41" t="s">
        <v>218</v>
      </c>
      <c r="E133" s="38" t="str">
        <f t="shared" si="1"/>
        <v>Košický kraj, &amp;#32celé Slovensko</v>
      </c>
      <c r="F133" s="42" t="s">
        <v>1536</v>
      </c>
      <c r="G133" s="38" t="str">
        <f t="shared" si="2"/>
        <v>čistiace a upratovacie služby, odevy a obuv, kultúra a šport, bižutéria a darčekové predmety, &amp;#32všetky kategórie</v>
      </c>
      <c r="H133" s="42" t="s">
        <v>53</v>
      </c>
      <c r="I133" s="43" t="str">
        <f t="shared" si="3"/>
        <v>1 - 5, &amp;#32všetky možnosti</v>
      </c>
      <c r="J133" s="44" t="str">
        <f t="shared" si="7"/>
        <v>,,Náhradné plnenie</v>
      </c>
      <c r="K133" s="45">
        <f t="shared" si="5"/>
        <v>26329.59421</v>
      </c>
      <c r="L133" s="43"/>
      <c r="M133" s="43" t="str">
        <f>IFERROR(__xludf.DUMMYFUNCTION("SPLIT(O133,"","")"),"Rejdová 47")</f>
        <v>Rejdová 47</v>
      </c>
      <c r="N133" s="43" t="str">
        <f>IFERROR(__xludf.DUMMYFUNCTION("""COMPUTED_VALUE""")," 049 26 Rejdová")</f>
        <v> 049 26 Rejdová</v>
      </c>
      <c r="O133" s="42" t="s">
        <v>1537</v>
      </c>
      <c r="P133" s="43">
        <v>48.7909838</v>
      </c>
      <c r="Q133" s="43">
        <v>20.2858011</v>
      </c>
      <c r="R133" s="56" t="s">
        <v>1538</v>
      </c>
      <c r="S133" s="34" t="s">
        <v>1539</v>
      </c>
      <c r="T133" s="63" t="s">
        <v>1540</v>
      </c>
      <c r="U133" s="61" t="s">
        <v>1541</v>
      </c>
      <c r="V133" s="50" t="s">
        <v>1542</v>
      </c>
      <c r="W133" s="55" t="s">
        <v>1543</v>
      </c>
      <c r="X133" s="54" t="s">
        <v>1535</v>
      </c>
      <c r="Y133" s="46" t="s">
        <v>1544</v>
      </c>
      <c r="Z133" s="53" t="s">
        <v>1545</v>
      </c>
      <c r="AA133" s="52" t="s">
        <v>64</v>
      </c>
      <c r="AB133" s="55"/>
      <c r="AC133" s="56"/>
      <c r="AD133" s="56"/>
      <c r="AE133" s="55"/>
      <c r="AF133" s="55"/>
      <c r="AG133" s="56"/>
      <c r="AH133" s="56"/>
      <c r="AI133" s="55"/>
      <c r="AJ133" s="55"/>
      <c r="AK133" s="56"/>
      <c r="AL133" s="56"/>
      <c r="AM133" s="34"/>
      <c r="AN133" s="55"/>
      <c r="AO133" s="57" t="s">
        <v>40</v>
      </c>
      <c r="AP133" s="58" t="str">
        <f t="shared" si="6"/>
        <v>Rejdovka s.r.o. cistiace a upratovacie sluzby, odevy a obuv, kultura a sport, bizuteria a darcekove predmety, &amp;#32vsetky kategorie  049 26 Rejdova Hlavnou cinnostou Rejdovky s.r.o. - RSP je sitie krojov a krojovych sucasti, ktore ma v nasej obci dlhorocnu tradiciu. Kroje ponukame predovsetkym folklornym suborom nielen z oblasti Gemera, ale aj celeho Slovenska. Nasimi zakaznikmi su aj jednotlivci - milovnici folkloru, ktori si daju nase produkty vyrobit pre vlastnu potrebu, prip. ako darcek. Okrem kroja ako odevu ponukame aj krojovane babiky, ktorych vyroba je cisto na zakazku podla zelania zakaznika. Pri vyrobe krojov sa snazime dodrzat tradicnu technologiu vyroby - rucna palickovana cipka, rucne vysivanie a pod. Doplnkovymi cinnostami su napr.: oprava odevov, vyroba darcekovych predmetov z textilu, vyroba hackovanych bytovych doplnkov, rucne vysivanych opaskov, motylikov a ine. V pripade zaujmu je mozne zhotovit aj ine textilne vyrobky - napr. postelnu bielizen, obrusy, zastery, nakupne tasky, chnapky a pod. Spolocnost sa zaobera aj upratovacimi sluzbami, ktore poskytuje pre obec. Podnik zamestnava prevazne ludi so zdravotnym postihnutim a inak znevyhodnenych (osamele matky s detmi, prislusnici romskej komunity a pod.). Snazime sa im vytvarat vhodne pracovne podmienky pre ich pracu a zaclenenie do pracovneho prostredia. Zdravotne postihnuti zamestnanci maju k dispozicii aj pracovnych asistentov. Zalozenim nasho RSP sme zaroven uchovali dlhorocnu tradiciu sitia krojov v nasej obci a prispeli sme tak k uchovaniu kulturneho bohatstva nasich predkov. Rejdovka s.r.o. RSP ponuka sitie krojov a krojovych sucasti na zakazku. Kroje sijeme prevazne pre folklorne kolektivy z celeho Slovenska, ale aj pre jednotlivcov, deti a mladez. Taktiez ponukame vyrobu darcekovych predmetov z textilu - tasky, vysivane opasky a motyliky, bavlnene ruska , krojovane babiky a ine. kroje, darcekove predmety, krojovana babika, rusko, taska, vysivany opasok, vysivany motylik, sukna, zastera, lajblik, vysivana vreckovka, palickovana cipka, parta, veniec, upratovanie a ine.           </v>
      </c>
      <c r="AQ133" s="37"/>
    </row>
    <row r="134" ht="15.75" customHeight="1">
      <c r="A134" s="43"/>
      <c r="B134" s="59">
        <v>141.0</v>
      </c>
      <c r="C134" s="97" t="s">
        <v>1546</v>
      </c>
      <c r="D134" s="41" t="s">
        <v>51</v>
      </c>
      <c r="E134" s="38" t="str">
        <f t="shared" si="1"/>
        <v>Prešovský kraj, &amp;#32celé Slovensko</v>
      </c>
      <c r="F134" s="42" t="s">
        <v>1547</v>
      </c>
      <c r="G134" s="38" t="str">
        <f t="shared" si="2"/>
        <v>čistiace a upratovacie služby, poľnohospodárstvo a lesníctvo, stavebníctvo, kultúra a šport, reklama, &amp;#32všetky kategórie</v>
      </c>
      <c r="H134" s="42" t="s">
        <v>170</v>
      </c>
      <c r="I134" s="43" t="str">
        <f t="shared" si="3"/>
        <v>21 a viac, &amp;#32všetky možnosti</v>
      </c>
      <c r="J134" s="44" t="str">
        <f t="shared" si="7"/>
        <v>,Register partnerov VS,Náhradné plnenie</v>
      </c>
      <c r="K134" s="45">
        <f t="shared" si="5"/>
        <v>18125.25615</v>
      </c>
      <c r="L134" s="43"/>
      <c r="M134" s="43" t="str">
        <f>IFERROR(__xludf.DUMMYFUNCTION("SPLIT(O134,"","")"),"Levočská 355/21 ")</f>
        <v>Levočská 355/21 </v>
      </c>
      <c r="N134" s="43" t="str">
        <f>IFERROR(__xludf.DUMMYFUNCTION("""COMPUTED_VALUE""")," 064 01 Stará Ľubovňa")</f>
        <v> 064 01 Stará Ľubovňa</v>
      </c>
      <c r="O134" s="42" t="s">
        <v>1548</v>
      </c>
      <c r="P134" s="43">
        <v>49.2881025</v>
      </c>
      <c r="Q134" s="43">
        <v>20.6902935</v>
      </c>
      <c r="R134" s="56" t="s">
        <v>1549</v>
      </c>
      <c r="S134" s="34" t="s">
        <v>1550</v>
      </c>
      <c r="T134" s="63" t="s">
        <v>1551</v>
      </c>
      <c r="U134" s="61" t="s">
        <v>1552</v>
      </c>
      <c r="V134" s="50" t="s">
        <v>1553</v>
      </c>
      <c r="W134" s="55" t="s">
        <v>1554</v>
      </c>
      <c r="X134" s="54" t="s">
        <v>1555</v>
      </c>
      <c r="Y134" s="46" t="s">
        <v>1556</v>
      </c>
      <c r="Z134" s="53" t="s">
        <v>1557</v>
      </c>
      <c r="AA134" s="52" t="s">
        <v>64</v>
      </c>
      <c r="AB134" s="55"/>
      <c r="AC134" s="56"/>
      <c r="AD134" s="56"/>
      <c r="AE134" s="55"/>
      <c r="AF134" s="55"/>
      <c r="AG134" s="56"/>
      <c r="AH134" s="56"/>
      <c r="AI134" s="55"/>
      <c r="AJ134" s="55"/>
      <c r="AK134" s="56"/>
      <c r="AL134" s="56"/>
      <c r="AM134" s="47"/>
      <c r="AN134" s="62" t="s">
        <v>39</v>
      </c>
      <c r="AO134" s="57" t="s">
        <v>40</v>
      </c>
      <c r="AP134" s="58" t="str">
        <f t="shared" si="6"/>
        <v>Verejnoprospesne sluzby Stara Lubovna, s.r.o. cistiace a upratovacie sluzby, polnohospodarstvo a lesnictvo, stavebnictvo, kultura a sport, reklama, &amp;#32vsetky kategorie  064 01 Stara Lubovna Primarnym zamerom spolocnosti su cinnosti spojene s udrzbou verejnych priestranstiev, poskytovanim jednoduchych a dokoncovacich stavebnych prac, udrzba objektov vo vlastnictve mesta Stara Lubovna, cistenie chodnikov a komunikacii. V buducnosti je zamerom socialneho podniku poskytovanie cinnosti v oblasti vydavatelskej cinnosti. Poskytujeme sluzby na podporu zamestnanosti, a to zamestnavanim znevyhodnenych a zranitelnych osob. Verejnoprospesne sluzby Stara Lubovna, s. r. o. Udrzba verejnej zelene a zimna udrzba chodnikov, kosenie verejnych priestranstiev, starostlivost o zelen, kosenie a hrabanie travy a listia, strihanie zivych plotov, orezavanie stromov, drobne stavebne upravy. Uskutocnovanie stavieb a ich zmien,  Pripravne prace k realizacii stavby, verejne obstaravanie, sluzby suvisiace s produkciou filmov, videozaznamov a zvukovych nahravok, kosenie verejnych priestranstiev           Register partnerov VS</v>
      </c>
      <c r="AQ134" s="37"/>
    </row>
    <row r="135" ht="15.75" customHeight="1">
      <c r="A135" s="43"/>
      <c r="B135" s="59">
        <v>142.0</v>
      </c>
      <c r="C135" s="97" t="s">
        <v>1558</v>
      </c>
      <c r="D135" s="41" t="s">
        <v>94</v>
      </c>
      <c r="E135" s="38" t="str">
        <f t="shared" si="1"/>
        <v>Bratislavský kraj, &amp;#32celé Slovensko</v>
      </c>
      <c r="F135" s="42" t="s">
        <v>1009</v>
      </c>
      <c r="G135" s="38" t="str">
        <f t="shared" si="2"/>
        <v>stavebníctvo, &amp;#32všetky kategórie</v>
      </c>
      <c r="H135" s="42" t="s">
        <v>53</v>
      </c>
      <c r="I135" s="43" t="str">
        <f t="shared" si="3"/>
        <v>1 - 5, &amp;#32všetky možnosti</v>
      </c>
      <c r="J135" s="44" t="str">
        <f t="shared" si="7"/>
        <v>,Register partnerov VS,</v>
      </c>
      <c r="K135" s="45">
        <f t="shared" si="5"/>
        <v>29378.25719</v>
      </c>
      <c r="L135" s="43"/>
      <c r="M135" s="43" t="str">
        <f>IFERROR(__xludf.DUMMYFUNCTION("SPLIT(O135,"","")"),"Mudroňova 1751/64")</f>
        <v>Mudroňova 1751/64</v>
      </c>
      <c r="N135" s="43" t="str">
        <f>IFERROR(__xludf.DUMMYFUNCTION("""COMPUTED_VALUE""")," 811 03 Bratislava")</f>
        <v> 811 03 Bratislava</v>
      </c>
      <c r="O135" s="42" t="s">
        <v>1559</v>
      </c>
      <c r="P135" s="43">
        <v>48.1478083</v>
      </c>
      <c r="Q135" s="43">
        <v>17.0893462</v>
      </c>
      <c r="R135" s="56" t="s">
        <v>1560</v>
      </c>
      <c r="S135" s="34" t="s">
        <v>1315</v>
      </c>
      <c r="T135" s="63" t="s">
        <v>86</v>
      </c>
      <c r="U135" s="61" t="s">
        <v>1561</v>
      </c>
      <c r="V135" s="66" t="s">
        <v>1562</v>
      </c>
      <c r="W135" s="55" t="s">
        <v>1563</v>
      </c>
      <c r="X135" s="54" t="s">
        <v>1558</v>
      </c>
      <c r="Y135" s="46" t="s">
        <v>1560</v>
      </c>
      <c r="Z135" s="53" t="s">
        <v>1564</v>
      </c>
      <c r="AA135" s="52" t="s">
        <v>64</v>
      </c>
      <c r="AB135" s="55"/>
      <c r="AC135" s="56"/>
      <c r="AD135" s="56"/>
      <c r="AE135" s="55"/>
      <c r="AF135" s="55"/>
      <c r="AG135" s="56"/>
      <c r="AH135" s="56"/>
      <c r="AI135" s="55"/>
      <c r="AJ135" s="55"/>
      <c r="AK135" s="56"/>
      <c r="AL135" s="56"/>
      <c r="AM135" s="47"/>
      <c r="AN135" s="62" t="s">
        <v>39</v>
      </c>
      <c r="AO135" s="64"/>
      <c r="AP135" s="58" t="str">
        <f t="shared" si="6"/>
        <v>Alfageo s. r. o. stavebnictvo, &amp;#32vsetky kategorie  811 03 Bratislava Geodezia, kartografia, geoinformatika. Zamestnavanim znevyhodnenych a zranitelnych osob. Alfageo s. r. o. Geodezia, kartografia, geoinformatika. geodezia, kartografia, geoinformatika, digitalne technicke mapy, GIS, geometricke plany, vytycovanie pozemkov, pozemkove upravy, evidencia pozemkov           Register partnerov VS</v>
      </c>
      <c r="AQ135" s="37"/>
    </row>
    <row r="136" ht="15.75" customHeight="1">
      <c r="A136" s="43"/>
      <c r="B136" s="59">
        <v>143.0</v>
      </c>
      <c r="C136" s="75" t="s">
        <v>1565</v>
      </c>
      <c r="D136" s="41" t="s">
        <v>181</v>
      </c>
      <c r="E136" s="38" t="str">
        <f t="shared" si="1"/>
        <v>Banskobystrický kraj, &amp;#32celé Slovensko</v>
      </c>
      <c r="F136" s="42" t="s">
        <v>244</v>
      </c>
      <c r="G136" s="38" t="str">
        <f t="shared" si="2"/>
        <v>potraviny a nápoje, &amp;#32všetky kategórie</v>
      </c>
      <c r="H136" s="42" t="s">
        <v>96</v>
      </c>
      <c r="I136" s="43" t="str">
        <f t="shared" si="3"/>
        <v>6 - 10, &amp;#32všetky možnosti</v>
      </c>
      <c r="J136" s="44" t="str">
        <f t="shared" si="7"/>
        <v>,,</v>
      </c>
      <c r="K136" s="45">
        <f t="shared" si="5"/>
        <v>2403.924151</v>
      </c>
      <c r="L136" s="43"/>
      <c r="M136" s="43" t="str">
        <f>IFERROR(__xludf.DUMMYFUNCTION("SPLIT(O136,"","")"),"Krné 125")</f>
        <v>Krné 125</v>
      </c>
      <c r="N136" s="43" t="str">
        <f>IFERROR(__xludf.DUMMYFUNCTION("""COMPUTED_VALUE""")," 962 12 Detva")</f>
        <v> 962 12 Detva</v>
      </c>
      <c r="O136" s="42" t="s">
        <v>1566</v>
      </c>
      <c r="P136" s="43">
        <v>48.5374476</v>
      </c>
      <c r="Q136" s="43">
        <v>19.3907147</v>
      </c>
      <c r="R136" s="56" t="s">
        <v>1567</v>
      </c>
      <c r="S136" s="69" t="s">
        <v>1568</v>
      </c>
      <c r="T136" s="70" t="s">
        <v>86</v>
      </c>
      <c r="U136" s="61" t="s">
        <v>1569</v>
      </c>
      <c r="V136" s="50" t="s">
        <v>1570</v>
      </c>
      <c r="W136" s="55" t="s">
        <v>1571</v>
      </c>
      <c r="X136" s="71" t="s">
        <v>1572</v>
      </c>
      <c r="Y136" s="72" t="s">
        <v>1573</v>
      </c>
      <c r="Z136" s="53" t="s">
        <v>1574</v>
      </c>
      <c r="AA136" s="52" t="s">
        <v>64</v>
      </c>
      <c r="AB136" s="55"/>
      <c r="AC136" s="56"/>
      <c r="AD136" s="56"/>
      <c r="AE136" s="55"/>
      <c r="AF136" s="55"/>
      <c r="AG136" s="56"/>
      <c r="AH136" s="56"/>
      <c r="AI136" s="55"/>
      <c r="AJ136" s="55"/>
      <c r="AK136" s="56"/>
      <c r="AL136" s="56"/>
      <c r="AM136" s="34"/>
      <c r="AN136" s="55"/>
      <c r="AO136" s="64"/>
      <c r="AP136" s="58" t="str">
        <f t="shared" si="6"/>
        <v>PEKAREN U BORIAKOV s. r. o. potraviny a napoje, &amp;#32vsetky kategorie  962 12 Detva Vyrabame celozrnny chlieb a domace tahane strudle podla receptov starych mam. Nasimi zakaznikmi su restauracie, hotely a vsetci, ktori si chcu v ramci roznych prilezitosti pochutnat na dobrej strudli. V nasom podniku zamestnavame styroch ZTP zamestnancov. PEKAREN U BORIAKOV s.r.o. rsp Pecenie celozrnneho chleba a strudli podla starych mam. Celozrnne chlebicky, strudle podla starych mam, tradicne kolace, domaci chlieb, celozrnny chlieb           </v>
      </c>
      <c r="AQ136" s="37"/>
    </row>
    <row r="137" ht="15.75" customHeight="1">
      <c r="A137" s="43"/>
      <c r="B137" s="59">
        <v>144.0</v>
      </c>
      <c r="C137" s="97" t="s">
        <v>1575</v>
      </c>
      <c r="D137" s="41" t="s">
        <v>66</v>
      </c>
      <c r="E137" s="38" t="str">
        <f t="shared" si="1"/>
        <v>Žilinský kraj, &amp;#32celé Slovensko</v>
      </c>
      <c r="F137" s="42" t="s">
        <v>1576</v>
      </c>
      <c r="G137" s="38" t="str">
        <f t="shared" si="2"/>
        <v>odpady a recyklácia , &amp;#32všetky kategórie</v>
      </c>
      <c r="H137" s="42" t="s">
        <v>96</v>
      </c>
      <c r="I137" s="43" t="str">
        <f t="shared" si="3"/>
        <v>6 - 10, &amp;#32všetky možnosti</v>
      </c>
      <c r="J137" s="44" t="str">
        <f t="shared" si="7"/>
        <v>,Register partnerov VS,</v>
      </c>
      <c r="K137" s="45">
        <f t="shared" si="5"/>
        <v>11951.17232</v>
      </c>
      <c r="L137" s="43"/>
      <c r="M137" s="43" t="str">
        <f>IFERROR(__xludf.DUMMYFUNCTION("SPLIT(O137,"","")"),"Breza 56")</f>
        <v>Breza 56</v>
      </c>
      <c r="N137" s="43" t="str">
        <f>IFERROR(__xludf.DUMMYFUNCTION("""COMPUTED_VALUE""")," 029 53 Breza")</f>
        <v> 029 53 Breza</v>
      </c>
      <c r="O137" s="42" t="s">
        <v>1577</v>
      </c>
      <c r="P137" s="43">
        <v>49.3875152</v>
      </c>
      <c r="Q137" s="43">
        <v>19.384998</v>
      </c>
      <c r="R137" s="56" t="s">
        <v>1578</v>
      </c>
      <c r="S137" s="69" t="s">
        <v>1579</v>
      </c>
      <c r="T137" s="70" t="s">
        <v>1580</v>
      </c>
      <c r="U137" s="61" t="s">
        <v>1581</v>
      </c>
      <c r="V137" s="66" t="s">
        <v>1582</v>
      </c>
      <c r="W137" s="55" t="s">
        <v>1583</v>
      </c>
      <c r="X137" s="54" t="s">
        <v>1584</v>
      </c>
      <c r="Y137" s="46" t="s">
        <v>1585</v>
      </c>
      <c r="Z137" s="53" t="s">
        <v>1586</v>
      </c>
      <c r="AA137" s="52" t="s">
        <v>64</v>
      </c>
      <c r="AB137" s="55"/>
      <c r="AC137" s="56"/>
      <c r="AD137" s="56"/>
      <c r="AE137" s="55"/>
      <c r="AF137" s="55"/>
      <c r="AG137" s="56"/>
      <c r="AH137" s="56"/>
      <c r="AI137" s="55"/>
      <c r="AJ137" s="55"/>
      <c r="AK137" s="56"/>
      <c r="AL137" s="56"/>
      <c r="AM137" s="47"/>
      <c r="AN137" s="62" t="s">
        <v>39</v>
      </c>
      <c r="AO137" s="64"/>
      <c r="AP137" s="58" t="str">
        <f t="shared" si="6"/>
        <v>ZZPOBO, s.r.o. odpady a recyklacia , &amp;#32vsetky kategorie  029 53 Breza Spolocnost ZZPOBO s.r.o., r. s. p. bola zalozena za ucelom podnikania v nasledovnych oblastiach: podnikanie v oblasti nakladania s inym ako nebezpecnym odpadom,
dokoncovacie stavebne prace pri realizacii exterierov a interierov, sprostredkovatelska cinnost v oblasti obchodu, sluzieb a vyroby, kupa tovaru na ucely jeho predaja konecnemu spotrebitelovi (maloobchod) alebo inym prevadzkovatelom zivnosti (velkoobchod), cistiace a upratovacie sluzby, administrativne sluzby.
 Zamestnavame znevyhodnene osoby, a to vo vyske 100 % zamestnancov. Podnik ZZPOBO s.r.o., r. s. p. je definovany ako prepojeny podnik so Zaujmovym zdruzenim Biela Orava, pre vsestranny rozvoj obci a regionu Biela Orava (dalej ako Zdruzenie). Zdruzenie ma udeleny suhlas na prevadzkovanie zariadenia na zber odpadov. Zberny dvor sa aktualne nachadza v priestoroch, ktore ma Zdruzenie v prenajme od vlastnika tychto priestorov. Sluzby, ktore Zdruzenie poskytuje, spocivaju v zbere odpadu z obci z regionu Biela Orava a jeho naslednom triedeni . Areal PD Breza Triedenie separovaneho odpadu a lisovanie plastov. triedenie odpadov, odpadove hospodarstvo, zber odpadu, vyvoz odpadu           Register partnerov VS</v>
      </c>
      <c r="AQ137" s="37"/>
    </row>
    <row r="138" ht="15.75" customHeight="1">
      <c r="A138" s="43"/>
      <c r="B138" s="59">
        <v>145.0</v>
      </c>
      <c r="C138" s="97" t="s">
        <v>1587</v>
      </c>
      <c r="D138" s="41" t="s">
        <v>134</v>
      </c>
      <c r="E138" s="38" t="str">
        <f t="shared" si="1"/>
        <v>Trenčiansky kraj, &amp;#32celé Slovensko</v>
      </c>
      <c r="F138" s="42" t="s">
        <v>1588</v>
      </c>
      <c r="G138" s="38" t="str">
        <f t="shared" si="2"/>
        <v>doprava, cestovný ruch, kultúra a šport, krása-zdravie-relax, pre deti, &amp;#32všetky kategórie</v>
      </c>
      <c r="H138" s="42" t="s">
        <v>68</v>
      </c>
      <c r="I138" s="43" t="str">
        <f t="shared" si="3"/>
        <v>16 - 20, &amp;#32všetky možnosti</v>
      </c>
      <c r="J138" s="44" t="str">
        <f t="shared" si="7"/>
        <v>,Register partnerov VS,</v>
      </c>
      <c r="K138" s="45">
        <f t="shared" si="5"/>
        <v>7197.191041</v>
      </c>
      <c r="L138" s="43"/>
      <c r="M138" s="43" t="str">
        <f>IFERROR(__xludf.DUMMYFUNCTION("SPLIT(O138,"","")"),"Partizánska 297/17")</f>
        <v>Partizánska 297/17</v>
      </c>
      <c r="N138" s="43" t="str">
        <f>IFERROR(__xludf.DUMMYFUNCTION("""COMPUTED_VALUE""")," 972 71 Nováky ")</f>
        <v> 972 71 Nováky </v>
      </c>
      <c r="O138" s="42" t="s">
        <v>1589</v>
      </c>
      <c r="P138" s="43">
        <v>48.7212754</v>
      </c>
      <c r="Q138" s="43">
        <v>18.5382067</v>
      </c>
      <c r="R138" s="56" t="s">
        <v>1590</v>
      </c>
      <c r="S138" s="34" t="s">
        <v>1591</v>
      </c>
      <c r="T138" s="63" t="s">
        <v>1592</v>
      </c>
      <c r="U138" s="61" t="s">
        <v>1593</v>
      </c>
      <c r="V138" s="50" t="s">
        <v>1594</v>
      </c>
      <c r="W138" s="55" t="s">
        <v>1595</v>
      </c>
      <c r="X138" s="54" t="s">
        <v>1596</v>
      </c>
      <c r="Y138" s="46" t="s">
        <v>1597</v>
      </c>
      <c r="Z138" s="53" t="s">
        <v>1598</v>
      </c>
      <c r="AA138" s="52" t="s">
        <v>64</v>
      </c>
      <c r="AB138" s="55"/>
      <c r="AC138" s="56"/>
      <c r="AD138" s="56"/>
      <c r="AE138" s="55"/>
      <c r="AF138" s="55"/>
      <c r="AG138" s="56"/>
      <c r="AH138" s="56"/>
      <c r="AI138" s="55"/>
      <c r="AJ138" s="55"/>
      <c r="AK138" s="56"/>
      <c r="AL138" s="56"/>
      <c r="AM138" s="47"/>
      <c r="AN138" s="62" t="s">
        <v>39</v>
      </c>
      <c r="AO138" s="64"/>
      <c r="AP138" s="58" t="str">
        <f t="shared" si="6"/>
        <v>BoGo bus s.r.o. doprava, cestovny ruch, kultura a sport, krasa-zdravie-relax, pre deti, &amp;#32vsetky kategorie  972 71 Novaky  Autobusova preprava osob, sluzby pre siroku verejnost v oblasti plavania. Regionalny rozvoj a zamestnanost. BoGo bus Autobusova preprava osob, poskytovanie sluzieb verejnosti v oblasti plavania. plavanie, autobus, relax, regeneracia, zajazdy           Register partnerov VS</v>
      </c>
      <c r="AQ138" s="37"/>
    </row>
    <row r="139" ht="15.75" customHeight="1">
      <c r="A139" s="43"/>
      <c r="B139" s="59">
        <v>146.0</v>
      </c>
      <c r="C139" s="97" t="s">
        <v>1599</v>
      </c>
      <c r="D139" s="41" t="s">
        <v>229</v>
      </c>
      <c r="E139" s="38" t="str">
        <f t="shared" si="1"/>
        <v>Nitriansky kraj, &amp;#32celé Slovensko</v>
      </c>
      <c r="F139" s="42" t="s">
        <v>1009</v>
      </c>
      <c r="G139" s="38" t="str">
        <f t="shared" si="2"/>
        <v>stavebníctvo, &amp;#32všetky kategórie</v>
      </c>
      <c r="H139" s="42" t="s">
        <v>53</v>
      </c>
      <c r="I139" s="43" t="str">
        <f t="shared" si="3"/>
        <v>1 - 5, &amp;#32všetky možnosti</v>
      </c>
      <c r="J139" s="44" t="str">
        <f t="shared" si="7"/>
        <v>,,</v>
      </c>
      <c r="K139" s="45">
        <f t="shared" si="5"/>
        <v>30589.96408</v>
      </c>
      <c r="L139" s="43"/>
      <c r="M139" s="43" t="str">
        <f>IFERROR(__xludf.DUMMYFUNCTION("SPLIT(O139,"","")"),"Kpt. Nálepku 444/18")</f>
        <v>Kpt. Nálepku 444/18</v>
      </c>
      <c r="N139" s="43" t="str">
        <f>IFERROR(__xludf.DUMMYFUNCTION("""COMPUTED_VALUE""")," 935 32 Kalná nad Hronom ")</f>
        <v> 935 32 Kalná nad Hronom </v>
      </c>
      <c r="O139" s="42" t="s">
        <v>1600</v>
      </c>
      <c r="P139" s="43">
        <v>48.2096885</v>
      </c>
      <c r="Q139" s="43">
        <v>18.5194485</v>
      </c>
      <c r="R139" s="56" t="s">
        <v>1601</v>
      </c>
      <c r="S139" s="34" t="s">
        <v>1602</v>
      </c>
      <c r="T139" s="63" t="s">
        <v>86</v>
      </c>
      <c r="U139" s="61" t="s">
        <v>1603</v>
      </c>
      <c r="V139" s="50" t="s">
        <v>1604</v>
      </c>
      <c r="W139" s="55" t="s">
        <v>1605</v>
      </c>
      <c r="X139" s="54" t="s">
        <v>1606</v>
      </c>
      <c r="Y139" s="46" t="s">
        <v>309</v>
      </c>
      <c r="Z139" s="53" t="s">
        <v>1607</v>
      </c>
      <c r="AA139" s="52" t="s">
        <v>64</v>
      </c>
      <c r="AB139" s="55"/>
      <c r="AC139" s="56"/>
      <c r="AD139" s="56"/>
      <c r="AE139" s="55"/>
      <c r="AF139" s="55"/>
      <c r="AG139" s="56"/>
      <c r="AH139" s="56"/>
      <c r="AI139" s="55"/>
      <c r="AJ139" s="55"/>
      <c r="AK139" s="56"/>
      <c r="AL139" s="56"/>
      <c r="AM139" s="34"/>
      <c r="AN139" s="55"/>
      <c r="AO139" s="64"/>
      <c r="AP139" s="58" t="str">
        <f t="shared" si="6"/>
        <v>HaSlox s. r. o. stavebnictvo, &amp;#32vsetky kategorie  935 32 Kalna nad Hronom  Hlavnou hospodarskou cinnostou spolocnosti HaSlox s.r.o. je stavebna cinnost, vyroba a predaj typizovanych nizkoenergetickych murovanych stavieb a drevostavieb, ktore budu svojimi parametrami vhodne k vyuzitiu ako socialne a startovacie byty, ktorych je na Slovensku stale nedostatok. 
Vedlajsimi vyrobnymi cinnostami spolocnosti su drobne vyrobky z dreva: altanky, vtacie budky, vcelie ule, rozny mobiliar pre samospravy a ine drobne vyrobky z dreva
 Zamestnavanie znevyhodnenych a zranitelnych osob. HaSlox s.r.o. Stavebna cinnost domy, drevostavby, drevovyroba, stavebna cinnost, nizkoenergeticke domy, drevodomy           </v>
      </c>
      <c r="AQ139" s="37"/>
    </row>
    <row r="140" ht="15.75" customHeight="1">
      <c r="A140" s="43"/>
      <c r="B140" s="59">
        <v>147.0</v>
      </c>
      <c r="C140" s="97" t="s">
        <v>1608</v>
      </c>
      <c r="D140" s="41" t="s">
        <v>51</v>
      </c>
      <c r="E140" s="38" t="str">
        <f t="shared" si="1"/>
        <v>Prešovský kraj, &amp;#32celé Slovensko</v>
      </c>
      <c r="F140" s="42" t="s">
        <v>1609</v>
      </c>
      <c r="G140" s="38" t="str">
        <f t="shared" si="2"/>
        <v>čistiace a upratovacie služby, poľnohospodárstvo a lesníctvo, stavebníctvo, ubytovacie a stravovacie služby, dom a záhrada, cestovný ruch, &amp;#32všetky kategórie</v>
      </c>
      <c r="H140" s="42" t="s">
        <v>68</v>
      </c>
      <c r="I140" s="43" t="str">
        <f t="shared" si="3"/>
        <v>16 - 20, &amp;#32všetky možnosti</v>
      </c>
      <c r="J140" s="44" t="str">
        <f t="shared" si="7"/>
        <v>,Register partnerov VS,</v>
      </c>
      <c r="K140" s="45">
        <f t="shared" si="5"/>
        <v>7542.169192</v>
      </c>
      <c r="L140" s="43"/>
      <c r="M140" s="43" t="str">
        <f>IFERROR(__xludf.DUMMYFUNCTION("SPLIT(O140,"","")"),"Obrancov mieru 454/3")</f>
        <v>Obrancov mieru 454/3</v>
      </c>
      <c r="N140" s="43" t="str">
        <f>IFERROR(__xludf.DUMMYFUNCTION("""COMPUTED_VALUE""")," 059 34 Spišská Teplica ")</f>
        <v> 059 34 Spišská Teplica </v>
      </c>
      <c r="O140" s="42" t="s">
        <v>1610</v>
      </c>
      <c r="P140" s="43">
        <v>49.0466357</v>
      </c>
      <c r="Q140" s="43">
        <v>20.2488261</v>
      </c>
      <c r="R140" s="56" t="s">
        <v>1611</v>
      </c>
      <c r="S140" s="34" t="s">
        <v>1612</v>
      </c>
      <c r="T140" s="63" t="s">
        <v>1613</v>
      </c>
      <c r="U140" s="61" t="s">
        <v>1614</v>
      </c>
      <c r="V140" s="50" t="s">
        <v>1615</v>
      </c>
      <c r="W140" s="55" t="s">
        <v>1616</v>
      </c>
      <c r="X140" s="54" t="s">
        <v>1617</v>
      </c>
      <c r="Y140" s="46" t="s">
        <v>1618</v>
      </c>
      <c r="Z140" s="53" t="s">
        <v>1619</v>
      </c>
      <c r="AA140" s="52" t="s">
        <v>64</v>
      </c>
      <c r="AB140" s="55"/>
      <c r="AC140" s="56"/>
      <c r="AD140" s="56"/>
      <c r="AE140" s="55"/>
      <c r="AF140" s="55"/>
      <c r="AG140" s="56"/>
      <c r="AH140" s="56"/>
      <c r="AI140" s="55"/>
      <c r="AJ140" s="55"/>
      <c r="AK140" s="56"/>
      <c r="AL140" s="56"/>
      <c r="AM140" s="47"/>
      <c r="AN140" s="62" t="s">
        <v>39</v>
      </c>
      <c r="AO140" s="64"/>
      <c r="AP140" s="58" t="str">
        <f t="shared" si="6"/>
        <v>Obecne sluzby Spisska Teplica s.r.o. cistiace a upratovacie sluzby, polnohospodarstvo a lesnictvo, stavebnictvo, ubytovacie a stravovacie sluzby, dom a zahrada, cestovny ruch, &amp;#32vsetky kategorie  059 34 Spisska Teplica  Obecny podnik vykonava stavebne prace - v obci sme vdaka nemu vybudovali cyklochodnik, opravili a pristavili sme hasicsku zbrojnicu, postavili nove komunitne centrum, vybudovali sme regulaciu miestneho potoka, opravili cesty a chodniky, zrekonstruovali cast materskej skoly, zrekonstruovali oplotenie cintorina. Nas podnik sa venuje aj pohostinskej cinnosti, ked prevadzkuje miestnu restauraciu Zvoncek. V jej priestoroch je mozne organizovanie oslav, svadieb a inych spolocenskych akcii s kapacitou do 120 ludi. Naplnou prace je aj udrzba zelene - kosenie a zber travy, stiepkovanie konarov, orez a vyrub stromov. V ramci firmy vykonavame taktiez vykopove a zemne prace, upratovacie prace, prevadzkujeme zahradnictvo s kvetinarstvom. Zamestnavanie znevyhodnenych miestnych obyvatelov, zlepsovanie ich pracovnych navykov a zrucnosti, vyuzivanie miestnych zdrojov, priprava a rozvoz stravy pre seniorov v obci za zvyhodnene ceny, prevadzkovanie jedinej gastroprevadzky v obci, podpora miestnej ekonomiky Restauracia Zvoncek Ponukame denne menu, vyber zo 7 jedal podla aktualnej ponuky. Chutne jedlo, prijemna a dobra lokalita, mila obsluha a primerane ceny. Platba stravnymi listkami, platobnou kartou alebo hotovostou. Restauracia, Zvoncek, denne menu, obedove menu, oslavy, svadby, akcie, donaska stravy, rozvoz stravy pre seniorov, zahrada, kvety, vyrub stromov, orez, stiepkovanie, stavebne prace, udrzba zelene           Register partnerov VS</v>
      </c>
      <c r="AQ140" s="37"/>
    </row>
    <row r="141" ht="15.75" customHeight="1">
      <c r="A141" s="43"/>
      <c r="B141" s="59">
        <v>148.0</v>
      </c>
      <c r="C141" s="75" t="s">
        <v>1620</v>
      </c>
      <c r="D141" s="42" t="s">
        <v>181</v>
      </c>
      <c r="E141" s="38" t="str">
        <f t="shared" si="1"/>
        <v>Banskobystrický kraj, &amp;#32celé Slovensko</v>
      </c>
      <c r="F141" s="42" t="s">
        <v>1621</v>
      </c>
      <c r="G141" s="38" t="str">
        <f t="shared" si="2"/>
        <v>čistiace a upratovacie služby, poľnohospodárstvo a lesníctvo, dom a záhrada, stavebníctvo, odpady a recyklácia, &amp;#32všetky kategórie</v>
      </c>
      <c r="H141" s="42" t="s">
        <v>82</v>
      </c>
      <c r="I141" s="43" t="str">
        <f t="shared" si="3"/>
        <v>11 - 15, &amp;#32všetky možnosti</v>
      </c>
      <c r="J141" s="44" t="str">
        <f t="shared" si="7"/>
        <v>,Register partnerov VS,Náhradné plnenie</v>
      </c>
      <c r="K141" s="45">
        <f t="shared" si="5"/>
        <v>14448.16374</v>
      </c>
      <c r="L141" s="43"/>
      <c r="M141" s="43" t="str">
        <f>IFERROR(__xludf.DUMMYFUNCTION("SPLIT(O141,"","")"),"Štefana Moyzesa 2")</f>
        <v>Štefana Moyzesa 2</v>
      </c>
      <c r="N141" s="43" t="str">
        <f>IFERROR(__xludf.DUMMYFUNCTION("""COMPUTED_VALUE""")," 969 01 Banská Štiavnica")</f>
        <v> 969 01 Banská Štiavnica</v>
      </c>
      <c r="O141" s="42" t="s">
        <v>1622</v>
      </c>
      <c r="P141" s="43">
        <v>48.4380798</v>
      </c>
      <c r="Q141" s="43">
        <v>18.8943457</v>
      </c>
      <c r="R141" s="56" t="s">
        <v>1623</v>
      </c>
      <c r="S141" s="34" t="s">
        <v>1624</v>
      </c>
      <c r="T141" s="98" t="s">
        <v>86</v>
      </c>
      <c r="U141" s="61" t="s">
        <v>1625</v>
      </c>
      <c r="V141" s="50" t="s">
        <v>1626</v>
      </c>
      <c r="W141" s="55" t="s">
        <v>1627</v>
      </c>
      <c r="X141" s="54" t="s">
        <v>1628</v>
      </c>
      <c r="Y141" s="46" t="s">
        <v>1629</v>
      </c>
      <c r="Z141" s="53" t="s">
        <v>1630</v>
      </c>
      <c r="AA141" s="52" t="s">
        <v>64</v>
      </c>
      <c r="AB141" s="55"/>
      <c r="AC141" s="56"/>
      <c r="AD141" s="56"/>
      <c r="AE141" s="55"/>
      <c r="AF141" s="55"/>
      <c r="AG141" s="56"/>
      <c r="AH141" s="56"/>
      <c r="AI141" s="55"/>
      <c r="AJ141" s="55"/>
      <c r="AK141" s="56"/>
      <c r="AL141" s="56"/>
      <c r="AM141" s="47"/>
      <c r="AN141" s="62" t="s">
        <v>39</v>
      </c>
      <c r="AO141" s="57" t="s">
        <v>40</v>
      </c>
      <c r="AP141" s="58" t="str">
        <f t="shared" si="6"/>
        <v>PE BONUM s. r. o. cistiace a upratovacie sluzby, polnohospodarstvo a lesnictvo, dom a zahrada, stavebnictvo, odpady a recyklacia, &amp;#32vsetky kategorie  969 01 Banska Stiavnica Stavebne prace (opravy bytov, kompetne stavebne realizacie, oplocovanie pozemkov, stavba murov, kladenie zamkovej dlazby), maliarske a natieracske prace, zimna a letna udrzba pozemkov, vyroba sindla, upratovacie sluzby, cistenie zump a likvidacia odpadovych vod, triedenie materialov a ukladanie materialov na palety, drobne reklamne predmety. Zamestnavanie znevyhodnenych zamestnancov PE BONUM s. r. o., r.s.p. Stavebna vyroba, zimna a letna udrzba pozemkov, maliarske a natieracske prace, vyroba sindlov. stavba, malovanie, kosenie, sindle, upratovanie, triedenie, reklamne predmety           Register partnerov VS</v>
      </c>
      <c r="AQ141" s="37"/>
    </row>
    <row r="142" ht="15.75" customHeight="1">
      <c r="A142" s="43"/>
      <c r="B142" s="59">
        <v>149.0</v>
      </c>
      <c r="C142" s="75" t="s">
        <v>1631</v>
      </c>
      <c r="D142" s="42" t="s">
        <v>66</v>
      </c>
      <c r="E142" s="38" t="str">
        <f t="shared" si="1"/>
        <v>Žilinský kraj, &amp;#32celé Slovensko</v>
      </c>
      <c r="F142" s="42" t="s">
        <v>1632</v>
      </c>
      <c r="G142" s="38" t="str">
        <f t="shared" si="2"/>
        <v>krása-zdravie-relax, odevy a obuv, pre deti, bižutéria a darčekové predmety, &amp;#32všetky kategórie</v>
      </c>
      <c r="H142" s="42" t="s">
        <v>53</v>
      </c>
      <c r="I142" s="43" t="str">
        <f t="shared" si="3"/>
        <v>1 - 5, &amp;#32všetky možnosti</v>
      </c>
      <c r="J142" s="44" t="str">
        <f t="shared" si="7"/>
        <v>,,</v>
      </c>
      <c r="K142" s="45">
        <f t="shared" si="5"/>
        <v>24425.70415</v>
      </c>
      <c r="L142" s="43"/>
      <c r="M142" s="43" t="str">
        <f>IFERROR(__xludf.DUMMYFUNCTION("SPLIT(O142,"","")"),"Hrdinov SNP 6")</f>
        <v>Hrdinov SNP 6</v>
      </c>
      <c r="N142" s="43" t="str">
        <f>IFERROR(__xludf.DUMMYFUNCTION("""COMPUTED_VALUE""")," 036 01 Martin ")</f>
        <v> 036 01 Martin </v>
      </c>
      <c r="O142" s="42" t="s">
        <v>1633</v>
      </c>
      <c r="P142" s="43">
        <v>49.0740393</v>
      </c>
      <c r="Q142" s="43">
        <v>18.9095928</v>
      </c>
      <c r="R142" s="56" t="s">
        <v>1634</v>
      </c>
      <c r="S142" s="34" t="s">
        <v>1635</v>
      </c>
      <c r="T142" s="63" t="s">
        <v>86</v>
      </c>
      <c r="U142" s="61" t="s">
        <v>1636</v>
      </c>
      <c r="V142" s="50" t="s">
        <v>1637</v>
      </c>
      <c r="W142" s="55" t="s">
        <v>1638</v>
      </c>
      <c r="X142" s="54" t="s">
        <v>1639</v>
      </c>
      <c r="Y142" s="46" t="s">
        <v>1640</v>
      </c>
      <c r="Z142" s="53" t="s">
        <v>1641</v>
      </c>
      <c r="AA142" s="52" t="s">
        <v>64</v>
      </c>
      <c r="AB142" s="55"/>
      <c r="AC142" s="56"/>
      <c r="AD142" s="56"/>
      <c r="AE142" s="55"/>
      <c r="AF142" s="55"/>
      <c r="AG142" s="56"/>
      <c r="AH142" s="56"/>
      <c r="AI142" s="55"/>
      <c r="AJ142" s="55"/>
      <c r="AK142" s="56"/>
      <c r="AL142" s="56"/>
      <c r="AM142" s="34"/>
      <c r="AN142" s="55"/>
      <c r="AO142" s="64"/>
      <c r="AP142" s="58" t="str">
        <f t="shared" si="6"/>
        <v>LASY, s. r. o. krasa-zdravie-relax, odevy a obuv, pre deti, bizuteria a darcekove predmety, &amp;#32vsetky kategorie  036 01 Martin  Rucne vyrabane darcekove predmety ako su sviecky, malovane hrnceky, plienkove torty, darcekove sety, strikovane produkty, rucne vyrabane sperky a rozne ine darcekove predmety. Pomahame uplatnit sa na trhu prace hendikepovanym a zranitelnym osobam. Maloobchod a velkoobchod s darcekovymi predmetmi Vyroba, nakup a predaj darcekovych predmetov. sviecky, hrnceky, vankuse, tricka, smaltovane cedule, kozmeticke sady, caje, darcekova kava, hry, hracky, pivne darceky, sperky, bizuteria           </v>
      </c>
      <c r="AQ142" s="37"/>
    </row>
    <row r="143" ht="15.75" customHeight="1">
      <c r="A143" s="43"/>
      <c r="B143" s="59">
        <v>150.0</v>
      </c>
      <c r="C143" s="75" t="s">
        <v>1642</v>
      </c>
      <c r="D143" s="42" t="s">
        <v>66</v>
      </c>
      <c r="E143" s="38" t="str">
        <f t="shared" si="1"/>
        <v>Žilinský kraj, &amp;#32celé Slovensko</v>
      </c>
      <c r="F143" s="42" t="s">
        <v>1009</v>
      </c>
      <c r="G143" s="38" t="str">
        <f t="shared" si="2"/>
        <v>stavebníctvo, &amp;#32všetky kategórie</v>
      </c>
      <c r="H143" s="42" t="s">
        <v>68</v>
      </c>
      <c r="I143" s="43" t="str">
        <f t="shared" si="3"/>
        <v>16 - 20, &amp;#32všetky možnosti</v>
      </c>
      <c r="J143" s="44" t="str">
        <f t="shared" si="7"/>
        <v>,Register partnerov VS,</v>
      </c>
      <c r="K143" s="45">
        <f t="shared" si="5"/>
        <v>13159.6194</v>
      </c>
      <c r="L143" s="43"/>
      <c r="M143" s="43" t="str">
        <f>IFERROR(__xludf.DUMMYFUNCTION("SPLIT(O143,"","")"),"Námestie S. H. Vajanského 1/1")</f>
        <v>Námestie S. H. Vajanského 1/1</v>
      </c>
      <c r="N143" s="43" t="str">
        <f>IFERROR(__xludf.DUMMYFUNCTION("""COMPUTED_VALUE""")," 036 01 Martin")</f>
        <v> 036 01 Martin</v>
      </c>
      <c r="O143" s="42" t="s">
        <v>1643</v>
      </c>
      <c r="P143" s="43">
        <v>49.0682831</v>
      </c>
      <c r="Q143" s="43">
        <v>18.9255998</v>
      </c>
      <c r="R143" s="56" t="s">
        <v>1644</v>
      </c>
      <c r="S143" s="34" t="s">
        <v>1645</v>
      </c>
      <c r="T143" s="63" t="s">
        <v>1646</v>
      </c>
      <c r="U143" s="61" t="s">
        <v>1647</v>
      </c>
      <c r="V143" s="104" t="s">
        <v>1648</v>
      </c>
      <c r="W143" s="85" t="s">
        <v>1649</v>
      </c>
      <c r="X143" s="54" t="s">
        <v>1650</v>
      </c>
      <c r="Y143" s="46" t="s">
        <v>1651</v>
      </c>
      <c r="Z143" s="53" t="s">
        <v>1652</v>
      </c>
      <c r="AA143" s="52" t="s">
        <v>64</v>
      </c>
      <c r="AB143" s="55"/>
      <c r="AC143" s="56"/>
      <c r="AD143" s="56"/>
      <c r="AE143" s="55"/>
      <c r="AF143" s="55"/>
      <c r="AG143" s="56"/>
      <c r="AH143" s="56"/>
      <c r="AI143" s="55"/>
      <c r="AJ143" s="55"/>
      <c r="AK143" s="56"/>
      <c r="AL143" s="56"/>
      <c r="AM143" s="47"/>
      <c r="AN143" s="62" t="s">
        <v>39</v>
      </c>
      <c r="AO143" s="64"/>
      <c r="AP143" s="58" t="str">
        <f t="shared" si="6"/>
        <v>Socialny podnik mesta Martin, s. r. o. stavebnictvo, &amp;#32vsetky kategorie  036 01 Martin Nasimi zakaznikmi su vsetci, ktori potrebuju rozne stavebne, vodoinstalaterske alebo kurenarske prace. Podpora regionalnej zamestnanosti. Socialny podnik mesta Martin, s.r.o. Rozne stavebne, vodoinstalaterske alebo kurenarske prace. zemne a stavebne prace, instalaterske prace           Register partnerov VS</v>
      </c>
      <c r="AQ143" s="37"/>
    </row>
    <row r="144" ht="15.75" customHeight="1">
      <c r="A144" s="43"/>
      <c r="B144" s="59">
        <v>151.0</v>
      </c>
      <c r="C144" s="75" t="s">
        <v>1653</v>
      </c>
      <c r="D144" s="42" t="s">
        <v>229</v>
      </c>
      <c r="E144" s="38" t="str">
        <f t="shared" si="1"/>
        <v>Nitriansky kraj, &amp;#32celé Slovensko</v>
      </c>
      <c r="F144" s="42" t="s">
        <v>1654</v>
      </c>
      <c r="G144" s="38" t="str">
        <f t="shared" si="2"/>
        <v>poľnohospodárstvo a lesníctvo, zvieratá, &amp;#32všetky kategórie</v>
      </c>
      <c r="H144" s="42" t="s">
        <v>53</v>
      </c>
      <c r="I144" s="43" t="str">
        <f t="shared" si="3"/>
        <v>1 - 5, &amp;#32všetky možnosti</v>
      </c>
      <c r="J144" s="44" t="str">
        <f t="shared" si="7"/>
        <v>,,</v>
      </c>
      <c r="K144" s="45">
        <f t="shared" si="5"/>
        <v>9304.93154</v>
      </c>
      <c r="L144" s="43"/>
      <c r="M144" s="43" t="str">
        <f>IFERROR(__xludf.DUMMYFUNCTION("SPLIT(O144,"","")"),"Krškany 337")</f>
        <v>Krškany 337</v>
      </c>
      <c r="N144" s="43" t="str">
        <f>IFERROR(__xludf.DUMMYFUNCTION("""COMPUTED_VALUE""")," 934 01 Krškany")</f>
        <v> 934 01 Krškany</v>
      </c>
      <c r="O144" s="42" t="s">
        <v>1655</v>
      </c>
      <c r="P144" s="43">
        <v>48.2145534</v>
      </c>
      <c r="Q144" s="43">
        <v>18.6761143</v>
      </c>
      <c r="R144" s="56" t="s">
        <v>1656</v>
      </c>
      <c r="S144" s="34" t="s">
        <v>1657</v>
      </c>
      <c r="T144" s="63" t="s">
        <v>86</v>
      </c>
      <c r="U144" s="61" t="s">
        <v>1658</v>
      </c>
      <c r="V144" s="50" t="s">
        <v>1659</v>
      </c>
      <c r="W144" s="55" t="s">
        <v>1660</v>
      </c>
      <c r="X144" s="54" t="s">
        <v>1661</v>
      </c>
      <c r="Y144" s="46" t="s">
        <v>1662</v>
      </c>
      <c r="Z144" s="53" t="s">
        <v>1663</v>
      </c>
      <c r="AA144" s="52" t="s">
        <v>64</v>
      </c>
      <c r="AB144" s="55"/>
      <c r="AC144" s="56"/>
      <c r="AD144" s="56"/>
      <c r="AE144" s="55"/>
      <c r="AF144" s="55"/>
      <c r="AG144" s="56"/>
      <c r="AH144" s="56"/>
      <c r="AI144" s="55"/>
      <c r="AJ144" s="55"/>
      <c r="AK144" s="56"/>
      <c r="AL144" s="56"/>
      <c r="AM144" s="34"/>
      <c r="AN144" s="55"/>
      <c r="AO144" s="64"/>
      <c r="AP144" s="58" t="str">
        <f t="shared" si="6"/>
        <v>AGROFARMA KRSKANY s. r. o. polnohospodarstvo a lesnictvo, zvierata, &amp;#32vsetky kategorie  934 01 Krskany Nasa spolocnost momentalne disponuje chovom sliepok (nosnic, brojlerov) a chovom koz -  produkujeme kozie mlieko.V buducnosti planujeme rozsirit chov o kacky. Zamestnavanie znevyhodnenych osob a produkcia masa sliepok a vajec z volneho vybehu. AGROFARMA KRSKANY s.r.o. Nasa spolocnost ponuka predaj sliepok - masa a vajec - z volneho vybehu. farma, chov hydiny, predaj hydiny, maso, bio vajcia, mlieko           </v>
      </c>
      <c r="AQ144" s="37"/>
    </row>
    <row r="145" ht="15.75" customHeight="1">
      <c r="A145" s="43"/>
      <c r="B145" s="59">
        <v>152.0</v>
      </c>
      <c r="C145" s="75" t="s">
        <v>1664</v>
      </c>
      <c r="D145" s="42" t="s">
        <v>218</v>
      </c>
      <c r="E145" s="38" t="str">
        <f t="shared" si="1"/>
        <v>Košický kraj, &amp;#32celé Slovensko</v>
      </c>
      <c r="F145" s="42" t="s">
        <v>1665</v>
      </c>
      <c r="G145" s="38" t="str">
        <f t="shared" si="2"/>
        <v>reklama, &amp;#32všetky kategórie</v>
      </c>
      <c r="H145" s="42" t="s">
        <v>53</v>
      </c>
      <c r="I145" s="43" t="str">
        <f t="shared" si="3"/>
        <v>1 - 5, &amp;#32všetky možnosti</v>
      </c>
      <c r="J145" s="44" t="str">
        <f t="shared" si="7"/>
        <v>,,Náhradné plnenie</v>
      </c>
      <c r="K145" s="45">
        <f t="shared" si="5"/>
        <v>29187.79225</v>
      </c>
      <c r="L145" s="43"/>
      <c r="M145" s="43" t="str">
        <f>IFERROR(__xludf.DUMMYFUNCTION("SPLIT(O145,"","")"),"Nám. osloboditeľov 10")</f>
        <v>Nám. osloboditeľov 10</v>
      </c>
      <c r="N145" s="43" t="str">
        <f>IFERROR(__xludf.DUMMYFUNCTION("""COMPUTED_VALUE""")," 071 01 Michalovce")</f>
        <v> 071 01 Michalovce</v>
      </c>
      <c r="O145" s="42" t="s">
        <v>1666</v>
      </c>
      <c r="P145" s="43">
        <v>48.7571957</v>
      </c>
      <c r="Q145" s="43">
        <v>21.9208922</v>
      </c>
      <c r="R145" s="56" t="s">
        <v>1667</v>
      </c>
      <c r="S145" s="34" t="s">
        <v>1668</v>
      </c>
      <c r="T145" s="63" t="s">
        <v>1669</v>
      </c>
      <c r="U145" s="61" t="s">
        <v>1670</v>
      </c>
      <c r="V145" s="50" t="s">
        <v>1671</v>
      </c>
      <c r="W145" s="55" t="s">
        <v>1672</v>
      </c>
      <c r="X145" s="54" t="s">
        <v>1664</v>
      </c>
      <c r="Y145" s="46" t="s">
        <v>1673</v>
      </c>
      <c r="Z145" s="53" t="s">
        <v>1674</v>
      </c>
      <c r="AA145" s="52" t="s">
        <v>64</v>
      </c>
      <c r="AB145" s="55"/>
      <c r="AC145" s="56"/>
      <c r="AD145" s="56"/>
      <c r="AE145" s="55"/>
      <c r="AF145" s="55"/>
      <c r="AG145" s="56"/>
      <c r="AH145" s="56"/>
      <c r="AI145" s="55"/>
      <c r="AJ145" s="55"/>
      <c r="AK145" s="56"/>
      <c r="AL145" s="56"/>
      <c r="AM145" s="34"/>
      <c r="AN145" s="55"/>
      <c r="AO145" s="57" t="s">
        <v>40</v>
      </c>
      <c r="AP145" s="58" t="str">
        <f t="shared" si="6"/>
        <v>LIPA s.r.o. reklama, &amp;#32vsetky kategorie  071 01 Michalovce Ponukame reklamne a marketingove sluzby pre firmy, skoly a samospravu. Sluzby zahrnaju reklamne predmety s potlacou alebo gravirovanim laserom, pracovne odevy s potlacou alebo vysivkou, tabule, samolepiace folie a bannery s UV potlacou; digitalnu tlac a vyrobu letakov, plagatov, vizitiek a pod.; online marketing pre socialne siete a Google. Podpora zamestnanosti prostrednictvom zamestnavania znevyhodnenych a zranitelnych osob. LIPA s.r.o. Reklamne predmety s potlacou alebo gravirom laserom, pracovne odevy s potlacou alebo vysivkou, digitalna tlac a vyroba plagatov, letakov, brozur, vizitiek a pod. tlac, vysivka, potlac textilu, plagat, letak, brozura, vizitka, banner, bilboard, tabula, online reklama, tricko, polokosela, mikina, bunda, siltovka, kalendar, taska, reklamne predmety, reklamny textil, kampan           </v>
      </c>
      <c r="AQ145" s="37"/>
    </row>
    <row r="146" ht="15.75" customHeight="1">
      <c r="A146" s="43"/>
      <c r="B146" s="59">
        <v>153.0</v>
      </c>
      <c r="C146" s="75" t="s">
        <v>1675</v>
      </c>
      <c r="D146" s="42" t="s">
        <v>134</v>
      </c>
      <c r="E146" s="38" t="str">
        <f t="shared" si="1"/>
        <v>Trenčiansky kraj, &amp;#32celé Slovensko</v>
      </c>
      <c r="F146" s="42" t="s">
        <v>1676</v>
      </c>
      <c r="G146" s="38" t="str">
        <f t="shared" si="2"/>
        <v>obaly, bižutéria a darčekové predmety, iné (tovary a služby), &amp;#32všetky kategórie</v>
      </c>
      <c r="H146" s="42" t="s">
        <v>170</v>
      </c>
      <c r="I146" s="43" t="str">
        <f t="shared" si="3"/>
        <v>21 a viac, &amp;#32všetky možnosti</v>
      </c>
      <c r="J146" s="44" t="str">
        <f t="shared" si="7"/>
        <v>,Register partnerov VS,Náhradné plnenie</v>
      </c>
      <c r="K146" s="45">
        <f t="shared" si="5"/>
        <v>22085.12102</v>
      </c>
      <c r="L146" s="43"/>
      <c r="M146" s="43" t="str">
        <f>IFERROR(__xludf.DUMMYFUNCTION("SPLIT(O146,"","")"),"Kuzmányho 923/25")</f>
        <v>Kuzmányho 923/25</v>
      </c>
      <c r="N146" s="43" t="str">
        <f>IFERROR(__xludf.DUMMYFUNCTION("""COMPUTED_VALUE""")," 017 01 Považská Bystrica")</f>
        <v> 017 01 Považská Bystrica</v>
      </c>
      <c r="O146" s="42" t="s">
        <v>1677</v>
      </c>
      <c r="P146" s="43">
        <v>49.1141805</v>
      </c>
      <c r="Q146" s="43">
        <v>18.4516337</v>
      </c>
      <c r="R146" s="56" t="s">
        <v>1678</v>
      </c>
      <c r="S146" s="34" t="s">
        <v>1679</v>
      </c>
      <c r="T146" s="63" t="s">
        <v>86</v>
      </c>
      <c r="U146" s="61" t="s">
        <v>1680</v>
      </c>
      <c r="V146" s="50" t="s">
        <v>1681</v>
      </c>
      <c r="W146" s="55" t="s">
        <v>1682</v>
      </c>
      <c r="X146" s="54" t="s">
        <v>1683</v>
      </c>
      <c r="Y146" s="46" t="s">
        <v>1684</v>
      </c>
      <c r="Z146" s="53" t="s">
        <v>1685</v>
      </c>
      <c r="AA146" s="52" t="s">
        <v>64</v>
      </c>
      <c r="AB146" s="55"/>
      <c r="AC146" s="56"/>
      <c r="AD146" s="56"/>
      <c r="AE146" s="55"/>
      <c r="AF146" s="55"/>
      <c r="AG146" s="56"/>
      <c r="AH146" s="56"/>
      <c r="AI146" s="55"/>
      <c r="AJ146" s="55"/>
      <c r="AK146" s="56"/>
      <c r="AL146" s="56"/>
      <c r="AM146" s="47"/>
      <c r="AN146" s="62" t="s">
        <v>39</v>
      </c>
      <c r="AO146" s="57" t="s">
        <v>40</v>
      </c>
      <c r="AP146" s="58" t="str">
        <f t="shared" si="6"/>
        <v>M-HAND s.r.o obaly, bizuteria a darcekove predmety, ine (tovary a sluzby), &amp;#32vsetky kategorie  017 01 Povazska Bystrica Ponukame predovsetkym pracu vo mzde - jednoduche manipulacne prace ako balenie, lepenie, skladanie, prace s tlacovinami, jednoduche montazne prace, manualne prace podla poziadaviek zakaznika, ktore nemozu byt nahradene strojom. Zamestnavame ludi, ktori sa vdaka praci v nasom podniku citia spolocensky uzitocni a i napriek svojim zdravotnym znevyhodneniam sa dokazu postarat sami o seba a byt prospesni aj inym. M-HAND s.r.o., prevadzka Martin Praca vo mzde - manualne prace rozneho druhu, jednoduche manipulacne prace, balenie, skladanie, lepenie, praca s tlacovinami, jednoduche montazne prace. balenie,skladanie,manipulacia, drevo,papier,kovy, lepenie, montazne prace, manualne prace, zakazka           Register partnerov VS</v>
      </c>
      <c r="AQ146" s="37"/>
    </row>
    <row r="147" ht="15.75" customHeight="1">
      <c r="A147" s="43"/>
      <c r="B147" s="59">
        <v>154.0</v>
      </c>
      <c r="C147" s="75" t="s">
        <v>1686</v>
      </c>
      <c r="D147" s="42" t="s">
        <v>218</v>
      </c>
      <c r="E147" s="38" t="str">
        <f t="shared" si="1"/>
        <v>Košický kraj, &amp;#32celé Slovensko</v>
      </c>
      <c r="F147" s="42" t="s">
        <v>1687</v>
      </c>
      <c r="G147" s="38" t="str">
        <f t="shared" si="2"/>
        <v>dom a záhrada, cestovný ruch, odpady a recyklácia, &amp;#32všetky kategórie</v>
      </c>
      <c r="H147" s="42" t="s">
        <v>53</v>
      </c>
      <c r="I147" s="43" t="str">
        <f t="shared" si="3"/>
        <v>1 - 5, &amp;#32všetky možnosti</v>
      </c>
      <c r="J147" s="44" t="str">
        <f t="shared" si="7"/>
        <v>,Register partnerov VS,</v>
      </c>
      <c r="K147" s="45">
        <f t="shared" si="5"/>
        <v>36433.78082</v>
      </c>
      <c r="L147" s="43"/>
      <c r="M147" s="43" t="str">
        <f>IFERROR(__xludf.DUMMYFUNCTION("SPLIT(O147,"","")"),"Šafárikova 67")</f>
        <v>Šafárikova 67</v>
      </c>
      <c r="N147" s="43" t="str">
        <f>IFERROR(__xludf.DUMMYFUNCTION("""COMPUTED_VALUE""")," 049 21 Betliar")</f>
        <v> 049 21 Betliar</v>
      </c>
      <c r="O147" s="42" t="s">
        <v>1688</v>
      </c>
      <c r="P147" s="43">
        <v>48.7025474999999</v>
      </c>
      <c r="Q147" s="43">
        <v>20.5063126</v>
      </c>
      <c r="R147" s="56" t="s">
        <v>1689</v>
      </c>
      <c r="S147" s="34" t="s">
        <v>1690</v>
      </c>
      <c r="T147" s="63" t="s">
        <v>1691</v>
      </c>
      <c r="U147" s="61" t="s">
        <v>1692</v>
      </c>
      <c r="V147" s="50" t="s">
        <v>1693</v>
      </c>
      <c r="W147" s="55" t="s">
        <v>1694</v>
      </c>
      <c r="X147" s="54" t="s">
        <v>1686</v>
      </c>
      <c r="Y147" s="46" t="s">
        <v>1695</v>
      </c>
      <c r="Z147" s="53" t="s">
        <v>1696</v>
      </c>
      <c r="AA147" s="52" t="s">
        <v>64</v>
      </c>
      <c r="AB147" s="55"/>
      <c r="AC147" s="56"/>
      <c r="AD147" s="56"/>
      <c r="AE147" s="55"/>
      <c r="AF147" s="55"/>
      <c r="AG147" s="56"/>
      <c r="AH147" s="56"/>
      <c r="AI147" s="55"/>
      <c r="AJ147" s="55"/>
      <c r="AK147" s="56"/>
      <c r="AL147" s="56"/>
      <c r="AM147" s="47"/>
      <c r="AN147" s="62" t="s">
        <v>39</v>
      </c>
      <c r="AO147" s="64"/>
      <c r="AP147" s="58" t="str">
        <f t="shared" si="6"/>
        <v>Obecny podnik sluzieb Betliar, s.r.o., registrovany socialny podnik dom a zahrada, cestovny ruch, odpady a recyklacia, &amp;#32vsetky kategorie  049 21 Betliar Poskytujeme sluzby obcanom i navstevnikom obce, starostlivost o verejne priestranstva, socialne sluzby pre obcanov obce, odpadove hospodarstvo, vyroba jednoduchych vyrobkov z dreva. Zamestnavanie znevyhodnenych zamestnancov. Obecny podnik sluzieb Betliar, s.r.o., registrovany socialny podnik Starostlivost o verejne priestranstva obce, parkovacie sluzby, prevadzka zberneho dvora, vyroba jednoduchych vyrobkov z dreva. kosenie, drevovyroba, parkovacie sluzby, zberny dvor, odpad           Register partnerov VS</v>
      </c>
      <c r="AQ147" s="37"/>
    </row>
    <row r="148" ht="15.75" customHeight="1">
      <c r="A148" s="43"/>
      <c r="B148" s="59">
        <v>155.0</v>
      </c>
      <c r="C148" s="75" t="s">
        <v>1697</v>
      </c>
      <c r="D148" s="42" t="s">
        <v>218</v>
      </c>
      <c r="E148" s="38" t="str">
        <f t="shared" si="1"/>
        <v>Košický kraj, &amp;#32celé Slovensko</v>
      </c>
      <c r="F148" s="42" t="s">
        <v>911</v>
      </c>
      <c r="G148" s="38" t="str">
        <f t="shared" si="2"/>
        <v>krása-zdravie-relax, &amp;#32všetky kategórie</v>
      </c>
      <c r="H148" s="42" t="s">
        <v>82</v>
      </c>
      <c r="I148" s="43" t="str">
        <f t="shared" si="3"/>
        <v>11 - 15, &amp;#32všetky možnosti</v>
      </c>
      <c r="J148" s="44" t="str">
        <f t="shared" si="7"/>
        <v>,Register partnerov VS,</v>
      </c>
      <c r="K148" s="45">
        <f t="shared" si="5"/>
        <v>830.5544574</v>
      </c>
      <c r="L148" s="43"/>
      <c r="M148" s="43" t="str">
        <f>IFERROR(__xludf.DUMMYFUNCTION("SPLIT(O148,"","")"),"Fraňa Kráľa 2543/8")</f>
        <v>Fraňa Kráľa 2543/8</v>
      </c>
      <c r="N148" s="43" t="str">
        <f>IFERROR(__xludf.DUMMYFUNCTION("""COMPUTED_VALUE""")," 052 01 Spišská Nová Ves")</f>
        <v> 052 01 Spišská Nová Ves</v>
      </c>
      <c r="O148" s="42" t="s">
        <v>1698</v>
      </c>
      <c r="P148" s="43">
        <v>48.941049</v>
      </c>
      <c r="Q148" s="43">
        <v>20.5747574</v>
      </c>
      <c r="R148" s="56" t="s">
        <v>1699</v>
      </c>
      <c r="S148" s="34" t="s">
        <v>1700</v>
      </c>
      <c r="T148" s="63" t="s">
        <v>86</v>
      </c>
      <c r="U148" s="61" t="s">
        <v>1701</v>
      </c>
      <c r="V148" s="66" t="s">
        <v>1702</v>
      </c>
      <c r="W148" s="55" t="s">
        <v>1703</v>
      </c>
      <c r="X148" s="54" t="s">
        <v>1697</v>
      </c>
      <c r="Y148" s="46" t="s">
        <v>1704</v>
      </c>
      <c r="Z148" s="53" t="s">
        <v>1705</v>
      </c>
      <c r="AA148" s="52" t="s">
        <v>64</v>
      </c>
      <c r="AB148" s="55"/>
      <c r="AC148" s="56"/>
      <c r="AD148" s="56"/>
      <c r="AE148" s="55"/>
      <c r="AF148" s="55"/>
      <c r="AG148" s="56"/>
      <c r="AH148" s="56"/>
      <c r="AI148" s="55"/>
      <c r="AJ148" s="55"/>
      <c r="AK148" s="56"/>
      <c r="AL148" s="56"/>
      <c r="AM148" s="47"/>
      <c r="AN148" s="62" t="s">
        <v>39</v>
      </c>
      <c r="AO148" s="64"/>
      <c r="AP148" s="58" t="str">
        <f t="shared" si="6"/>
        <v>MASAZE s.r.o. krasa-zdravie-relax, &amp;#32vsetky kategorie  052 01 Spisska Nova Ves Maserske sluzby - vsetky druhy masazi; uvedene sluzby poskytujeme ako pre siroku verejnost tak aj pre firmy. Starostlivost o ludske telo - masaz je forma zdravotnej starostlivosti v boji proti bolestiam. Dokaze priaznivo ovplyvnit fyzicky aj psychicky stav cloveka, pomaha pri mnohych zdravotnych problemoch, zraneniach alebo strese. MASAZE s.r.o. Maserske sluzby - masaze vsetkych druhov. masaz, klasicka masaz, lymfodrenazna masaz, masaz lavovymi kamenmi, chiropraxia, reflexna masaz           Register partnerov VS</v>
      </c>
      <c r="AQ148" s="37"/>
    </row>
    <row r="149" ht="15.75" customHeight="1">
      <c r="A149" s="43"/>
      <c r="B149" s="59">
        <v>156.0</v>
      </c>
      <c r="C149" s="75" t="s">
        <v>1706</v>
      </c>
      <c r="D149" s="42" t="s">
        <v>229</v>
      </c>
      <c r="E149" s="38" t="str">
        <f t="shared" si="1"/>
        <v>Nitriansky kraj, &amp;#32celé Slovensko</v>
      </c>
      <c r="F149" s="42" t="s">
        <v>1707</v>
      </c>
      <c r="G149" s="38" t="str">
        <f t="shared" si="2"/>
        <v>čistiace a upratovacie služby, dom a záhrada, potraviny a nápoje, &amp;#32všetky kategórie</v>
      </c>
      <c r="H149" s="42" t="s">
        <v>53</v>
      </c>
      <c r="I149" s="43" t="str">
        <f t="shared" si="3"/>
        <v>1 - 5, &amp;#32všetky možnosti</v>
      </c>
      <c r="J149" s="44" t="str">
        <f t="shared" si="7"/>
        <v>,Register partnerov VS,</v>
      </c>
      <c r="K149" s="45">
        <f t="shared" si="5"/>
        <v>27200.08755</v>
      </c>
      <c r="L149" s="43"/>
      <c r="M149" s="43" t="str">
        <f>IFERROR(__xludf.DUMMYFUNCTION("SPLIT(O149,"","")"),"Pribinova 3")</f>
        <v>Pribinova 3</v>
      </c>
      <c r="N149" s="43" t="str">
        <f>IFERROR(__xludf.DUMMYFUNCTION("""COMPUTED_VALUE""")," 940 02 Nové Zámky")</f>
        <v> 940 02 Nové Zámky</v>
      </c>
      <c r="O149" s="42" t="s">
        <v>1708</v>
      </c>
      <c r="P149" s="43">
        <v>47.9887905</v>
      </c>
      <c r="Q149" s="43">
        <v>18.1637002</v>
      </c>
      <c r="R149" s="56" t="s">
        <v>1709</v>
      </c>
      <c r="S149" s="34" t="s">
        <v>1710</v>
      </c>
      <c r="T149" s="63" t="s">
        <v>1711</v>
      </c>
      <c r="U149" s="61" t="s">
        <v>1712</v>
      </c>
      <c r="V149" s="50" t="s">
        <v>1713</v>
      </c>
      <c r="W149" s="55" t="s">
        <v>1714</v>
      </c>
      <c r="X149" s="54" t="s">
        <v>1715</v>
      </c>
      <c r="Y149" s="46" t="s">
        <v>1716</v>
      </c>
      <c r="Z149" s="53" t="s">
        <v>1717</v>
      </c>
      <c r="AA149" s="52" t="s">
        <v>64</v>
      </c>
      <c r="AB149" s="55"/>
      <c r="AC149" s="56"/>
      <c r="AD149" s="56"/>
      <c r="AE149" s="55"/>
      <c r="AF149" s="55"/>
      <c r="AG149" s="56"/>
      <c r="AH149" s="56"/>
      <c r="AI149" s="55"/>
      <c r="AJ149" s="55"/>
      <c r="AK149" s="56"/>
      <c r="AL149" s="56"/>
      <c r="AM149" s="47"/>
      <c r="AN149" s="62" t="s">
        <v>39</v>
      </c>
      <c r="AO149" s="64"/>
      <c r="AP149" s="58" t="str">
        <f t="shared" si="6"/>
        <v>Komunitne centrum KOMPAS cistiace a upratovacie sluzby, dom a zahrada, potraviny a napoje, &amp;#32vsetky kategorie  940 02 Nove Zamky Cistiace a upratovacie sluzby - cistenie verejnych priestranslev na uzemi mesta Nove Zamky, upratovanie prevadzok a domacnosti. Verime, ze tato cinnost nastartuje socialnu ekonomiku v meste Nove Zamky, zabezpeci vytvorenie pracovnych miest pre znevyhodnene skupiny obyvatelov, pri ktorych budu prisposobene pracovne podmienky zamestnancov tak, aby sa vyrazne zvysila uspesnost udrzania stabilnej obsadenosti pracovnych pozicii. Napomoze tomu aj podpora pomahajucich profesii, s ktorymi bude Komunitne centrum KOMPAS spolupracovat. Zabezpeci tiez kontinuitu prace s cielovou skupinou, podpori zmenu jej socialneho statusu pracovnym uplatnenim v spojitosti so zabezpecenim docasneho a trvaleho byvania, ako aj podporou samostatneho byvania prostrednictvom socialnych sluzieb. Komunitne centrum Kompas Cooworkingove centrum s kaviarnou. co-working, kaviaren, komunitne centrum, upratovanie, cistenie, starostlivost o domacnost           Register partnerov VS</v>
      </c>
      <c r="AQ149" s="37"/>
    </row>
    <row r="150" ht="15.75" customHeight="1">
      <c r="A150" s="43"/>
      <c r="B150" s="59">
        <v>157.0</v>
      </c>
      <c r="C150" s="75" t="s">
        <v>1718</v>
      </c>
      <c r="D150" s="42" t="s">
        <v>181</v>
      </c>
      <c r="E150" s="38" t="str">
        <f t="shared" si="1"/>
        <v>Banskobystrický kraj, &amp;#32celé Slovensko</v>
      </c>
      <c r="F150" s="42" t="s">
        <v>1719</v>
      </c>
      <c r="G150" s="38" t="str">
        <f t="shared" si="2"/>
        <v>doprava, odpady a recyklácia, &amp;#32všetky kategórie</v>
      </c>
      <c r="H150" s="42" t="s">
        <v>170</v>
      </c>
      <c r="I150" s="43" t="str">
        <f t="shared" si="3"/>
        <v>21 a viac, &amp;#32všetky možnosti</v>
      </c>
      <c r="J150" s="44" t="str">
        <f t="shared" si="7"/>
        <v>,Register partnerov VS,Náhradné plnenie</v>
      </c>
      <c r="K150" s="45">
        <f t="shared" si="5"/>
        <v>18004.32307</v>
      </c>
      <c r="L150" s="43"/>
      <c r="M150" s="43" t="str">
        <f>IFERROR(__xludf.DUMMYFUNCTION("SPLIT(O150,"","")"),"Zvolenská cesta 14A")</f>
        <v>Zvolenská cesta 14A</v>
      </c>
      <c r="N150" s="43" t="str">
        <f>IFERROR(__xludf.DUMMYFUNCTION("""COMPUTED_VALUE""")," 974 05 Banská Bystrica")</f>
        <v> 974 05 Banská Bystrica</v>
      </c>
      <c r="O150" s="42" t="s">
        <v>1720</v>
      </c>
      <c r="P150" s="43">
        <v>48.7098507</v>
      </c>
      <c r="Q150" s="43">
        <v>19.1342468</v>
      </c>
      <c r="R150" s="56" t="s">
        <v>1721</v>
      </c>
      <c r="S150" s="34" t="s">
        <v>1722</v>
      </c>
      <c r="T150" s="63" t="s">
        <v>1723</v>
      </c>
      <c r="U150" s="61" t="s">
        <v>1724</v>
      </c>
      <c r="V150" s="50" t="s">
        <v>1725</v>
      </c>
      <c r="W150" s="55" t="s">
        <v>1726</v>
      </c>
      <c r="X150" s="54" t="s">
        <v>1718</v>
      </c>
      <c r="Y150" s="46" t="s">
        <v>1727</v>
      </c>
      <c r="Z150" s="53" t="s">
        <v>1728</v>
      </c>
      <c r="AA150" s="52" t="s">
        <v>64</v>
      </c>
      <c r="AB150" s="55"/>
      <c r="AC150" s="56"/>
      <c r="AD150" s="56"/>
      <c r="AE150" s="55"/>
      <c r="AF150" s="55"/>
      <c r="AG150" s="56"/>
      <c r="AH150" s="56"/>
      <c r="AI150" s="55"/>
      <c r="AJ150" s="55"/>
      <c r="AK150" s="56"/>
      <c r="AL150" s="56"/>
      <c r="AM150" s="47"/>
      <c r="AN150" s="62" t="s">
        <v>39</v>
      </c>
      <c r="AO150" s="57" t="s">
        <v>40</v>
      </c>
      <c r="AP150" s="58" t="str">
        <f t="shared" si="6"/>
        <v>ZEDKO, s.r.o. doprava, odpady a recyklacia, &amp;#32vsetky kategorie  974 05 Banska Bystrica Nas podnik zabezpecuje zber, prepravu a spracovanie elektroodpadov, kovovych odpadov, baterii a pod. Zamestnavame zranitelne alebo znevyhodnene osoby. ZEDKO, s.r.o. Zber, preprava a spracovanie elektroodpadov, kovovych odpadov, baterii a inych odpadov. zber, preprava a spracovanie odpadov, triedenie odpadu, recyklacia, elektroodpad, kovovy odpad, vykup baterii, rafinacia drahych kovov           Register partnerov VS</v>
      </c>
      <c r="AQ150" s="37"/>
    </row>
    <row r="151" ht="15.75" customHeight="1">
      <c r="A151" s="43"/>
      <c r="B151" s="59">
        <v>158.0</v>
      </c>
      <c r="C151" s="75" t="s">
        <v>1729</v>
      </c>
      <c r="D151" s="42" t="s">
        <v>229</v>
      </c>
      <c r="E151" s="38" t="str">
        <f t="shared" si="1"/>
        <v>Nitriansky kraj, &amp;#32celé Slovensko</v>
      </c>
      <c r="F151" s="42" t="s">
        <v>639</v>
      </c>
      <c r="G151" s="38" t="str">
        <f t="shared" si="2"/>
        <v>čistiace a upratovacie služby, dom a záhrada, &amp;#32všetky kategórie</v>
      </c>
      <c r="H151" s="42" t="s">
        <v>96</v>
      </c>
      <c r="I151" s="43" t="str">
        <f t="shared" si="3"/>
        <v>6 - 10, &amp;#32všetky možnosti</v>
      </c>
      <c r="J151" s="44" t="str">
        <f t="shared" si="7"/>
        <v>Servisné poukážky,Register partnerov VS,</v>
      </c>
      <c r="K151" s="45">
        <f t="shared" si="5"/>
        <v>38363.32407</v>
      </c>
      <c r="L151" s="43"/>
      <c r="M151" s="43" t="str">
        <f>IFERROR(__xludf.DUMMYFUNCTION("SPLIT(O151,"","")"),"Hlavná 201")</f>
        <v>Hlavná 201</v>
      </c>
      <c r="N151" s="43" t="str">
        <f>IFERROR(__xludf.DUMMYFUNCTION("""COMPUTED_VALUE""")," 935 23 Rybník")</f>
        <v> 935 23 Rybník</v>
      </c>
      <c r="O151" s="42" t="s">
        <v>1730</v>
      </c>
      <c r="P151" s="43">
        <v>48.2930427</v>
      </c>
      <c r="Q151" s="43">
        <v>18.5615898</v>
      </c>
      <c r="R151" s="56" t="s">
        <v>1731</v>
      </c>
      <c r="S151" s="34" t="s">
        <v>1732</v>
      </c>
      <c r="T151" s="63" t="s">
        <v>1733</v>
      </c>
      <c r="U151" s="61" t="s">
        <v>1734</v>
      </c>
      <c r="V151" s="50" t="s">
        <v>1735</v>
      </c>
      <c r="W151" s="55" t="s">
        <v>1736</v>
      </c>
      <c r="X151" s="54" t="s">
        <v>1737</v>
      </c>
      <c r="Y151" s="46" t="s">
        <v>1738</v>
      </c>
      <c r="Z151" s="53" t="s">
        <v>1739</v>
      </c>
      <c r="AA151" s="52" t="s">
        <v>64</v>
      </c>
      <c r="AB151" s="55"/>
      <c r="AC151" s="56"/>
      <c r="AD151" s="56"/>
      <c r="AE151" s="55"/>
      <c r="AF151" s="55"/>
      <c r="AG151" s="56"/>
      <c r="AH151" s="56"/>
      <c r="AI151" s="55"/>
      <c r="AJ151" s="55"/>
      <c r="AK151" s="56"/>
      <c r="AL151" s="56"/>
      <c r="AM151" s="77" t="s">
        <v>321</v>
      </c>
      <c r="AN151" s="62" t="s">
        <v>39</v>
      </c>
      <c r="AO151" s="64"/>
      <c r="AP151" s="58" t="str">
        <f t="shared" si="6"/>
        <v>Obecne sluzby Rybnik s. r. o. cistiace a upratovacie sluzby, dom a zahrada, &amp;#32vsetky kategorie  935 23 Rybnik Hlavnymi sluzbami registrovaneho socialneho podniku Obecne sluzby Rybnik s.r.o. su technicke a upratovacie sluzby v domacnostiach, zahradach a na verejnych priestranstvach, ako napr. kosenie, hrabanie, stiepanie, kalanie palivoveho dreva, mensie buracie a stavebne prace, opilovavanie, umyvanie okien, upratovanie domacnosti, malovanie a cistenie po malovani a pod.
Nasimi zakaznikmi su obcania - fyzicke osoby z obce a jej sirsieho okolia a samospravy. Ponukame im dostupne a kvalitne sluzby podla poziadaviek, casto "site na mieru". Mame zrucnych, spolahlivych a usilovnych zamestnancov, ktori su garanciou kvalitne vykonanej prace.
 Podporujeme zamestnavanie znevyhodnenych a zranitelnych osob v sirsom okruhu obce Rybnik v Levickom okrese. Obecne sluzby Rybnik s.r.o. Opravy, upratovacie a udrzbove prace. upratovanie, kosba, cistenie, opravy, udrzba, umyvanie okien, pilenie stromov, kalanie dreva, mensie buracie prace, stavebne prace          Servisne poukazky Register partnerov VS</v>
      </c>
      <c r="AQ151" s="37"/>
    </row>
    <row r="152" ht="15.75" customHeight="1">
      <c r="A152" s="43"/>
      <c r="B152" s="59">
        <v>160.0</v>
      </c>
      <c r="C152" s="75" t="s">
        <v>1740</v>
      </c>
      <c r="D152" s="42" t="s">
        <v>134</v>
      </c>
      <c r="E152" s="38" t="str">
        <f t="shared" si="1"/>
        <v>Trenčiansky kraj, &amp;#32celé Slovensko</v>
      </c>
      <c r="F152" s="42" t="s">
        <v>723</v>
      </c>
      <c r="G152" s="38" t="str">
        <f t="shared" si="2"/>
        <v>čistiace a upratovacie služby, &amp;#32všetky kategórie</v>
      </c>
      <c r="H152" s="42" t="s">
        <v>82</v>
      </c>
      <c r="I152" s="43" t="str">
        <f t="shared" si="3"/>
        <v>11 - 15, &amp;#32všetky možnosti</v>
      </c>
      <c r="J152" s="44" t="str">
        <f t="shared" si="7"/>
        <v>,Register partnerov VS,Náhradné plnenie</v>
      </c>
      <c r="K152" s="45">
        <f t="shared" si="5"/>
        <v>41199.84147</v>
      </c>
      <c r="L152" s="43"/>
      <c r="M152" s="43" t="str">
        <f>IFERROR(__xludf.DUMMYFUNCTION("SPLIT(O152,"","")"),"Obrancov mieru 350")</f>
        <v>Obrancov mieru 350</v>
      </c>
      <c r="N152" s="43" t="str">
        <f>IFERROR(__xludf.DUMMYFUNCTION("""COMPUTED_VALUE""")," 018 41 Dubnica nad Váhom")</f>
        <v> 018 41 Dubnica nad Váhom</v>
      </c>
      <c r="O152" s="42" t="s">
        <v>1741</v>
      </c>
      <c r="P152" s="43">
        <v>48.9556</v>
      </c>
      <c r="Q152" s="43">
        <v>18.1661662</v>
      </c>
      <c r="R152" s="56" t="s">
        <v>1742</v>
      </c>
      <c r="S152" s="34" t="s">
        <v>465</v>
      </c>
      <c r="T152" s="63" t="s">
        <v>1743</v>
      </c>
      <c r="U152" s="61" t="s">
        <v>1744</v>
      </c>
      <c r="V152" s="50" t="s">
        <v>1745</v>
      </c>
      <c r="W152" s="55" t="s">
        <v>1746</v>
      </c>
      <c r="X152" s="54" t="s">
        <v>1747</v>
      </c>
      <c r="Y152" s="46" t="s">
        <v>1748</v>
      </c>
      <c r="Z152" s="53" t="s">
        <v>1749</v>
      </c>
      <c r="AA152" s="52" t="s">
        <v>64</v>
      </c>
      <c r="AB152" s="55"/>
      <c r="AC152" s="56"/>
      <c r="AD152" s="56"/>
      <c r="AE152" s="55"/>
      <c r="AF152" s="55"/>
      <c r="AG152" s="56"/>
      <c r="AH152" s="56"/>
      <c r="AI152" s="55"/>
      <c r="AJ152" s="55"/>
      <c r="AK152" s="56"/>
      <c r="AL152" s="56"/>
      <c r="AM152" s="47"/>
      <c r="AN152" s="62" t="s">
        <v>39</v>
      </c>
      <c r="AO152" s="57" t="s">
        <v>40</v>
      </c>
      <c r="AP152" s="58" t="str">
        <f t="shared" si="6"/>
        <v>OLBL, s.r.o. cistiace a upratovacie sluzby, &amp;#32vsetky kategorie  018 41 Dubnica nad Vahom Nasa prevadzka poskytuje sluzby v oblasti cistenia odevov - zakaznikom ponukame cistenie sirokej skaly odevov, kobercov, pranie i zehlenie. Nasimi zakaznikmi su siroka verejnost, male i stredne podniky, subjekty socialnej ekonomiky i verejnej spravy. Zamestnavame zdravotne znevyhodnene osoby. PERU EKOCISTIAREN Cistenie, pranie odevov. pracovna, cistiaren, pranie, zehlenie, cistenie kobercov           Register partnerov VS</v>
      </c>
      <c r="AQ152" s="37"/>
    </row>
    <row r="153" ht="15.75" customHeight="1">
      <c r="A153" s="43"/>
      <c r="B153" s="59">
        <v>161.0</v>
      </c>
      <c r="C153" s="75" t="s">
        <v>1750</v>
      </c>
      <c r="D153" s="42" t="s">
        <v>218</v>
      </c>
      <c r="E153" s="38" t="str">
        <f t="shared" si="1"/>
        <v>Košický kraj, &amp;#32celé Slovensko</v>
      </c>
      <c r="F153" s="42" t="s">
        <v>1751</v>
      </c>
      <c r="G153" s="38" t="str">
        <f t="shared" si="2"/>
        <v>dom a záhrada, stavebníctvo, účtovníctvo a poradenstvo, , &amp;#32všetky kategórie</v>
      </c>
      <c r="H153" s="42" t="s">
        <v>53</v>
      </c>
      <c r="I153" s="43" t="str">
        <f t="shared" si="3"/>
        <v>1 - 5, &amp;#32všetky možnosti</v>
      </c>
      <c r="J153" s="44" t="str">
        <f t="shared" si="7"/>
        <v>,,Náhradné plnenie</v>
      </c>
      <c r="K153" s="45">
        <f t="shared" si="5"/>
        <v>12418.28222</v>
      </c>
      <c r="L153" s="43"/>
      <c r="M153" s="43" t="str">
        <f>IFERROR(__xludf.DUMMYFUNCTION("SPLIT(O153,"","")"),"Orgovánová 956/26")</f>
        <v>Orgovánová 956/26</v>
      </c>
      <c r="N153" s="43" t="str">
        <f>IFERROR(__xludf.DUMMYFUNCTION("""COMPUTED_VALUE""")," 079 01 Veľké Kapušany")</f>
        <v> 079 01 Veľké Kapušany</v>
      </c>
      <c r="O153" s="42" t="s">
        <v>1752</v>
      </c>
      <c r="P153" s="43">
        <v>48.5496482</v>
      </c>
      <c r="Q153" s="43">
        <v>22.0915888</v>
      </c>
      <c r="R153" s="56" t="s">
        <v>1753</v>
      </c>
      <c r="S153" s="34" t="s">
        <v>1754</v>
      </c>
      <c r="T153" s="63" t="s">
        <v>86</v>
      </c>
      <c r="U153" s="61" t="s">
        <v>1755</v>
      </c>
      <c r="V153" s="50" t="s">
        <v>1756</v>
      </c>
      <c r="W153" s="55" t="s">
        <v>1757</v>
      </c>
      <c r="X153" s="54" t="s">
        <v>1758</v>
      </c>
      <c r="Y153" s="46" t="s">
        <v>1759</v>
      </c>
      <c r="Z153" s="53" t="s">
        <v>1760</v>
      </c>
      <c r="AA153" s="67" t="s">
        <v>129</v>
      </c>
      <c r="AB153" s="55" t="s">
        <v>1761</v>
      </c>
      <c r="AC153" s="56" t="s">
        <v>1762</v>
      </c>
      <c r="AD153" s="56" t="s">
        <v>1763</v>
      </c>
      <c r="AE153" s="55" t="s">
        <v>64</v>
      </c>
      <c r="AF153" s="55"/>
      <c r="AG153" s="56"/>
      <c r="AH153" s="56"/>
      <c r="AI153" s="55"/>
      <c r="AJ153" s="55"/>
      <c r="AK153" s="56"/>
      <c r="AL153" s="56"/>
      <c r="AM153" s="34"/>
      <c r="AN153" s="55"/>
      <c r="AO153" s="57" t="s">
        <v>40</v>
      </c>
      <c r="AP153" s="58" t="str">
        <f t="shared" si="6"/>
        <v>EkonoConsult, s.r.o. r.s.p. dom a zahrada, stavebnictvo, uctovnictvo a poradenstvo, , &amp;#32vsetky kategorie  079 01 Velke Kapusany Hlavnou cinnostou nasej spolocnosti od jej zalozenia je vedenie uctovnictva pre vsetky typy subjektov, od malych zivnostnikov bez zamestnancov az po stredne velke spolocnosti. 
V roku 2021 sme rozsirili svoje cinnosti v dalsej oblasti, ktoru by sme mohli jednou vetou opisat ako „ZELENE RIESENIE PRE VAS ZIVOT“. Zahrna nasledovne cinnosti:
- realizacia zahrad a verejnych priestranstiev na kluc alebo aj ciastkovo a nasledna udrzba a starostlivost; su to cinnosti ako vysadba zelene, planovanie a realizacia kvetinovych zahonov, pokladka travnikov, zhotovenie uzitkovych, vyvysenych a vysokych zahonov, dazdovej zahrady, komplexne riesenie odvodu dazdovej vody, kosenie, mulcovanie, rezanie stromov a zivych plotov,
- realizacia ekologickych rieseni stavieb, ako zelene strechy, prevetrane fasady, retencne plochy, gumove dopadove plochy, drevene terasy a drevene podlahy v interieroch. 
Uvedene cinnosti ponukame pre sukromne osoby, podnikatelske subjekty aj pre verejny sektor. Zamestnavanim znevyhodnenych osob a pozitivnym ekologickym vplyvom na region. GRONN LIV - Zelene riesenie pre vas zivot "ZELENE RIESENIE PRE VAS ZIVOT“:
- Realizacia zahrad a verejnych priestranstiev na kluc alebo aj ciastkovo a nasledna udrzba a starostlivost. Su to cinnosti ako vysadba zelene, planovanie a realizacia kvetinovych zahonov, pokladka travnikov, zhotovenie uzitkovych, vyvysenych a vysokych zahonov, dazdovej zahrady, komplexne riesenie odvodu dazdovej vody, kosenie, mulcovanie, rezanie stromov a zivych plotov. 
- Realizacia ekologickych rieseni stavieb, ako zelene strechy, prevetrane fasady, retencne plochy, gumove dopadove plochy, drevene terasy a drevene podlahy v interieri. 
Uvedene cinnosti ponukame pre sukromne osoby, podnikatelske subjekty aj pre verejny sektor.  kosenie, mulcovanie, sadenie, uprava pody, dazdova zahrada, zelena strecha, prevetrana fasada, ekologicke stavby EkonoConsult - uctovnictvo, dane, mzdy, firemne financie V oblasti uctovnictva vykonava nasa spolocnost vedenie podvojneho uctovnictva, jednoducheho uctovnictva pre podnikatelov aj pre neziskovy sektor, spracovanie personalnej a mzdovej agendy, evidenciu skladovych zasob, evidenciu dlhodobeho majetku a vypocet odpisov. Danove poradenstvo je zabezpecene konatelkou spolocnosti, ktora je licencovana danova poradkyna. uctovnictvo, mzdy, dane, danove poradenstvo,        </v>
      </c>
      <c r="AQ153" s="37"/>
    </row>
    <row r="154" ht="15.75" customHeight="1">
      <c r="A154" s="43"/>
      <c r="B154" s="59">
        <v>162.0</v>
      </c>
      <c r="C154" s="75" t="s">
        <v>1764</v>
      </c>
      <c r="D154" s="42" t="s">
        <v>181</v>
      </c>
      <c r="E154" s="38" t="str">
        <f t="shared" si="1"/>
        <v>Banskobystrický kraj, &amp;#32celé Slovensko</v>
      </c>
      <c r="F154" s="42" t="s">
        <v>108</v>
      </c>
      <c r="G154" s="38" t="str">
        <f t="shared" si="2"/>
        <v>čistiace a upratovacie služby, stavebníctvo, &amp;#32všetky kategórie</v>
      </c>
      <c r="H154" s="42" t="s">
        <v>68</v>
      </c>
      <c r="I154" s="43" t="str">
        <f t="shared" si="3"/>
        <v>16 - 20, &amp;#32všetky možnosti</v>
      </c>
      <c r="J154" s="44" t="str">
        <f t="shared" si="7"/>
        <v>,Register partnerov VS,</v>
      </c>
      <c r="K154" s="45">
        <f t="shared" si="5"/>
        <v>22048.01786</v>
      </c>
      <c r="L154" s="43"/>
      <c r="M154" s="43" t="str">
        <f>IFERROR(__xludf.DUMMYFUNCTION("SPLIT(O154,"","")"),"Priemyselná 936/3")</f>
        <v>Priemyselná 936/3</v>
      </c>
      <c r="N154" s="43" t="str">
        <f>IFERROR(__xludf.DUMMYFUNCTION("""COMPUTED_VALUE""")," 963 01 Krupina")</f>
        <v> 963 01 Krupina</v>
      </c>
      <c r="O154" s="42" t="s">
        <v>1765</v>
      </c>
      <c r="P154" s="43">
        <v>48.3456866</v>
      </c>
      <c r="Q154" s="43">
        <v>19.0690613</v>
      </c>
      <c r="R154" s="56" t="s">
        <v>1766</v>
      </c>
      <c r="S154" s="34" t="s">
        <v>1767</v>
      </c>
      <c r="T154" s="63" t="s">
        <v>86</v>
      </c>
      <c r="U154" s="61" t="s">
        <v>1768</v>
      </c>
      <c r="V154" s="50" t="s">
        <v>1769</v>
      </c>
      <c r="W154" s="55" t="s">
        <v>1770</v>
      </c>
      <c r="X154" s="54" t="s">
        <v>1771</v>
      </c>
      <c r="Y154" s="46" t="s">
        <v>1772</v>
      </c>
      <c r="Z154" s="53" t="s">
        <v>1773</v>
      </c>
      <c r="AA154" s="52" t="s">
        <v>64</v>
      </c>
      <c r="AB154" s="55"/>
      <c r="AC154" s="56"/>
      <c r="AD154" s="56"/>
      <c r="AE154" s="55"/>
      <c r="AF154" s="55"/>
      <c r="AG154" s="56"/>
      <c r="AH154" s="56"/>
      <c r="AI154" s="55"/>
      <c r="AJ154" s="55"/>
      <c r="AK154" s="56"/>
      <c r="AL154" s="56"/>
      <c r="AM154" s="47"/>
      <c r="AN154" s="62" t="s">
        <v>39</v>
      </c>
      <c r="AO154" s="64"/>
      <c r="AP154" s="58" t="str">
        <f t="shared" si="6"/>
        <v>VB SP s. r. o., r. s. p. cistiace a upratovacie sluzby, stavebnictvo, &amp;#32vsetky kategorie  963 01 Krupina Spolocnost VB SP s.r.o, r.s.p. sa venuje stavebnej vyrobe, uskutocnovaniu stavieb a ich zmien, vykonavaniu zemnych prac, buracich prac, pomocnych stavebnych prac a s tym suvisiacich pridruzenych cinnosti. Druhou cinnostou je poskytovanie sluzieb v oblasti prania a cistenia odevov a textilii. Tymito cinnostami sleduje svoj hlavny ciel, ktorym je dosahovanie meratelneho pozitivneho socialneho vplyvu. Spolocnost VB SP s.r.o., r.s.p. prispieva k dosahovaniu pozitivneho socialneho vplyvu tym, ze zamestnava zranitelne a znevyhodnene osoby. Ich zamestnavanim spolocnost sleduje ciel ich socialneho zaclenia do spolocnosti, ich vzdelavania za pomoci mentorov a rozsirovania ich praktickych zrucnosti. VB SP s.r.o., r.s.p. Ponukame sluzby v oblasti stavebnej vyroby - kompletna realizacia stavieb, zemne prace, buracie prace, pomocne stavebne prace a s tym suvisiace pridruzene cinnosti. 
Ponukame sluzby prania a cistenia odevov a textilii pre podnikatelov, nemocnice, domovy socialnych sluzieb a tiez pre obcanov. stavebna cinnost, stavebne prace,  zemne prace, buracie prace, pracovna, pranie a cistenie odevov           Register partnerov VS</v>
      </c>
      <c r="AQ154" s="37"/>
    </row>
    <row r="155" ht="15.75" customHeight="1">
      <c r="A155" s="43"/>
      <c r="B155" s="59">
        <v>163.0</v>
      </c>
      <c r="C155" s="75" t="s">
        <v>1774</v>
      </c>
      <c r="D155" s="42" t="s">
        <v>51</v>
      </c>
      <c r="E155" s="38" t="str">
        <f t="shared" si="1"/>
        <v>Prešovský kraj, &amp;#32celé Slovensko</v>
      </c>
      <c r="F155" s="42" t="s">
        <v>1009</v>
      </c>
      <c r="G155" s="38" t="str">
        <f t="shared" si="2"/>
        <v>stavebníctvo, &amp;#32všetky kategórie</v>
      </c>
      <c r="H155" s="42" t="s">
        <v>68</v>
      </c>
      <c r="I155" s="43" t="str">
        <f t="shared" si="3"/>
        <v>16 - 20, &amp;#32všetky možnosti</v>
      </c>
      <c r="J155" s="44" t="str">
        <f t="shared" si="7"/>
        <v>,Register partnerov VS,Náhradné plnenie</v>
      </c>
      <c r="K155" s="45">
        <f t="shared" si="5"/>
        <v>44201.3016</v>
      </c>
      <c r="L155" s="43"/>
      <c r="M155" s="43" t="str">
        <f>IFERROR(__xludf.DUMMYFUNCTION("SPLIT(O155,"","")"),"Čirč 208")</f>
        <v>Čirč 208</v>
      </c>
      <c r="N155" s="43" t="str">
        <f>IFERROR(__xludf.DUMMYFUNCTION("""COMPUTED_VALUE""")," 065 42 Čirč")</f>
        <v> 065 42 Čirč</v>
      </c>
      <c r="O155" s="42" t="s">
        <v>1775</v>
      </c>
      <c r="P155" s="43">
        <v>49.2800295</v>
      </c>
      <c r="Q155" s="43">
        <v>20.9211886</v>
      </c>
      <c r="R155" s="56" t="s">
        <v>1776</v>
      </c>
      <c r="S155" s="34" t="s">
        <v>1777</v>
      </c>
      <c r="T155" s="63" t="s">
        <v>1778</v>
      </c>
      <c r="U155" s="61" t="s">
        <v>1779</v>
      </c>
      <c r="V155" s="66" t="s">
        <v>1780</v>
      </c>
      <c r="W155" s="55" t="s">
        <v>1781</v>
      </c>
      <c r="X155" s="54" t="s">
        <v>1782</v>
      </c>
      <c r="Y155" s="46" t="s">
        <v>1776</v>
      </c>
      <c r="Z155" s="53" t="s">
        <v>1783</v>
      </c>
      <c r="AA155" s="52" t="s">
        <v>64</v>
      </c>
      <c r="AB155" s="55"/>
      <c r="AC155" s="56"/>
      <c r="AD155" s="56"/>
      <c r="AE155" s="55"/>
      <c r="AF155" s="55"/>
      <c r="AG155" s="56"/>
      <c r="AH155" s="56"/>
      <c r="AI155" s="55"/>
      <c r="AJ155" s="55"/>
      <c r="AK155" s="56"/>
      <c r="AL155" s="56"/>
      <c r="AM155" s="47"/>
      <c r="AN155" s="62" t="s">
        <v>39</v>
      </c>
      <c r="AO155" s="57" t="s">
        <v>40</v>
      </c>
      <c r="AP155" s="58" t="str">
        <f t="shared" si="6"/>
        <v>Solisko CIRC s.r.o., r.s.p. stavebnictvo, &amp;#32vsetky kategorie  065 42 Circ Stavebne a rekonstrukcne prace. Zamestnavame aj zdravotne znevyhodnenych pracovnikov. Solisko Circ s.r.o., r.s.p. Stavebne a rekonstrukcne prace. Stavebne prace, stavba, rekonstrukcia            Register partnerov VS</v>
      </c>
      <c r="AQ155" s="37"/>
    </row>
    <row r="156" ht="15.75" customHeight="1">
      <c r="A156" s="43"/>
      <c r="B156" s="59">
        <v>164.0</v>
      </c>
      <c r="C156" s="75" t="s">
        <v>1784</v>
      </c>
      <c r="D156" s="42" t="s">
        <v>218</v>
      </c>
      <c r="E156" s="38" t="str">
        <f t="shared" si="1"/>
        <v>Košický kraj, &amp;#32celé Slovensko</v>
      </c>
      <c r="F156" s="42" t="s">
        <v>1785</v>
      </c>
      <c r="G156" s="38" t="str">
        <f t="shared" si="2"/>
        <v>doprava, cestovný ruch, &amp;#32všetky kategórie</v>
      </c>
      <c r="H156" s="42" t="s">
        <v>96</v>
      </c>
      <c r="I156" s="43" t="str">
        <f t="shared" si="3"/>
        <v>6 - 10, &amp;#32všetky možnosti</v>
      </c>
      <c r="J156" s="44" t="str">
        <f t="shared" si="7"/>
        <v>,Register partnerov VS,</v>
      </c>
      <c r="K156" s="45">
        <f t="shared" si="5"/>
        <v>37577.83303</v>
      </c>
      <c r="L156" s="43"/>
      <c r="M156" s="43" t="str">
        <f>IFERROR(__xludf.DUMMYFUNCTION("SPLIT(O156,"","")"),"Dedinky 79")</f>
        <v>Dedinky 79</v>
      </c>
      <c r="N156" s="43" t="str">
        <f>IFERROR(__xludf.DUMMYFUNCTION("""COMPUTED_VALUE""")," 049 73 Dedinky")</f>
        <v> 049 73 Dedinky</v>
      </c>
      <c r="O156" s="42" t="s">
        <v>1786</v>
      </c>
      <c r="P156" s="43">
        <v>48.8670604</v>
      </c>
      <c r="Q156" s="43">
        <v>20.3792274</v>
      </c>
      <c r="R156" s="56" t="s">
        <v>1787</v>
      </c>
      <c r="S156" s="34" t="s">
        <v>1788</v>
      </c>
      <c r="T156" s="63" t="s">
        <v>86</v>
      </c>
      <c r="U156" s="105" t="s">
        <v>1789</v>
      </c>
      <c r="V156" s="50" t="s">
        <v>1790</v>
      </c>
      <c r="W156" s="55" t="s">
        <v>1791</v>
      </c>
      <c r="X156" s="54" t="s">
        <v>1784</v>
      </c>
      <c r="Y156" s="46" t="s">
        <v>1792</v>
      </c>
      <c r="Z156" s="53" t="s">
        <v>1793</v>
      </c>
      <c r="AA156" s="52" t="s">
        <v>64</v>
      </c>
      <c r="AB156" s="55"/>
      <c r="AC156" s="56"/>
      <c r="AD156" s="56"/>
      <c r="AE156" s="55"/>
      <c r="AF156" s="55"/>
      <c r="AG156" s="56"/>
      <c r="AH156" s="56"/>
      <c r="AI156" s="55"/>
      <c r="AJ156" s="55"/>
      <c r="AK156" s="56"/>
      <c r="AL156" s="56"/>
      <c r="AM156" s="47"/>
      <c r="AN156" s="62" t="s">
        <v>39</v>
      </c>
      <c r="AO156" s="64"/>
      <c r="AP156" s="58" t="str">
        <f t="shared" si="6"/>
        <v>Dedinky s. r. o. doprava, cestovny ruch, &amp;#32vsetky kategorie  049 73 Dedinky Hlavnym zameranim je prevadzka lanovej drahy Dedinky - Geravy. Tato sluzba je urcena pre siroku verejnost bez rozdielu - pre domacich obyvatelov, tuzemskych aj zahranicnych navstevnikov regionu. Socialny podnik nam pomaha riesit nezamestnanost znevyhodnenych osob na urovni minimalne 30 %. Prostrednictvom neho podnikame v oblasti cestovneho ruchu. Zamestnanim celkoveho poctu 7 - 9 pracovnikov znizujeme nezamestnanost v nasom regione. Dedinky s. r. o. Poskytovanie sluzieb prepravy osob na lanovej drahe Dedinky - Geravy. lanova draha, preprava,  sedackova lanovka           Register partnerov VS</v>
      </c>
      <c r="AQ156" s="37"/>
    </row>
    <row r="157" ht="15.75" customHeight="1">
      <c r="A157" s="43"/>
      <c r="B157" s="59">
        <v>165.0</v>
      </c>
      <c r="C157" s="75" t="s">
        <v>1794</v>
      </c>
      <c r="D157" s="42" t="s">
        <v>66</v>
      </c>
      <c r="E157" s="38" t="str">
        <f t="shared" si="1"/>
        <v>Žilinský kraj, &amp;#32celé Slovensko</v>
      </c>
      <c r="F157" s="42" t="s">
        <v>1795</v>
      </c>
      <c r="G157" s="38" t="str">
        <f t="shared" si="2"/>
        <v>poľnohospodárstvo a lesníctvo, dom a záhrada, stavebníctvo, cestovný ruch, odpady a recyklácia, &amp;#32všetky kategórie</v>
      </c>
      <c r="H157" s="42" t="s">
        <v>53</v>
      </c>
      <c r="I157" s="43" t="str">
        <f t="shared" si="3"/>
        <v>1 - 5, &amp;#32všetky možnosti</v>
      </c>
      <c r="J157" s="44" t="str">
        <f t="shared" si="7"/>
        <v>,Register partnerov VS,</v>
      </c>
      <c r="K157" s="45">
        <f t="shared" si="5"/>
        <v>15980.75105</v>
      </c>
      <c r="L157" s="43"/>
      <c r="M157" s="43" t="str">
        <f>IFERROR(__xludf.DUMMYFUNCTION("SPLIT(O157,"","")"),"Žabokreky 145")</f>
        <v>Žabokreky 145</v>
      </c>
      <c r="N157" s="43" t="str">
        <f>IFERROR(__xludf.DUMMYFUNCTION("""COMPUTED_VALUE""")," 038 40 Žabokreky")</f>
        <v> 038 40 Žabokreky</v>
      </c>
      <c r="O157" s="42" t="s">
        <v>1796</v>
      </c>
      <c r="P157" s="43">
        <v>49.0256153</v>
      </c>
      <c r="Q157" s="43">
        <v>18.9230533</v>
      </c>
      <c r="R157" s="56" t="s">
        <v>1797</v>
      </c>
      <c r="S157" s="34" t="s">
        <v>1798</v>
      </c>
      <c r="T157" s="63" t="s">
        <v>1799</v>
      </c>
      <c r="U157" s="61" t="s">
        <v>1800</v>
      </c>
      <c r="V157" s="50" t="s">
        <v>1801</v>
      </c>
      <c r="W157" s="55" t="s">
        <v>1802</v>
      </c>
      <c r="X157" s="54" t="s">
        <v>1803</v>
      </c>
      <c r="Y157" s="46" t="s">
        <v>1804</v>
      </c>
      <c r="Z157" s="53" t="s">
        <v>1805</v>
      </c>
      <c r="AA157" s="52" t="s">
        <v>64</v>
      </c>
      <c r="AB157" s="55"/>
      <c r="AC157" s="56"/>
      <c r="AD157" s="56"/>
      <c r="AE157" s="55"/>
      <c r="AF157" s="55"/>
      <c r="AG157" s="56"/>
      <c r="AH157" s="56"/>
      <c r="AI157" s="55"/>
      <c r="AJ157" s="55"/>
      <c r="AK157" s="56"/>
      <c r="AL157" s="56"/>
      <c r="AM157" s="47"/>
      <c r="AN157" s="62" t="s">
        <v>39</v>
      </c>
      <c r="AO157" s="64"/>
      <c r="AP157" s="58" t="str">
        <f t="shared" si="6"/>
        <v>Obecny podnik Zabokreky, s. r. o. polnohospodarstvo a lesnictvo, dom a zahrada, stavebnictvo, cestovny ruch, odpady a recyklacia, &amp;#32vsetky kategorie  038 40 Zabokreky Obecny podnik Zabokreky, s.r.o. poskytuje komplexne komunalne sluzby najma obci Zabokreky a jej obcanom. Poskytujeme sluzby charakteru stavebnych cinnosti, krajinnych uprav, nakladania s inym ako nebezpecnym odpadom, udrzby a spravy verejnych budov, spravy informacnych rezervacnych systemov, letnej a zimnej udrzby verejnych priestranstiev. Obecny podnik Zabokreky, s.r.o. prispieva k dosahovaniu robustnejsieho pozitivneho socialneho vplyvu v oblasti inkluzie znevyhodnenych a zranitelnych osob na pracovny trh; tieto osoby zapaja do cinnosti poskytovania komplexnych komunalnych sluzieb. Tym prispieva najma k vytvaraniu socialnej stability na uzemi obce i v sirsom okoli, najma prikladom dobrej praxe. Obecny podnik Zabokreky, s.r.o. Obecny podnik Zabokreky, s.r.o. ponuka sluzby v cinnostiach stavebnych, krajinnych uprav, nakladania s inym ako nebezpecnym odpadom, udrzby a spravy verejnych budov, spravy informacnych rezervacnych systemov na prenajom obecnych nehnutelnosti, sportovych potrieb a verejnych priestranstiev, ktore ma registrovany socialny podnik v sprave na zaklade zmluvneho vztahu s obcou Zabokreky ako jednym zo svojich zakladatelov.
 Obecny podnik Zabokreky, komunalne sluzby, zemne prace, pozicovna sportovych potrieb, nakladanie s inym ako nebezpecnym odpadom, krajinne upravy, zahradnicke sluzby           Register partnerov VS</v>
      </c>
      <c r="AQ157" s="37"/>
    </row>
    <row r="158" ht="15.75" customHeight="1">
      <c r="A158" s="43"/>
      <c r="B158" s="59">
        <v>166.0</v>
      </c>
      <c r="C158" s="75" t="s">
        <v>1806</v>
      </c>
      <c r="D158" s="42" t="s">
        <v>229</v>
      </c>
      <c r="E158" s="38" t="str">
        <f t="shared" si="1"/>
        <v>Nitriansky kraj, &amp;#32celé Slovensko</v>
      </c>
      <c r="F158" s="42" t="s">
        <v>1807</v>
      </c>
      <c r="G158" s="38" t="str">
        <f t="shared" si="2"/>
        <v>ochrana a bezpečnosť, reklama, obaly, nábytok a bytové doplnky, bižutéria a darčekové predmety, &amp;#32všetky kategórie</v>
      </c>
      <c r="H158" s="42" t="s">
        <v>53</v>
      </c>
      <c r="I158" s="43" t="str">
        <f t="shared" si="3"/>
        <v>1 - 5, &amp;#32všetky možnosti</v>
      </c>
      <c r="J158" s="44" t="str">
        <f t="shared" si="7"/>
        <v>,Register partnerov VS,</v>
      </c>
      <c r="K158" s="45">
        <f t="shared" si="5"/>
        <v>32641.6848</v>
      </c>
      <c r="L158" s="43"/>
      <c r="M158" s="43" t="str">
        <f>IFERROR(__xludf.DUMMYFUNCTION("SPLIT(O158,"","")"),"Kalvária 3")</f>
        <v>Kalvária 3</v>
      </c>
      <c r="N158" s="43" t="str">
        <f>IFERROR(__xludf.DUMMYFUNCTION("""COMPUTED_VALUE""")," 949 01 Nitra")</f>
        <v> 949 01 Nitra</v>
      </c>
      <c r="O158" s="42" t="s">
        <v>1808</v>
      </c>
      <c r="P158" s="43">
        <v>48.2984593</v>
      </c>
      <c r="Q158" s="43">
        <v>18.0913451</v>
      </c>
      <c r="R158" s="56" t="s">
        <v>1809</v>
      </c>
      <c r="S158" s="34" t="s">
        <v>1810</v>
      </c>
      <c r="T158" s="63" t="s">
        <v>1811</v>
      </c>
      <c r="U158" s="61" t="s">
        <v>1812</v>
      </c>
      <c r="V158" s="50" t="s">
        <v>1813</v>
      </c>
      <c r="W158" s="55" t="s">
        <v>1814</v>
      </c>
      <c r="X158" s="54" t="s">
        <v>1806</v>
      </c>
      <c r="Y158" s="46" t="s">
        <v>1815</v>
      </c>
      <c r="Z158" s="53" t="s">
        <v>1816</v>
      </c>
      <c r="AA158" s="52" t="s">
        <v>64</v>
      </c>
      <c r="AB158" s="55"/>
      <c r="AC158" s="56"/>
      <c r="AD158" s="56"/>
      <c r="AE158" s="55"/>
      <c r="AF158" s="55"/>
      <c r="AG158" s="56"/>
      <c r="AH158" s="56"/>
      <c r="AI158" s="55"/>
      <c r="AJ158" s="55"/>
      <c r="AK158" s="56"/>
      <c r="AL158" s="56"/>
      <c r="AM158" s="47"/>
      <c r="AN158" s="62" t="s">
        <v>39</v>
      </c>
      <c r="AO158" s="64"/>
      <c r="AP158" s="58" t="str">
        <f t="shared" si="6"/>
        <v>Breco s. r. o. ochrana a bezpecnost, reklama, obaly, nabytok a bytove doplnky, bizuteria a darcekove predmety, &amp;#32vsetky kategorie  949 01 Nitra Spolocnost sa zameriava na vyrobu, nakup a predaj predovsetkym vlastnych vyrobkov, a to: osobne ochranne prostriedky, vstupne cistiace rohoze, certifikovane sorpcne rohoze pre zamedzenie uniku pohonnych hmot a olejov, reklamne tasky, modelovacie hmoty a reklamne predmety. Aktualne mame v ponuke rozne dekoracne a uzitkove predmety z preglejky, vzdy podla aktualnej sezony.
Nasi zakaznici su obchodne spolocnosti, samospravy, skoly, cirkevne organizacie, obchodne retazce a samozrejme v nemalej miere konecny spotrebitel. Spolocnost prispieva k dosahovaniu pozitivneho socialneho vplyvu poskytovanim spolocensky prospesnej sluzby v oblasti zamestnanosti, a to zamestnavanim znevyhodnenych a/alebo zranitelnych osob.Tieto si osvoja pracovne navyky a ziskaju nove zrucnosti pre vykon povolania, co zvysi sance na ich opatovne spolocenske zaclenenie beruc do uvahy ich novonadobudnutu mieru financnej autonomie a samostatnosti, sebadovery ci schopnosti fungovat v prostredi pracovneho kolektivu. Uvedene bude mat na osoby pozitivny socialny vplyv. Dojde k odstraneniu vylucenia tychto osob a k ich zacleneniu z okraja spolocnosti do realneho zivota. Breco s. r. o. Spolocnost sa zameriava na vyrobu, nakup a predaj predovsetkym vlastnych vyrobkov, a to: osobne ochranne prostriedky (ruska, ochranne stity), vstupne cistiace rohoze, certifikovane sorpcne rohoze pre zamedzenie uniku pohonnych hmot a olejov, reklamne tasky, modelovacie hmoty a reklamne predmety. Aktualne mame v ponuke dekoracne predmety z preglejky (vianocne ozdoby), vzdy podla danej sezony. ruska, ochranne stity, rohoze, sorpcne rohoze, vstupne rohoze, printove rohoze, bavlnene tasky, tasky, modelarsky material, modulit, vianocne ozdoby, dekoracie, rezanie laserom, ultrazvukove zvaranie, potlac, reklamne predmety, darcekove predmety, vyrobky z dreva           Register partnerov VS</v>
      </c>
      <c r="AQ158" s="37"/>
    </row>
    <row r="159" ht="15.75" customHeight="1">
      <c r="A159" s="43"/>
      <c r="B159" s="59">
        <v>167.0</v>
      </c>
      <c r="C159" s="75" t="s">
        <v>1817</v>
      </c>
      <c r="D159" s="42" t="s">
        <v>181</v>
      </c>
      <c r="E159" s="38" t="str">
        <f t="shared" si="1"/>
        <v>Banskobystrický kraj, &amp;#32celé Slovensko</v>
      </c>
      <c r="F159" s="42" t="s">
        <v>1818</v>
      </c>
      <c r="G159" s="38" t="str">
        <f t="shared" si="2"/>
        <v>nábytok a bytové doplnky, iné (tovary a služby), &amp;#32všetky kategórie</v>
      </c>
      <c r="H159" s="42" t="s">
        <v>170</v>
      </c>
      <c r="I159" s="43" t="str">
        <f t="shared" si="3"/>
        <v>21 a viac, &amp;#32všetky možnosti</v>
      </c>
      <c r="J159" s="44" t="str">
        <f t="shared" si="7"/>
        <v>,Register partnerov VS,Náhradné plnenie</v>
      </c>
      <c r="K159" s="45">
        <f t="shared" si="5"/>
        <v>4287.182342</v>
      </c>
      <c r="L159" s="43"/>
      <c r="M159" s="43" t="str">
        <f>IFERROR(__xludf.DUMMYFUNCTION("SPLIT(O159,"","")"),"Majerská cesta 73")</f>
        <v>Majerská cesta 73</v>
      </c>
      <c r="N159" s="43" t="str">
        <f>IFERROR(__xludf.DUMMYFUNCTION("""COMPUTED_VALUE""")," 974 01 Banská Bystrica")</f>
        <v> 974 01 Banská Bystrica</v>
      </c>
      <c r="O159" s="42" t="s">
        <v>1819</v>
      </c>
      <c r="P159" s="43">
        <v>48.7337581</v>
      </c>
      <c r="Q159" s="43">
        <v>19.1797588</v>
      </c>
      <c r="R159" s="56" t="s">
        <v>1820</v>
      </c>
      <c r="S159" s="34" t="s">
        <v>465</v>
      </c>
      <c r="T159" s="63" t="s">
        <v>86</v>
      </c>
      <c r="U159" s="61" t="s">
        <v>1821</v>
      </c>
      <c r="V159" s="50" t="s">
        <v>1822</v>
      </c>
      <c r="W159" s="55" t="s">
        <v>1823</v>
      </c>
      <c r="X159" s="54" t="s">
        <v>1817</v>
      </c>
      <c r="Y159" s="46" t="s">
        <v>1824</v>
      </c>
      <c r="Z159" s="53" t="s">
        <v>1825</v>
      </c>
      <c r="AA159" s="52" t="s">
        <v>64</v>
      </c>
      <c r="AB159" s="55"/>
      <c r="AC159" s="56"/>
      <c r="AD159" s="56"/>
      <c r="AE159" s="55"/>
      <c r="AF159" s="55"/>
      <c r="AG159" s="56"/>
      <c r="AH159" s="56"/>
      <c r="AI159" s="55"/>
      <c r="AJ159" s="55"/>
      <c r="AK159" s="56"/>
      <c r="AL159" s="56"/>
      <c r="AM159" s="47"/>
      <c r="AN159" s="62" t="s">
        <v>39</v>
      </c>
      <c r="AO159" s="57" t="s">
        <v>40</v>
      </c>
      <c r="AP159" s="58" t="str">
        <f t="shared" si="6"/>
        <v>KNK PLUS, vyrobne druzstvo nabytok a bytove doplnky, ine (tovary a sluzby), &amp;#32vsetky kategorie  974 01 Banska Bystrica Medzi sortiment vyrobkov, ktore KNK PLUS, vyrobne druzstvo, r. s. p. ponuka, patria: nabytkove uchytky, knopky, zavesy, panty, vesiaky, kolieska, klzaky, zamky, klucky, nohy na nabytok, kovania na posuvne dvere a skladacie dvere, spojovacie kovania, konstrukcne prvky, technicke odliatky a mnohe dalsie. Zamestnavame zdravotne znevyhodnene osoby. KNK PLUS, vyrobne druzstvo Medzi sortiment vyrobkov, ktore KNK PLUS, vyrobne druzstvo, r. s. p. ponuka patria: nabytkove uchytky, knopky, zavesy, panty, vesiaky, kolieska, klzaky, zamky, klucky, nohy na nabytok, kovania na posuvne dvere a skladacie dvere, spojovacie kovania, konstrukcne prvky, a mnohe dalsie. Ponukame rozne baliace prace a ako registrovany socialny podnik poskytujeme nahradne plnenie. nabytkove uchytky, knopky, zavesy, panty, vesiaky, kolieska, klzaky, zamky, klucky, nohy na nabytok, kovania na posuvne dvere a skladacie dvere, spojovacie kovania, konstrukcne prvky, balenie, baliace prace           Register partnerov VS</v>
      </c>
      <c r="AQ159" s="37"/>
    </row>
    <row r="160" ht="15.75" customHeight="1">
      <c r="A160" s="43"/>
      <c r="B160" s="59">
        <v>169.0</v>
      </c>
      <c r="C160" s="75" t="s">
        <v>1826</v>
      </c>
      <c r="D160" s="42" t="s">
        <v>134</v>
      </c>
      <c r="E160" s="38" t="str">
        <f t="shared" si="1"/>
        <v>Trenčiansky kraj, &amp;#32celé Slovensko</v>
      </c>
      <c r="F160" s="42" t="s">
        <v>1827</v>
      </c>
      <c r="G160" s="38" t="str">
        <f t="shared" si="2"/>
        <v>dom a záhrada, stavebníctvo, doprava, odpady a recyklácia, &amp;#32všetky kategórie</v>
      </c>
      <c r="H160" s="42" t="s">
        <v>170</v>
      </c>
      <c r="I160" s="43" t="str">
        <f t="shared" si="3"/>
        <v>21 a viac, &amp;#32všetky možnosti</v>
      </c>
      <c r="J160" s="44" t="str">
        <f t="shared" si="7"/>
        <v>,Register partnerov VS,</v>
      </c>
      <c r="K160" s="45">
        <f t="shared" si="5"/>
        <v>35803.48698</v>
      </c>
      <c r="L160" s="43"/>
      <c r="M160" s="43" t="str">
        <f>IFERROR(__xludf.DUMMYFUNCTION("SPLIT(O160,"","")"),"Potočná 20")</f>
        <v>Potočná 20</v>
      </c>
      <c r="N160" s="43" t="str">
        <f>IFERROR(__xludf.DUMMYFUNCTION("""COMPUTED_VALUE""")," 972 51 Handlová")</f>
        <v> 972 51 Handlová</v>
      </c>
      <c r="O160" s="42" t="s">
        <v>1828</v>
      </c>
      <c r="P160" s="43">
        <v>48.725654</v>
      </c>
      <c r="Q160" s="43">
        <v>18.7567628</v>
      </c>
      <c r="R160" s="56" t="s">
        <v>1829</v>
      </c>
      <c r="S160" s="34" t="s">
        <v>1830</v>
      </c>
      <c r="T160" s="63" t="s">
        <v>86</v>
      </c>
      <c r="U160" s="61" t="s">
        <v>1831</v>
      </c>
      <c r="V160" s="50" t="s">
        <v>1832</v>
      </c>
      <c r="W160" s="55" t="s">
        <v>1833</v>
      </c>
      <c r="X160" s="54" t="s">
        <v>1834</v>
      </c>
      <c r="Y160" s="46" t="s">
        <v>1835</v>
      </c>
      <c r="Z160" s="53" t="s">
        <v>1836</v>
      </c>
      <c r="AA160" s="52" t="s">
        <v>64</v>
      </c>
      <c r="AB160" s="55"/>
      <c r="AC160" s="56"/>
      <c r="AD160" s="56"/>
      <c r="AE160" s="55"/>
      <c r="AF160" s="55"/>
      <c r="AG160" s="56"/>
      <c r="AH160" s="56"/>
      <c r="AI160" s="55"/>
      <c r="AJ160" s="55"/>
      <c r="AK160" s="56"/>
      <c r="AL160" s="56"/>
      <c r="AM160" s="47"/>
      <c r="AN160" s="62" t="s">
        <v>39</v>
      </c>
      <c r="AO160" s="64"/>
      <c r="AP160" s="58" t="str">
        <f t="shared" si="6"/>
        <v>HATER - HANDLOVA spol. s r.o. dom a zahrada, stavebnictvo, doprava, odpady a recyklacia, &amp;#32vsetky kategorie  972 51 Handlova Hlavne cinnosti: uskladnenie odpadu, udrzba komunikacii, dopravne vykony, separacia odpadov, udrzba zelene, navrhy a realizacia zahrad, zvoz a spracovanie bio odpadu (BIO) a biologicky rozlozitelneho kuchynskeho odpadu (BRKO). Podporujeme regionalny rozvoj a zamestnanost. Skladka odpadov Handlova Uskladnenie odpadov. odpad, doprava, kosenie, BRKO, stavebne prace, zemne prace, zahradne prace, udrzba zelene, zahrada, spracovanie odpadu           Register partnerov VS</v>
      </c>
      <c r="AQ160" s="37"/>
    </row>
    <row r="161" ht="15.75" customHeight="1">
      <c r="A161" s="43"/>
      <c r="B161" s="59">
        <v>170.0</v>
      </c>
      <c r="C161" s="75" t="s">
        <v>1837</v>
      </c>
      <c r="D161" s="42" t="s">
        <v>66</v>
      </c>
      <c r="E161" s="38" t="str">
        <f t="shared" si="1"/>
        <v>Žilinský kraj, &amp;#32celé Slovensko</v>
      </c>
      <c r="F161" s="42" t="s">
        <v>1838</v>
      </c>
      <c r="G161" s="38" t="str">
        <f t="shared" si="2"/>
        <v>ubytovacie a stravovacie služby, &amp;#32všetky kategórie</v>
      </c>
      <c r="H161" s="42" t="s">
        <v>53</v>
      </c>
      <c r="I161" s="43" t="str">
        <f t="shared" si="3"/>
        <v>1 - 5, &amp;#32všetky možnosti</v>
      </c>
      <c r="J161" s="44" t="str">
        <f t="shared" si="7"/>
        <v>,,</v>
      </c>
      <c r="K161" s="45">
        <f t="shared" si="5"/>
        <v>24625.63299</v>
      </c>
      <c r="L161" s="43"/>
      <c r="M161" s="43" t="str">
        <f>IFERROR(__xludf.DUMMYFUNCTION("SPLIT(O161,"","")"),"Blatnica 377")</f>
        <v>Blatnica 377</v>
      </c>
      <c r="N161" s="43" t="str">
        <f>IFERROR(__xludf.DUMMYFUNCTION("""COMPUTED_VALUE""")," 038 15 Blatnica")</f>
        <v> 038 15 Blatnica</v>
      </c>
      <c r="O161" s="42" t="s">
        <v>1839</v>
      </c>
      <c r="P161" s="43">
        <v>48.9395026</v>
      </c>
      <c r="Q161" s="43">
        <v>18.9246675</v>
      </c>
      <c r="R161" s="56" t="s">
        <v>1840</v>
      </c>
      <c r="S161" s="34" t="s">
        <v>1841</v>
      </c>
      <c r="T161" s="63" t="s">
        <v>1842</v>
      </c>
      <c r="U161" s="61" t="s">
        <v>1843</v>
      </c>
      <c r="V161" s="50" t="s">
        <v>1844</v>
      </c>
      <c r="W161" s="55" t="s">
        <v>1845</v>
      </c>
      <c r="X161" s="54" t="s">
        <v>1846</v>
      </c>
      <c r="Y161" s="46" t="s">
        <v>1847</v>
      </c>
      <c r="Z161" s="53" t="s">
        <v>1848</v>
      </c>
      <c r="AA161" s="52" t="s">
        <v>64</v>
      </c>
      <c r="AB161" s="55"/>
      <c r="AC161" s="56"/>
      <c r="AD161" s="56"/>
      <c r="AE161" s="55"/>
      <c r="AF161" s="55"/>
      <c r="AG161" s="56"/>
      <c r="AH161" s="56"/>
      <c r="AI161" s="55"/>
      <c r="AJ161" s="55"/>
      <c r="AK161" s="56"/>
      <c r="AL161" s="56"/>
      <c r="AM161" s="34"/>
      <c r="AN161" s="55"/>
      <c r="AO161" s="64"/>
      <c r="AP161" s="58" t="str">
        <f t="shared" si="6"/>
        <v>GADER, s.r.o. ubytovacie a stravovacie sluzby, &amp;#32vsetky kategorie  038 15 Blatnica Ponukame ubytovacie a restauracne sluzby, rozne spolocenske oslavy, firemne akcie ako skolenia ci team-buildingy. Nasimi zakaznikmi su predovsetkym navstevnici Narodneho parku Velka Fatra, ale aj rozne skupiny, rodiny s detmi, firmy. Realizujeme sluzby na podporu zamestnanosti - percentom zamestnanych znevyhodnenych a/alebo zranitelnych osob z celkoveho poctu zamestnancov. Chatova osada Gader Ubytovacie sluzby, prevadzka restauracie, bufetu a zmrzlinoveho stanku. restauracia, ubytovanie, firemne akcie, eventy, teambuilding           </v>
      </c>
      <c r="AQ161" s="37"/>
    </row>
    <row r="162" ht="15.75" customHeight="1">
      <c r="A162" s="43"/>
      <c r="B162" s="59">
        <v>171.0</v>
      </c>
      <c r="C162" s="75" t="s">
        <v>1849</v>
      </c>
      <c r="D162" s="42" t="s">
        <v>218</v>
      </c>
      <c r="E162" s="38" t="str">
        <f t="shared" si="1"/>
        <v>Košický kraj, &amp;#32celé Slovensko</v>
      </c>
      <c r="F162" s="42" t="s">
        <v>639</v>
      </c>
      <c r="G162" s="38" t="str">
        <f t="shared" si="2"/>
        <v>čistiace a upratovacie služby, dom a záhrada, &amp;#32všetky kategórie</v>
      </c>
      <c r="H162" s="42" t="s">
        <v>96</v>
      </c>
      <c r="I162" s="43" t="str">
        <f t="shared" si="3"/>
        <v>6 - 10, &amp;#32všetky možnosti</v>
      </c>
      <c r="J162" s="44" t="str">
        <f t="shared" si="7"/>
        <v>,Register partnerov VS,</v>
      </c>
      <c r="K162" s="45">
        <f t="shared" si="5"/>
        <v>41963.89429</v>
      </c>
      <c r="L162" s="43"/>
      <c r="M162" s="43" t="str">
        <f>IFERROR(__xludf.DUMMYFUNCTION("SPLIT(O162,"","")"),"Jamník 101")</f>
        <v>Jamník 101</v>
      </c>
      <c r="N162" s="43" t="str">
        <f>IFERROR(__xludf.DUMMYFUNCTION("""COMPUTED_VALUE""")," 053 22 Jamník")</f>
        <v> 053 22 Jamník</v>
      </c>
      <c r="O162" s="42" t="s">
        <v>1850</v>
      </c>
      <c r="P162" s="43">
        <v>48.9425727</v>
      </c>
      <c r="Q162" s="43">
        <v>20.6631226</v>
      </c>
      <c r="R162" s="56" t="s">
        <v>1851</v>
      </c>
      <c r="S162" s="34" t="s">
        <v>1852</v>
      </c>
      <c r="T162" s="63" t="s">
        <v>86</v>
      </c>
      <c r="U162" s="61" t="s">
        <v>1853</v>
      </c>
      <c r="V162" s="50" t="s">
        <v>1854</v>
      </c>
      <c r="W162" s="55" t="s">
        <v>1855</v>
      </c>
      <c r="X162" s="54" t="s">
        <v>1856</v>
      </c>
      <c r="Y162" s="46" t="s">
        <v>1857</v>
      </c>
      <c r="Z162" s="53" t="s">
        <v>1858</v>
      </c>
      <c r="AA162" s="52" t="s">
        <v>64</v>
      </c>
      <c r="AB162" s="55"/>
      <c r="AC162" s="56"/>
      <c r="AD162" s="56"/>
      <c r="AE162" s="55"/>
      <c r="AF162" s="55"/>
      <c r="AG162" s="56"/>
      <c r="AH162" s="56"/>
      <c r="AI162" s="55"/>
      <c r="AJ162" s="55"/>
      <c r="AK162" s="56"/>
      <c r="AL162" s="56"/>
      <c r="AM162" s="47"/>
      <c r="AN162" s="62" t="s">
        <v>39</v>
      </c>
      <c r="AO162" s="64"/>
      <c r="AP162" s="58" t="str">
        <f t="shared" si="6"/>
        <v>OSP JAMNIK s. r. o. cistiace a upratovacie sluzby, dom a zahrada, &amp;#32vsetky kategorie  053 22 Jamnik Zveladovanie verejnych priestranstiev a rekonstrukcia obecnych budov. Zakaznici si mozu objednat prenajom hnutelnych veci ako je napriklad mini bager, nakladne auto do 3,5 t, traktor s privesom na vyvoz. Dosahovanie pozitivneho socialneho vplyvu sa meria predovsetkym percentom zamestnanych znevyhodnenych a zranitelnych osob. Dalsou formou dosahovania pozitivneho socialneho vplyvu je, ze OSP Jamnik umoznuje znizovanie nezamestnanosti v regione Spis a v obci Jamnik, ako aj efektivne vyuzitie verejnych zdrojov v prospech obcanov obce. OSP JAMNIK s.r.o. Zakaznici si mozu objednat prenajom hnutelnych veci ako je napriklad mini bager, nakladne auto do 3,5 t, traktor s privesom na vyvoz. kosenie, bagrovanie, prevoz materialu, prenajom stavebnych strojov, nakladne auto           Register partnerov VS</v>
      </c>
      <c r="AQ162" s="37"/>
    </row>
    <row r="163" ht="15.75" customHeight="1">
      <c r="A163" s="43"/>
      <c r="B163" s="59">
        <v>172.0</v>
      </c>
      <c r="C163" s="75" t="s">
        <v>1859</v>
      </c>
      <c r="D163" s="42" t="s">
        <v>218</v>
      </c>
      <c r="E163" s="38" t="str">
        <f t="shared" si="1"/>
        <v>Košický kraj, &amp;#32celé Slovensko</v>
      </c>
      <c r="F163" s="42" t="s">
        <v>1860</v>
      </c>
      <c r="G163" s="38" t="str">
        <f t="shared" si="2"/>
        <v>dom a záhrada, stavebníctvo, doprava, &amp;#32všetky kategórie</v>
      </c>
      <c r="H163" s="42" t="s">
        <v>96</v>
      </c>
      <c r="I163" s="43" t="str">
        <f t="shared" si="3"/>
        <v>6 - 10, &amp;#32všetky možnosti</v>
      </c>
      <c r="J163" s="44" t="str">
        <f t="shared" si="7"/>
        <v>,Register partnerov VS,</v>
      </c>
      <c r="K163" s="45">
        <f t="shared" si="5"/>
        <v>4905.229736</v>
      </c>
      <c r="L163" s="43"/>
      <c r="M163" s="43" t="str">
        <f>IFERROR(__xludf.DUMMYFUNCTION("SPLIT(O163,"","")"),"Námestie M. Pajdušáka 1341/50")</f>
        <v>Námestie M. Pajdušáka 1341/50</v>
      </c>
      <c r="N163" s="43" t="str">
        <f>IFERROR(__xludf.DUMMYFUNCTION("""COMPUTED_VALUE""")," 053 11 Smižany")</f>
        <v> 053 11 Smižany</v>
      </c>
      <c r="O163" s="42" t="s">
        <v>1861</v>
      </c>
      <c r="P163" s="43">
        <v>48.9583826999999</v>
      </c>
      <c r="Q163" s="43">
        <v>20.5177716</v>
      </c>
      <c r="R163" s="56" t="s">
        <v>1862</v>
      </c>
      <c r="S163" s="34" t="s">
        <v>1863</v>
      </c>
      <c r="T163" s="63" t="s">
        <v>86</v>
      </c>
      <c r="U163" s="61" t="s">
        <v>1864</v>
      </c>
      <c r="V163" s="50" t="s">
        <v>1865</v>
      </c>
      <c r="W163" s="55" t="s">
        <v>1866</v>
      </c>
      <c r="X163" s="54" t="s">
        <v>1859</v>
      </c>
      <c r="Y163" s="46" t="s">
        <v>1867</v>
      </c>
      <c r="Z163" s="53" t="s">
        <v>1868</v>
      </c>
      <c r="AA163" s="52" t="s">
        <v>64</v>
      </c>
      <c r="AB163" s="55"/>
      <c r="AC163" s="56"/>
      <c r="AD163" s="56"/>
      <c r="AE163" s="55"/>
      <c r="AF163" s="55"/>
      <c r="AG163" s="56"/>
      <c r="AH163" s="56"/>
      <c r="AI163" s="55"/>
      <c r="AJ163" s="55"/>
      <c r="AK163" s="56"/>
      <c r="AL163" s="56"/>
      <c r="AM163" s="47"/>
      <c r="AN163" s="62" t="s">
        <v>39</v>
      </c>
      <c r="AO163" s="64"/>
      <c r="AP163" s="58" t="str">
        <f t="shared" si="6"/>
        <v>Smizianske sluzby s.r.o dom a zahrada, stavebnictvo, doprava, &amp;#32vsetky kategorie  053 11 Smizany Drobne stavby, chodniky, ploty, terenne upravy, pozicovna vozika 2T, preprava vozidlom do 3,5 t, udrzba zelene, kanalizacne a vodovodne pripojky, Zamestnavame znevyhodnenych ludi, ZTP. Smizianske sluzby s.r.o Vystavba drobnych stavieb, preprava materialov autom do 3,5 t, prenajom vozika 2T, terenne upravy, udrzba zelene. chodnik, plot, kosenie, pripojka, bager, minibager, vykop, voda,            Register partnerov VS</v>
      </c>
      <c r="AQ163" s="37"/>
    </row>
    <row r="164" ht="15.75" customHeight="1">
      <c r="A164" s="43"/>
      <c r="B164" s="59">
        <v>173.0</v>
      </c>
      <c r="C164" s="75" t="s">
        <v>1869</v>
      </c>
      <c r="D164" s="42" t="s">
        <v>218</v>
      </c>
      <c r="E164" s="38" t="str">
        <f t="shared" si="1"/>
        <v>Košický kraj, &amp;#32celé Slovensko</v>
      </c>
      <c r="F164" s="42" t="s">
        <v>1870</v>
      </c>
      <c r="G164" s="38" t="str">
        <f t="shared" si="2"/>
        <v>odevy a obuv, nábytok a bytové doplnky, galantéria, &amp;#32všetky kategórie</v>
      </c>
      <c r="H164" s="42" t="s">
        <v>96</v>
      </c>
      <c r="I164" s="43" t="str">
        <f t="shared" si="3"/>
        <v>6 - 10, &amp;#32všetky možnosti</v>
      </c>
      <c r="J164" s="44" t="str">
        <f t="shared" si="7"/>
        <v>,,Náhradné plnenie</v>
      </c>
      <c r="K164" s="45">
        <f t="shared" si="5"/>
        <v>21581.07359</v>
      </c>
      <c r="L164" s="43"/>
      <c r="M164" s="43" t="str">
        <f>IFERROR(__xludf.DUMMYFUNCTION("SPLIT(O164,"","")"),"Malé Zalužice 179")</f>
        <v>Malé Zalužice 179</v>
      </c>
      <c r="N164" s="43" t="str">
        <f>IFERROR(__xludf.DUMMYFUNCTION("""COMPUTED_VALUE""")," 072 34 Zalužice")</f>
        <v> 072 34 Zalužice</v>
      </c>
      <c r="O164" s="42" t="s">
        <v>1871</v>
      </c>
      <c r="P164" s="43">
        <v>48.75904</v>
      </c>
      <c r="Q164" s="43">
        <v>21.9935199</v>
      </c>
      <c r="R164" s="56" t="s">
        <v>1872</v>
      </c>
      <c r="S164" s="69" t="s">
        <v>1873</v>
      </c>
      <c r="T164" s="70" t="s">
        <v>86</v>
      </c>
      <c r="U164" s="61" t="s">
        <v>1874</v>
      </c>
      <c r="V164" s="50" t="s">
        <v>1875</v>
      </c>
      <c r="W164" s="55" t="s">
        <v>1876</v>
      </c>
      <c r="X164" s="71" t="s">
        <v>1869</v>
      </c>
      <c r="Y164" s="72" t="s">
        <v>1877</v>
      </c>
      <c r="Z164" s="53" t="s">
        <v>1878</v>
      </c>
      <c r="AA164" s="67" t="s">
        <v>129</v>
      </c>
      <c r="AB164" s="55" t="s">
        <v>1869</v>
      </c>
      <c r="AC164" s="56" t="s">
        <v>1879</v>
      </c>
      <c r="AD164" s="56" t="s">
        <v>1880</v>
      </c>
      <c r="AE164" s="55" t="s">
        <v>64</v>
      </c>
      <c r="AF164" s="55"/>
      <c r="AG164" s="56"/>
      <c r="AH164" s="56"/>
      <c r="AI164" s="55"/>
      <c r="AJ164" s="55"/>
      <c r="AK164" s="56"/>
      <c r="AL164" s="56"/>
      <c r="AM164" s="34"/>
      <c r="AN164" s="55"/>
      <c r="AO164" s="57" t="s">
        <v>40</v>
      </c>
      <c r="AP164" s="58" t="str">
        <f t="shared" si="6"/>
        <v>Viktoria Dance Servis s.r.o. odevy a obuv, nabytok a bytove doplnky, galanteria, &amp;#32vsetky kategorie  072 34 Zaluzice Hlavnou cinnostou je predaj tanecnych topanok, sitie tanecnych kostymov a predaj doplnkov pre vsetky druhy tanca. Dalej sa zaoberame odevnou vyrobou, realizujeme zakazkove sitie a opravy odevov, ako aj rozne specialne zakazky (zatienenie zimnych zahrad, prekrytie podia atd.). Zaoberame sa aj predajom zahradneho nabytku (ratanove sedenie, zavesne vajicka a rozny exterierovy nabytok). Predavame zeleziarsky  sortiment vhodny pre domacich kutilov a vyrobcov nabytku (maloobchod aj velkoobchod). Zamestnavanie znevyhodnenych obcanov. Viktoria Dance Servis s.r.o. Nasa prevadzkaren v Kosiciach sa zaobera predajom obuvi, oblecenia a tanecnych doplnkov. Tanecna obuv, tanecne oblecenie,tanecne doplnky,  krajcirstvo, zahradny nabytok, ratanovy nabytok, zavesne vajicko, zakazkove sitie,  zeleziarstvo Viktoria Dance Servis s.r.o. Prevadzkaren v Zaluziciach sa venuje odevnej vyrobe, zakazkovemu sitiu, predaju zahradneho nabytku a zeleziarskych komponentov. Tanecna obuv, tanecne oblecenie,tanecne doplnky,  krajcirstvo, zahradny nabytok, zakazkove sitie,  zeleziarstvo        </v>
      </c>
      <c r="AQ164" s="37"/>
    </row>
    <row r="165" ht="15.75" customHeight="1">
      <c r="A165" s="43"/>
      <c r="B165" s="59">
        <v>174.0</v>
      </c>
      <c r="C165" s="75" t="s">
        <v>1881</v>
      </c>
      <c r="D165" s="42" t="s">
        <v>51</v>
      </c>
      <c r="E165" s="38" t="str">
        <f t="shared" si="1"/>
        <v>Prešovský kraj, &amp;#32celé Slovensko</v>
      </c>
      <c r="F165" s="42" t="s">
        <v>1882</v>
      </c>
      <c r="G165" s="38" t="str">
        <f t="shared" si="2"/>
        <v>dom a záhrada, ubytovacie a stravovacie služby, účtovníctvo a poradenstvo, &amp;#32všetky kategórie</v>
      </c>
      <c r="H165" s="42" t="s">
        <v>53</v>
      </c>
      <c r="I165" s="43" t="str">
        <f t="shared" si="3"/>
        <v>1 - 5, &amp;#32všetky možnosti</v>
      </c>
      <c r="J165" s="44" t="str">
        <f t="shared" si="7"/>
        <v>,Register partnerov VS,</v>
      </c>
      <c r="K165" s="45">
        <f t="shared" si="5"/>
        <v>11699.27766</v>
      </c>
      <c r="L165" s="43"/>
      <c r="M165" s="43" t="str">
        <f>IFERROR(__xludf.DUMMYFUNCTION("SPLIT(O165,"","")"),"Široké 185")</f>
        <v>Široké 185</v>
      </c>
      <c r="N165" s="43" t="str">
        <f>IFERROR(__xludf.DUMMYFUNCTION("""COMPUTED_VALUE""")," 082 37 Široké")</f>
        <v> 082 37 Široké</v>
      </c>
      <c r="O165" s="42" t="s">
        <v>1883</v>
      </c>
      <c r="P165" s="43">
        <v>48.9981382</v>
      </c>
      <c r="Q165" s="43">
        <v>20.9395032</v>
      </c>
      <c r="R165" s="56" t="s">
        <v>1884</v>
      </c>
      <c r="S165" s="69" t="s">
        <v>1885</v>
      </c>
      <c r="T165" s="70" t="s">
        <v>86</v>
      </c>
      <c r="U165" s="61" t="s">
        <v>1886</v>
      </c>
      <c r="V165" s="50" t="s">
        <v>1887</v>
      </c>
      <c r="W165" s="55" t="s">
        <v>1888</v>
      </c>
      <c r="X165" s="54" t="s">
        <v>1889</v>
      </c>
      <c r="Y165" s="46" t="s">
        <v>1890</v>
      </c>
      <c r="Z165" s="53" t="s">
        <v>1891</v>
      </c>
      <c r="AA165" s="52" t="s">
        <v>64</v>
      </c>
      <c r="AB165" s="55"/>
      <c r="AC165" s="56"/>
      <c r="AD165" s="56"/>
      <c r="AE165" s="55"/>
      <c r="AF165" s="55"/>
      <c r="AG165" s="56"/>
      <c r="AH165" s="56"/>
      <c r="AI165" s="55"/>
      <c r="AJ165" s="55"/>
      <c r="AK165" s="56"/>
      <c r="AL165" s="56"/>
      <c r="AM165" s="47"/>
      <c r="AN165" s="62" t="s">
        <v>39</v>
      </c>
      <c r="AO165" s="64"/>
      <c r="AP165" s="58" t="str">
        <f t="shared" si="6"/>
        <v>MDMT s. r. o., registrovany socialny podnik dom a zahrada, ubytovacie a stravovacie sluzby, uctovnictvo a poradenstvo, &amp;#32vsetky kategorie  082 37 Siroke Firma MDMT s. r o., registrovany socialny podnik, bola zalozena v roku 2019 s cielom poskytovania sluzieb v oblasti uctovnictva, danoveho poradenstva, donasky jedal pre pravnicke aj fyzicke osoby. Tuto ponuku sme rozsirili o sluzby osobneho charakteru poskytovane najma osobam s rozhodnutim o odkazanosti na socialne sluzby. Viac ako 75% nasich zamestnacov tvoria znevyhodnene osoby so zdravotnym postihnutim. MDMT s. r.o., registrovany socialny podnik Uctovnicke a auditorske cinnosti, vedenie uctovnych knih; danove poradenstvo
donaska jedal
starostlivost o domacnost Uctovnicke a auditorske cinnosti, vedenie uctovnych knih; danove poradenstvo
donaska jedal
starostlivost o domacnost            Register partnerov VS</v>
      </c>
      <c r="AQ165" s="37"/>
    </row>
    <row r="166" ht="15.75" customHeight="1">
      <c r="A166" s="43"/>
      <c r="B166" s="59">
        <v>175.0</v>
      </c>
      <c r="C166" s="75" t="s">
        <v>1892</v>
      </c>
      <c r="D166" s="42" t="s">
        <v>51</v>
      </c>
      <c r="E166" s="38" t="str">
        <f t="shared" si="1"/>
        <v>Prešovský kraj, &amp;#32celé Slovensko</v>
      </c>
      <c r="F166" s="42" t="s">
        <v>1893</v>
      </c>
      <c r="G166" s="38" t="str">
        <f t="shared" si="2"/>
        <v>stavebníctvo, dom a záhrada, potraviny a nápoje, &amp;#32všetky kategórie</v>
      </c>
      <c r="H166" s="42" t="s">
        <v>68</v>
      </c>
      <c r="I166" s="43" t="str">
        <f t="shared" si="3"/>
        <v>16 - 20, &amp;#32všetky možnosti</v>
      </c>
      <c r="J166" s="44" t="str">
        <f t="shared" si="7"/>
        <v>,,</v>
      </c>
      <c r="K166" s="45">
        <f t="shared" si="5"/>
        <v>21113.63469</v>
      </c>
      <c r="L166" s="43"/>
      <c r="M166" s="43" t="str">
        <f>IFERROR(__xludf.DUMMYFUNCTION("SPLIT(O166,"","")"),"Nižný Hrabovec 153")</f>
        <v>Nižný Hrabovec 153</v>
      </c>
      <c r="N166" s="43" t="str">
        <f>IFERROR(__xludf.DUMMYFUNCTION("""COMPUTED_VALUE""")," 094 21 Nižný Hrabovec")</f>
        <v> 094 21 Nižný Hrabovec</v>
      </c>
      <c r="O166" s="42" t="s">
        <v>1894</v>
      </c>
      <c r="P166" s="43">
        <v>48.8525304</v>
      </c>
      <c r="Q166" s="43">
        <v>21.7525734</v>
      </c>
      <c r="R166" s="56" t="s">
        <v>1895</v>
      </c>
      <c r="S166" s="69" t="s">
        <v>1896</v>
      </c>
      <c r="T166" s="70" t="s">
        <v>86</v>
      </c>
      <c r="U166" s="61" t="s">
        <v>1897</v>
      </c>
      <c r="V166" s="50" t="s">
        <v>1898</v>
      </c>
      <c r="W166" s="55" t="s">
        <v>1899</v>
      </c>
      <c r="X166" s="71" t="s">
        <v>1900</v>
      </c>
      <c r="Y166" s="72" t="s">
        <v>1901</v>
      </c>
      <c r="Z166" s="53" t="s">
        <v>1902</v>
      </c>
      <c r="AA166" s="67" t="s">
        <v>129</v>
      </c>
      <c r="AB166" s="55" t="s">
        <v>1903</v>
      </c>
      <c r="AC166" s="56" t="s">
        <v>1904</v>
      </c>
      <c r="AD166" s="56" t="s">
        <v>1905</v>
      </c>
      <c r="AE166" s="55" t="s">
        <v>64</v>
      </c>
      <c r="AF166" s="55"/>
      <c r="AG166" s="56"/>
      <c r="AH166" s="56"/>
      <c r="AI166" s="55"/>
      <c r="AJ166" s="55"/>
      <c r="AK166" s="56"/>
      <c r="AL166" s="56"/>
      <c r="AM166" s="34"/>
      <c r="AN166" s="55"/>
      <c r="AO166" s="64"/>
      <c r="AP166" s="58" t="str">
        <f t="shared" si="6"/>
        <v>Hrabovcan s. r. o., r.s.p. stavebnictvo, dom a zahrada, potraviny a napoje, &amp;#32vsetky kategorie  094 21 Nizny Hrabovec Nas podnik poskytuje sluzby a tovar v 3 oblastiach: 
1. stavebna cinnost - vystavba chodnikov, zemne stavebne prace, vykopove prace, pomocne prace pri stavebnych zakazkach, upratovanie objektov od stavebnych sutin (zakaznikmi su stavebne firmy, samospravy...);
2. zahradnictvo - maloobchodna predajna v obci s ponukou zahradnickeho tovaru - hnojiva, zeminy, naradie, farby a laky, bezny spotrebny material pre zahradkarov;
tvorime rozne ikebany so sezonnou tematikou - dusickove, vianocne, celorocne aranzmany  (zakaznikmi v tejto oblasti su obyvatelia nasej obce, okolitych obci a firmy, ktore si objednaju aranzmany pre svojich zamestnancov);
3. vyroba pirohov a cestovin - gastro prevadzka na vyrobu regionalnych potravin, ako su pirohy, zemiakove lokse, cestoviny; prevadzka ma vlastnu maloobchodnu predajnu a zaroven vyrobky distribuujeme do obchodnych regionalnych sieti (nasimi zakaznikmi su obyvatelia nasej obce, okolitych obci a COOP Jednota Vranov nad Toplou). Nas podnik zamestnava znevyhodnene skupiny obyvatelov v blizsom okoli. Nasou cinnostou zveladujeme prostredie, v ktorom zijeme (stavebne prace - chodniky), obcanom ponukame sluzby, ktore denne potrebuju pre svoje potreby a aj nemobilni obcania sa dostanu k sluzbam pre svoju zahradu. Ponukame potravinovy tovar, ktory ulahci pracu zamestnanym ludom. Najvacsim spolocenskym prinosom ale je, ze poskytujeme pracu 17 zamestnancom, ktori nasli uplatnenie v nasej firme. CP Hrabovcan Vyroba pirohov, cestovin a zemiakovych loksi. pirohy, cestoviny, lokse, zakusky, gastro, zmrzlina Zahradnictvo Hrabovcan Maloobchodna predajna zahradnickych potrieb, tvorba aranzmanov. hnojiva, postreky, substraty, naradie, farby, laky, kvetinace, vence, ikebany, darcekove predmety; stavebne prace, vykopove prace, upratovanie staveniska        </v>
      </c>
      <c r="AQ166" s="37"/>
    </row>
    <row r="167" ht="15.75" customHeight="1">
      <c r="A167" s="43"/>
      <c r="B167" s="59">
        <v>176.0</v>
      </c>
      <c r="C167" s="75" t="s">
        <v>1906</v>
      </c>
      <c r="D167" s="42" t="s">
        <v>66</v>
      </c>
      <c r="E167" s="38" t="str">
        <f t="shared" si="1"/>
        <v>Žilinský kraj, &amp;#32celé Slovensko</v>
      </c>
      <c r="F167" s="42" t="s">
        <v>1907</v>
      </c>
      <c r="G167" s="38" t="str">
        <f t="shared" si="2"/>
        <v>čistiace a upratovacie služby, poľnohospodárstvo a lesníctvo, dom a záhrada, stavebníctvo, doprava, ubytovacie a stravovacie služby, kultúra a šport, odpady a recyklácia, &amp;#32všetky kategórie</v>
      </c>
      <c r="H167" s="42" t="s">
        <v>96</v>
      </c>
      <c r="I167" s="43" t="str">
        <f t="shared" si="3"/>
        <v>6 - 10, &amp;#32všetky možnosti</v>
      </c>
      <c r="J167" s="44" t="str">
        <f t="shared" si="7"/>
        <v>,,Náhradné plnenie</v>
      </c>
      <c r="K167" s="45">
        <f t="shared" si="5"/>
        <v>877.0969971</v>
      </c>
      <c r="L167" s="43"/>
      <c r="M167" s="43" t="str">
        <f>IFERROR(__xludf.DUMMYFUNCTION("SPLIT(O167,"","")"),"Hviezdoslavova 330/19")</f>
        <v>Hviezdoslavova 330/19</v>
      </c>
      <c r="N167" s="43" t="str">
        <f>IFERROR(__xludf.DUMMYFUNCTION("""COMPUTED_VALUE""")," 027 43 Nižná")</f>
        <v> 027 43 Nižná</v>
      </c>
      <c r="O167" s="42" t="s">
        <v>1908</v>
      </c>
      <c r="P167" s="43">
        <v>49.3098444</v>
      </c>
      <c r="Q167" s="43">
        <v>19.5263539</v>
      </c>
      <c r="R167" s="56" t="s">
        <v>1909</v>
      </c>
      <c r="S167" s="69" t="s">
        <v>1910</v>
      </c>
      <c r="T167" s="70" t="s">
        <v>86</v>
      </c>
      <c r="U167" s="61" t="s">
        <v>1911</v>
      </c>
      <c r="V167" s="50" t="s">
        <v>1912</v>
      </c>
      <c r="W167" s="55" t="s">
        <v>1913</v>
      </c>
      <c r="X167" s="54" t="s">
        <v>1906</v>
      </c>
      <c r="Y167" s="46" t="s">
        <v>1914</v>
      </c>
      <c r="Z167" s="53" t="s">
        <v>1915</v>
      </c>
      <c r="AA167" s="52" t="s">
        <v>64</v>
      </c>
      <c r="AB167" s="55"/>
      <c r="AC167" s="56"/>
      <c r="AD167" s="56"/>
      <c r="AE167" s="55"/>
      <c r="AF167" s="55"/>
      <c r="AG167" s="56"/>
      <c r="AH167" s="56"/>
      <c r="AI167" s="55"/>
      <c r="AJ167" s="55"/>
      <c r="AK167" s="56"/>
      <c r="AL167" s="56"/>
      <c r="AM167" s="34"/>
      <c r="AN167" s="55"/>
      <c r="AO167" s="57" t="s">
        <v>40</v>
      </c>
      <c r="AP167" s="58" t="str">
        <f t="shared" si="6"/>
        <v>Obecny socialny podnik Nizna s.r.o. cistiace a upratovacie sluzby, polnohospodarstvo a lesnictvo, dom a zahrada, stavebnictvo, doprava, ubytovacie a stravovacie sluzby, kultura a sport, odpady a recyklacia, &amp;#32vsetky kategorie  027 43 Nizna Spolocnost prebera cinnost prispevkovej organizacie obce Nizna. Obec Nizna je tak pre spolocnost klucovym objednavatelom sluzieb. Najvyznamnejsimi sluzbami poskytovanymi obci Nizna je zimna a letna udrzba verejnych priestranstiev, nakladanie s odpadom a realizacia stavieb a stavebnych uprav budov, ciest, chodnikov a pod. Spolocnost tiez organizacne a technicky zabezpecuje kulturne a spolocenske podujatia. V buducnosti sa planuje rozsirovat portfolio poskytovanych sluzieb o vyrobu drobnych tovarov z betonu, dreva, kovu (napr. betonove prefabrikaty).
Spolocnost moze poskytovat drobne sluzby (napr. kosenie travnikov, drobne stavebne upravy) aj fyzickym osobam. 100 % z dosiahnuteho zisku po zdaneni bude pouzitych na splnenie hlavneho ciela - dosahovanie pozitivneho socialneho vplyvu meraneho percentom zamestnanych znevyhodnenych a zranitelnych osob (min. 30 % z celkoveho poctu zamestnancov). Obecny socialny podnik Nizna s.r.o. Aktualne spolocnost ponuka najma zimnu a letnu udrzbu komunikacii a priestranstiev, nakladanie s odpadom a realizaciu stavieb a stavebnych uprav budov, ciest, chodnikov a pod. upratovanie a cistenie, udrzba zelene, nakladanie s odpadom, zber odpadu, stavebna cinnost, spolocenske akcie, podujatia, drobne stavebne prace, kosenie           </v>
      </c>
      <c r="AQ167" s="37"/>
    </row>
    <row r="168" ht="15.75" customHeight="1">
      <c r="A168" s="43"/>
      <c r="B168" s="59">
        <v>177.0</v>
      </c>
      <c r="C168" s="75" t="s">
        <v>1916</v>
      </c>
      <c r="D168" s="42" t="s">
        <v>218</v>
      </c>
      <c r="E168" s="38" t="str">
        <f t="shared" si="1"/>
        <v>Košický kraj, &amp;#32celé Slovensko</v>
      </c>
      <c r="F168" s="41" t="s">
        <v>1917</v>
      </c>
      <c r="G168" s="38" t="str">
        <f t="shared" si="2"/>
        <v>stavebníctvo, poľnohospodárstvo a lesníctvo, dom a záhrada, &amp;#32všetky kategórie</v>
      </c>
      <c r="H168" s="42" t="s">
        <v>96</v>
      </c>
      <c r="I168" s="43" t="str">
        <f t="shared" si="3"/>
        <v>6 - 10, &amp;#32všetky možnosti</v>
      </c>
      <c r="J168" s="44" t="str">
        <f t="shared" si="7"/>
        <v>,Register partnerov VS,</v>
      </c>
      <c r="K168" s="45">
        <f t="shared" si="5"/>
        <v>18147.21293</v>
      </c>
      <c r="L168" s="43"/>
      <c r="M168" s="43" t="str">
        <f>IFERROR(__xludf.DUMMYFUNCTION("SPLIT(O168,"","")"),"Staničná 8/12")</f>
        <v>Staničná 8/12</v>
      </c>
      <c r="N168" s="43" t="str">
        <f>IFERROR(__xludf.DUMMYFUNCTION("""COMPUTED_VALUE""")," 076 15 Veľaty")</f>
        <v> 076 15 Veľaty</v>
      </c>
      <c r="O168" s="42" t="s">
        <v>1918</v>
      </c>
      <c r="P168" s="43">
        <v>48.5236917999999</v>
      </c>
      <c r="Q168" s="43">
        <v>21.6627071</v>
      </c>
      <c r="R168" s="56" t="s">
        <v>1919</v>
      </c>
      <c r="S168" s="34" t="s">
        <v>1283</v>
      </c>
      <c r="T168" s="63" t="s">
        <v>86</v>
      </c>
      <c r="U168" s="61" t="s">
        <v>1920</v>
      </c>
      <c r="V168" s="50" t="s">
        <v>1921</v>
      </c>
      <c r="W168" s="55" t="s">
        <v>1922</v>
      </c>
      <c r="X168" s="54" t="s">
        <v>1923</v>
      </c>
      <c r="Y168" s="46" t="s">
        <v>1919</v>
      </c>
      <c r="Z168" s="53" t="s">
        <v>1924</v>
      </c>
      <c r="AA168" s="52" t="s">
        <v>64</v>
      </c>
      <c r="AB168" s="55"/>
      <c r="AC168" s="56"/>
      <c r="AD168" s="56"/>
      <c r="AE168" s="55"/>
      <c r="AF168" s="55"/>
      <c r="AG168" s="56"/>
      <c r="AH168" s="56"/>
      <c r="AI168" s="55"/>
      <c r="AJ168" s="55"/>
      <c r="AK168" s="56"/>
      <c r="AL168" s="56"/>
      <c r="AM168" s="47"/>
      <c r="AN168" s="62" t="s">
        <v>39</v>
      </c>
      <c r="AO168" s="64"/>
      <c r="AP168" s="58" t="str">
        <f t="shared" si="6"/>
        <v>Thermostav s.r.o. stavebnictvo, polnohospodarstvo a lesnictvo, dom a zahrada, &amp;#32vsetky kategorie  076 15 Velaty Vyroba stiepky, stavebna cinnost, sluzby s traktorom. Zamestnavanim socialne znevyhodnenych osob. Thermostav, s. r. o. Vyroba stiepky, stavebna cinnost, sluzby s traktorom. stiepkovanie, kosenie, buranie, vystavba           Register partnerov VS</v>
      </c>
      <c r="AQ168" s="37"/>
    </row>
    <row r="169" ht="15.75" customHeight="1">
      <c r="A169" s="43"/>
      <c r="B169" s="59">
        <v>178.0</v>
      </c>
      <c r="C169" s="75" t="s">
        <v>1925</v>
      </c>
      <c r="D169" s="42" t="s">
        <v>134</v>
      </c>
      <c r="E169" s="38" t="str">
        <f t="shared" si="1"/>
        <v>Trenčiansky kraj, &amp;#32celé Slovensko</v>
      </c>
      <c r="F169" s="42" t="s">
        <v>1926</v>
      </c>
      <c r="G169" s="38" t="str">
        <f t="shared" si="2"/>
        <v>čistiace a upratovacie služby, poľnohospodárstvo a lesníctvo, dom a záhrada, stavebníctvo, doprava, ubytovacie a stravovacie služby, cestovný ruch, účtovníctvo a poradenstvo, kultúra a šport, odpady a recyklácia, reklama, obaly, auto-moto, elektro, počítačová a kancelárska technika, &amp;#32všetky kategórie</v>
      </c>
      <c r="H169" s="42" t="s">
        <v>68</v>
      </c>
      <c r="I169" s="43" t="str">
        <f t="shared" si="3"/>
        <v>16 - 20, &amp;#32všetky možnosti</v>
      </c>
      <c r="J169" s="44" t="str">
        <f t="shared" si="7"/>
        <v>,Register partnerov VS,</v>
      </c>
      <c r="K169" s="45">
        <f t="shared" si="5"/>
        <v>10511.84097</v>
      </c>
      <c r="L169" s="43"/>
      <c r="M169" s="43" t="str">
        <f>IFERROR(__xludf.DUMMYFUNCTION("SPLIT(O169,"","")"),"Horná Súča 233")</f>
        <v>Horná Súča 233</v>
      </c>
      <c r="N169" s="43" t="str">
        <f>IFERROR(__xludf.DUMMYFUNCTION("""COMPUTED_VALUE""")," 913 33 Horná Súča")</f>
        <v> 913 33 Horná Súča</v>
      </c>
      <c r="O169" s="42" t="s">
        <v>1927</v>
      </c>
      <c r="P169" s="43">
        <v>48.9726246</v>
      </c>
      <c r="Q169" s="43">
        <v>17.9781092</v>
      </c>
      <c r="R169" s="56" t="s">
        <v>1928</v>
      </c>
      <c r="S169" s="34" t="s">
        <v>1929</v>
      </c>
      <c r="T169" s="63" t="s">
        <v>1930</v>
      </c>
      <c r="U169" s="61" t="s">
        <v>1931</v>
      </c>
      <c r="V169" s="50" t="s">
        <v>1932</v>
      </c>
      <c r="W169" s="55" t="s">
        <v>1933</v>
      </c>
      <c r="X169" s="54" t="s">
        <v>1934</v>
      </c>
      <c r="Y169" s="46" t="s">
        <v>1935</v>
      </c>
      <c r="Z169" s="53" t="s">
        <v>1936</v>
      </c>
      <c r="AA169" s="52" t="s">
        <v>64</v>
      </c>
      <c r="AB169" s="55"/>
      <c r="AC169" s="56"/>
      <c r="AD169" s="56"/>
      <c r="AE169" s="55"/>
      <c r="AF169" s="55"/>
      <c r="AG169" s="56"/>
      <c r="AH169" s="56"/>
      <c r="AI169" s="55"/>
      <c r="AJ169" s="55"/>
      <c r="AK169" s="56"/>
      <c r="AL169" s="56"/>
      <c r="AM169" s="47"/>
      <c r="AN169" s="62" t="s">
        <v>39</v>
      </c>
      <c r="AO169" s="64"/>
      <c r="AP169" s="58" t="str">
        <f t="shared" si="6"/>
        <v>Komunalne Sluzby Horna Suca, s. r. o., r. s. p.; skrateny nazov: KSHS, s. r. o., r. s. p. cistiace a upratovacie sluzby, polnohospodarstvo a lesnictvo, dom a zahrada, stavebnictvo, doprava, ubytovacie a stravovacie sluzby, cestovny ruch, uctovnictvo a poradenstvo, kultura a sport, odpady a recyklacia, reklama, obaly, auto-moto, elektro, pocitacova a kancelarska technika, &amp;#32vsetky kategorie  913 33 Horna Suca Spolocnost Komunalne Sluzby Horna Suca s.r.o., r.s.p. je verejnoprospesny podnik, ktoreho hlavnym cielom je dosahovanie meratelneho pozitivneho socialneho vplyvu poskytovanim spolocensky prospesnej sluzby v oblasti podpory regionalneho rozvoja a zamestnanosti.
Nasim dlhodobym podnikatelskym zamerom je poskytovanie co najkvalitnejsich komunalnych sluzieb miestnym obyvatelom, obci, okolitym obciam a inym podnikatelskym subjektom: oprava miestnych rozhlasov a verejneho osvetlenia, zber, separacia a zhodnocovanie komunalneho odpadu, vyvoz fekalii, vodoinstalaterske, udrzbarske a elektroinstalaterske prace, pomocne stavebne prace, udrzba miestnych komunikacii a verejnych priestranstiev, dovoz stravy obcanom, opravy a budovanie turistickych chodnikov a cyklotras, priprava sportovych a kulturnych podujati.
Nasim cielom je profesionalne, zodpovedne a systematicky predavat nase ponukane sluzby a tovary. Prvoradym hlavnym cielom podnikatelskej cinnosti nasej spolocnosti je dosahovanie meratelneho socialneho vplyvu v oblasti poskytovania spolocensky prospesnych sluzieb. Zakladnym problemom, z ktoreho vychadza nas podnikatelsky zamer, je zlepsit zivotne podmienky obyvatelov v obci zvysenim zamestnanosti a poskytnutie zamestnania obcanom, ktori su znevyhodnenymi uchadzacmi o zamestnanie – odstranenie vylucenia tychto osob a zaclenenie z okraja spolocnosti do realneho zivota. Podstatne je vybudovat prostredie pre vyuzivanie a uplatnenie individualneho potencialu obcanov, ktori nedokazu samostatne uplatnit svoje vedomosti, zrucnosti a odhodlanie. Chceme byt pozitivnym vzorom v tejto oblasti a sirit myslienky socialneho podnikania. Komunalne Sluzby Horna Suca s.r.o., r.s.p. Ponukame:                                                                           - sluzby v polnohospodarstve a zahradnictve,
- sluzby v lesnictve a polovnictve,
- opracovanie drevnej hmoty a vyroba komponentov z dreva,
- vyroba nekovovych mineralnych vyrobkov a vyrobkov z betonu, sadry a cementu,
- vyroba a opracovanie jednoduchych vyrobkov z kovu,
- diagnostika kanalizacnych potrubi a cistenie kanalizacnych systemov,
- uskutocnovanie stavieb a ich zmien,
- udrzba motorovych vozidiel bez zasahu do motorickej casti vozidla,
- sprostredkovatelska cinnost v oblasti obchodu, sluzieb, vyroby,
- poskytovanie obsluznych sluzieb pri kulturnych a inych spolocenskych podujatiach,
- prenajom nehnutelnosti spojeny s poskytovanim inych nez zakladnych sluzieb spojenych s prenajmom,
- prenajom hnutelnych veci,
- cistiace a upratovacie sluzby,
- organizovanie sportovych, kulturnych a inych spolocenskych podujati,
- oprava osobnych potrieb a potrieb pre domacnost.
 kosenie, zemne prace, stahovacie a prepravne sluzby, stavebne prace, vodoinstalaterske a elektroinstalaterske prace, buranie, polnohospodarstvo, kanalizacia, motorove vozidla, doprava, obchod, sluzby, vyroba, kulturne a sportove podujatia, projektovanie, cenarstvo, verejne obstaravanie, inzinierstvo, upratovanie, administrativa, donaska jedla, turisticke chodniky, cyklotrasy           Register partnerov VS</v>
      </c>
      <c r="AQ169" s="37"/>
    </row>
    <row r="170" ht="15.75" customHeight="1">
      <c r="A170" s="43"/>
      <c r="B170" s="59">
        <v>179.0</v>
      </c>
      <c r="C170" s="75" t="s">
        <v>1937</v>
      </c>
      <c r="D170" s="42" t="s">
        <v>66</v>
      </c>
      <c r="E170" s="38" t="str">
        <f t="shared" si="1"/>
        <v>Žilinský kraj, &amp;#32celé Slovensko</v>
      </c>
      <c r="F170" s="42" t="s">
        <v>1199</v>
      </c>
      <c r="G170" s="38" t="str">
        <f t="shared" si="2"/>
        <v>ochrana a bezpečnosť, &amp;#32všetky kategórie</v>
      </c>
      <c r="H170" s="42" t="s">
        <v>170</v>
      </c>
      <c r="I170" s="43" t="str">
        <f t="shared" si="3"/>
        <v>21 a viac, &amp;#32všetky možnosti</v>
      </c>
      <c r="J170" s="44" t="str">
        <f t="shared" si="7"/>
        <v>,Register partnerov VS,Náhradné plnenie</v>
      </c>
      <c r="K170" s="45">
        <f t="shared" si="5"/>
        <v>5453.975164</v>
      </c>
      <c r="L170" s="43"/>
      <c r="M170" s="43" t="str">
        <f>IFERROR(__xludf.DUMMYFUNCTION("SPLIT(O170,"","")"),"Hollého 66")</f>
        <v>Hollého 66</v>
      </c>
      <c r="N170" s="43" t="str">
        <f>IFERROR(__xludf.DUMMYFUNCTION("""COMPUTED_VALUE""")," 036 01 Martin")</f>
        <v> 036 01 Martin</v>
      </c>
      <c r="O170" s="42" t="s">
        <v>1938</v>
      </c>
      <c r="P170" s="43">
        <v>49.0797939</v>
      </c>
      <c r="Q170" s="43">
        <v>18.9004442</v>
      </c>
      <c r="R170" s="56" t="s">
        <v>1939</v>
      </c>
      <c r="S170" s="69" t="s">
        <v>969</v>
      </c>
      <c r="T170" s="70" t="s">
        <v>86</v>
      </c>
      <c r="U170" s="61" t="s">
        <v>1940</v>
      </c>
      <c r="V170" s="106" t="s">
        <v>1941</v>
      </c>
      <c r="W170" s="55" t="s">
        <v>1942</v>
      </c>
      <c r="X170" s="71" t="s">
        <v>1937</v>
      </c>
      <c r="Y170" s="107" t="s">
        <v>1943</v>
      </c>
      <c r="Z170" s="108" t="s">
        <v>1944</v>
      </c>
      <c r="AA170" s="109" t="s">
        <v>64</v>
      </c>
      <c r="AB170" s="55"/>
      <c r="AC170" s="56"/>
      <c r="AD170" s="56"/>
      <c r="AE170" s="55"/>
      <c r="AF170" s="55"/>
      <c r="AG170" s="56"/>
      <c r="AH170" s="56"/>
      <c r="AI170" s="55"/>
      <c r="AJ170" s="55"/>
      <c r="AK170" s="56"/>
      <c r="AL170" s="56"/>
      <c r="AM170" s="47"/>
      <c r="AN170" s="62" t="s">
        <v>39</v>
      </c>
      <c r="AO170" s="57" t="s">
        <v>40</v>
      </c>
      <c r="AP170" s="58" t="str">
        <f t="shared" si="6"/>
        <v>SBS KOBRA Martin s.r.o. ochrana a bezpecnost, &amp;#32vsetky kategorie  036 01 Martin Nasa spolocnost ponuka sluzby v oblasti sukromnej bezpecnosti, ochranu objektov, majetku a osob v rozsahu zakona c. 473/2005 Z. z. Zamestnavanim znevyhodnenych osob. SBS KOBRA Martin s.r.o. Zabezpecenie ochrany objektov, priestorov, instalacia kamerovych systemov. SBS, strazna sluzba, ochrana, bezpecnost, kamery           Register partnerov VS</v>
      </c>
      <c r="AQ170" s="37"/>
    </row>
    <row r="171" ht="15.75" customHeight="1">
      <c r="A171" s="43"/>
      <c r="B171" s="59">
        <v>180.0</v>
      </c>
      <c r="C171" s="75" t="s">
        <v>1945</v>
      </c>
      <c r="D171" s="42" t="s">
        <v>51</v>
      </c>
      <c r="E171" s="38" t="str">
        <f t="shared" si="1"/>
        <v>Prešovský kraj, &amp;#32celé Slovensko</v>
      </c>
      <c r="F171" s="42" t="s">
        <v>108</v>
      </c>
      <c r="G171" s="38" t="str">
        <f t="shared" si="2"/>
        <v>čistiace a upratovacie služby, stavebníctvo, &amp;#32všetky kategórie</v>
      </c>
      <c r="H171" s="42" t="s">
        <v>53</v>
      </c>
      <c r="I171" s="43" t="str">
        <f t="shared" si="3"/>
        <v>1 - 5, &amp;#32všetky možnosti</v>
      </c>
      <c r="J171" s="44" t="str">
        <f t="shared" si="7"/>
        <v>,,</v>
      </c>
      <c r="K171" s="45">
        <f t="shared" si="5"/>
        <v>10518.24112</v>
      </c>
      <c r="L171" s="43"/>
      <c r="M171" s="43" t="str">
        <f>IFERROR(__xludf.DUMMYFUNCTION("SPLIT(O171,"","")"),"Šarišská 98/20")</f>
        <v>Šarišská 98/20</v>
      </c>
      <c r="N171" s="43" t="str">
        <f>IFERROR(__xludf.DUMMYFUNCTION("""COMPUTED_VALUE""")," 094 34 Bystré")</f>
        <v> 094 34 Bystré</v>
      </c>
      <c r="O171" s="42" t="s">
        <v>1946</v>
      </c>
      <c r="P171" s="43">
        <v>49.0090304999999</v>
      </c>
      <c r="Q171" s="43">
        <v>21.5423445</v>
      </c>
      <c r="R171" s="56" t="s">
        <v>1947</v>
      </c>
      <c r="S171" s="69" t="s">
        <v>1948</v>
      </c>
      <c r="T171" s="70" t="s">
        <v>86</v>
      </c>
      <c r="U171" s="61" t="s">
        <v>1949</v>
      </c>
      <c r="V171" s="66" t="s">
        <v>1950</v>
      </c>
      <c r="W171" s="55" t="s">
        <v>1951</v>
      </c>
      <c r="X171" s="54" t="s">
        <v>1952</v>
      </c>
      <c r="Y171" s="110" t="s">
        <v>309</v>
      </c>
      <c r="Z171" s="108" t="s">
        <v>1953</v>
      </c>
      <c r="AA171" s="109" t="s">
        <v>64</v>
      </c>
      <c r="AB171" s="55"/>
      <c r="AC171" s="56"/>
      <c r="AD171" s="56"/>
      <c r="AE171" s="55"/>
      <c r="AF171" s="55"/>
      <c r="AG171" s="56"/>
      <c r="AH171" s="56"/>
      <c r="AI171" s="55"/>
      <c r="AJ171" s="55"/>
      <c r="AK171" s="56"/>
      <c r="AL171" s="56"/>
      <c r="AM171" s="34"/>
      <c r="AN171" s="55"/>
      <c r="AO171" s="64"/>
      <c r="AP171" s="58" t="str">
        <f t="shared" si="6"/>
        <v>STAVENEC BYSTRE s.r.o., r.s.p. cistiace a upratovacie sluzby, stavebnictvo, &amp;#32vsetky kategorie  094 34 Bystre Hlavna oblast nasho podnikania je zamerana na stavebnu cinnost - prace v rozsahu demolacne, buracie a pripravne stavebne prace. Svojim zakaznikom budeme ponukat vykony spojene s pripravou jednoduchych a pomocnych prac  zameranych na murarske prace a pokladku obkladov, dlazieb, montaz sadrokartonov a ostatnych stavebnych prac.                           Medzi sluzby, ktore bude nasa spolocnost poskytovat, patria: 
- podnikanie v oblasti nakladania s inym ako nebezpecnym odpadom,
- uskutocnovanie stavieb a ich zmien,
- pripravne prace k realizacii stavby, demolacie, buracie prace,
- dokoncovacie stavebne prace pri realizacii exterierov a interierov,
- upratovacie prace,
- starostlivost o zelene plochy a verejne priestranstva.
 Spolocensky dopad socialneho podniku spociva v znizeni nezamestnanosti znevyhodnenych a najviac zranitelnych osob z obce Bystre a jej okolia. Pozitivny spolocensky dopad  budeme  dosahovat aj pracami spojenymi so skraslovanim prostredia obce, co bude mat vplyv na skvalitnenie zivota obyvatelov.  STAVENEC BYSTRE, s.r.o., r.s.p. Stavebna cinnost stavebna cinnost, , pripravne prace, buracie prace, udrzba verejnych priestranstiev, starostlivost o zelen, upratovanie           </v>
      </c>
      <c r="AQ171" s="37"/>
    </row>
    <row r="172" ht="15.75" customHeight="1">
      <c r="A172" s="43"/>
      <c r="B172" s="59">
        <v>181.0</v>
      </c>
      <c r="C172" s="75" t="s">
        <v>1954</v>
      </c>
      <c r="D172" s="42" t="s">
        <v>134</v>
      </c>
      <c r="E172" s="38" t="str">
        <f t="shared" si="1"/>
        <v>Trenčiansky kraj, &amp;#32celé Slovensko</v>
      </c>
      <c r="F172" s="42" t="s">
        <v>1955</v>
      </c>
      <c r="G172" s="38" t="str">
        <f t="shared" si="2"/>
        <v>kovovýroba, &amp;#32všetky kategórie</v>
      </c>
      <c r="H172" s="42" t="s">
        <v>170</v>
      </c>
      <c r="I172" s="43" t="str">
        <f t="shared" si="3"/>
        <v>21 a viac, &amp;#32všetky možnosti</v>
      </c>
      <c r="J172" s="44" t="str">
        <f t="shared" si="7"/>
        <v>,Register partnerov VS,</v>
      </c>
      <c r="K172" s="45">
        <f t="shared" si="5"/>
        <v>21382.16867</v>
      </c>
      <c r="L172" s="43"/>
      <c r="M172" s="43" t="str">
        <f>IFERROR(__xludf.DUMMYFUNCTION("SPLIT(O172,"","")"),"Horný rad 533/3")</f>
        <v>Horný rad 533/3</v>
      </c>
      <c r="N172" s="43" t="str">
        <f>IFERROR(__xludf.DUMMYFUNCTION("""COMPUTED_VALUE""")," 906 13 Brezová pod Bradlom ")</f>
        <v> 906 13 Brezová pod Bradlom </v>
      </c>
      <c r="O172" s="42" t="s">
        <v>1956</v>
      </c>
      <c r="P172" s="43">
        <v>48.6664305</v>
      </c>
      <c r="Q172" s="43">
        <v>17.5420706</v>
      </c>
      <c r="R172" s="56" t="s">
        <v>1957</v>
      </c>
      <c r="S172" s="34" t="s">
        <v>1958</v>
      </c>
      <c r="T172" s="63" t="s">
        <v>1959</v>
      </c>
      <c r="U172" s="61" t="s">
        <v>1960</v>
      </c>
      <c r="V172" s="50" t="s">
        <v>1961</v>
      </c>
      <c r="W172" s="55" t="s">
        <v>1962</v>
      </c>
      <c r="X172" s="54" t="s">
        <v>1963</v>
      </c>
      <c r="Y172" s="110" t="s">
        <v>1964</v>
      </c>
      <c r="Z172" s="108" t="s">
        <v>1965</v>
      </c>
      <c r="AA172" s="109" t="s">
        <v>64</v>
      </c>
      <c r="AB172" s="55"/>
      <c r="AC172" s="56"/>
      <c r="AD172" s="56"/>
      <c r="AE172" s="55"/>
      <c r="AF172" s="55"/>
      <c r="AG172" s="56"/>
      <c r="AH172" s="56"/>
      <c r="AI172" s="55"/>
      <c r="AJ172" s="55"/>
      <c r="AK172" s="56"/>
      <c r="AL172" s="56"/>
      <c r="AM172" s="47"/>
      <c r="AN172" s="62" t="s">
        <v>39</v>
      </c>
      <c r="AO172" s="64"/>
      <c r="AP172" s="58" t="str">
        <f t="shared" si="6"/>
        <v>ERWEL s.r.o. kovovyroba, &amp;#32vsetky kategorie  906 13 Brezova pod Bradlom  Spolocnost ERWEL s.r.o. posobi na zapadnom Slovensku v Brezovej pod Bradlom, kde su dlhodobe skusenosti s vyrobou pruzin a kovoobrabanim, a to uz od patdesiatych rokov minuleho storocia. Firmu zalozenu na rodinnej baze vedu spolocne otec a syn od 14.12.2006.
Nasa firma je zamerana na vyrobu a predaj pruzin a vyrobkov z drotu a pasky. Dlhodobe skusenosti a vyuzivanie novych technologii su zarukou vysokej kvality a flexibilnosti pri vyrobe i hladani vhodnych rieseni.
 Nakolko v oblasti Brezovej pod Bradlom je nedostatok odbornych zamestnancov a zamestnancov s praxou v strojarskej vyrobe, nechceme dovazat lacnu pracovnu silu  zo zahranicia, co je bezny jav okolitych firiem. Na urade prace je dostatok pracovnej sily s pracovnym znevyhodnenim, preto chce nasa spolocnost zamestnat tychto lokalnych ludi, aby ziskali prax a pracovne navyky.  ERWEL, s.r.o. Predmetom cinnosti nasej spolocnosti je vyroba pruzin, vyrobkov z drotu a pasky. pruzina, vyrobky z drotu, tvarovanie drotu, spletane pruziny, tvarove pruziny, tlacne pruziny, tazne pruziny, kovovyroba, priemyselna vyroba           Register partnerov VS</v>
      </c>
      <c r="AQ172" s="37"/>
    </row>
    <row r="173" ht="15.75" customHeight="1">
      <c r="A173" s="43"/>
      <c r="B173" s="59">
        <v>182.0</v>
      </c>
      <c r="C173" s="75" t="s">
        <v>1966</v>
      </c>
      <c r="D173" s="42" t="s">
        <v>218</v>
      </c>
      <c r="E173" s="38" t="str">
        <f t="shared" si="1"/>
        <v>Košický kraj, &amp;#32celé Slovensko</v>
      </c>
      <c r="F173" s="41" t="s">
        <v>1967</v>
      </c>
      <c r="G173" s="38" t="str">
        <f t="shared" si="2"/>
        <v>účtovníctvo a poradenstvo, &amp;#32všetky kategórie</v>
      </c>
      <c r="H173" s="42" t="s">
        <v>53</v>
      </c>
      <c r="I173" s="43" t="str">
        <f t="shared" si="3"/>
        <v>1 - 5, &amp;#32všetky možnosti</v>
      </c>
      <c r="J173" s="44" t="str">
        <f t="shared" si="7"/>
        <v>,,</v>
      </c>
      <c r="K173" s="45">
        <f t="shared" si="5"/>
        <v>45717.6973</v>
      </c>
      <c r="L173" s="43"/>
      <c r="M173" s="43" t="str">
        <f>IFERROR(__xludf.DUMMYFUNCTION("SPLIT(O173,"","")"),"Trnková 12")</f>
        <v>Trnková 12</v>
      </c>
      <c r="N173" s="43" t="str">
        <f>IFERROR(__xludf.DUMMYFUNCTION("""COMPUTED_VALUE""")," 040 14 Košice - Košická Nová Ves")</f>
        <v> 040 14 Košice - Košická Nová Ves</v>
      </c>
      <c r="O173" s="42" t="s">
        <v>1968</v>
      </c>
      <c r="P173" s="43">
        <v>48.7378749</v>
      </c>
      <c r="Q173" s="43">
        <v>21.2924062</v>
      </c>
      <c r="R173" s="56" t="s">
        <v>1969</v>
      </c>
      <c r="S173" s="34" t="s">
        <v>1970</v>
      </c>
      <c r="T173" s="63" t="s">
        <v>86</v>
      </c>
      <c r="U173" s="61" t="s">
        <v>1971</v>
      </c>
      <c r="V173" s="50" t="s">
        <v>1972</v>
      </c>
      <c r="W173" s="55" t="s">
        <v>1973</v>
      </c>
      <c r="X173" s="54" t="s">
        <v>1974</v>
      </c>
      <c r="Y173" s="110" t="s">
        <v>1969</v>
      </c>
      <c r="Z173" s="108" t="s">
        <v>1975</v>
      </c>
      <c r="AA173" s="109" t="s">
        <v>64</v>
      </c>
      <c r="AB173" s="55"/>
      <c r="AC173" s="56"/>
      <c r="AD173" s="56"/>
      <c r="AE173" s="55"/>
      <c r="AF173" s="55"/>
      <c r="AG173" s="56"/>
      <c r="AH173" s="56"/>
      <c r="AI173" s="55"/>
      <c r="AJ173" s="55"/>
      <c r="AK173" s="56"/>
      <c r="AL173" s="56"/>
      <c r="AM173" s="34"/>
      <c r="AN173" s="55"/>
      <c r="AO173" s="64"/>
      <c r="AP173" s="58" t="str">
        <f t="shared" si="6"/>
        <v>BISOA society s. r. o., r.s.p. uctovnictvo a poradenstvo, &amp;#32vsetky kategorie  040 14 Kosice - Kosicka Nova Ves Ponukame uctovne sluzby a administrativne prace. Percentom zamestnanych znevyhodnenych a zranitelnych osob. BISOA society s.r.o., r.s.p. Ponukame uctovne sluzby a administrativne prace. uctovne sluzby, administrativne prace, vedenie uctovnictva           </v>
      </c>
      <c r="AQ173" s="37"/>
    </row>
    <row r="174" ht="15.75" customHeight="1">
      <c r="A174" s="43"/>
      <c r="B174" s="59">
        <v>183.0</v>
      </c>
      <c r="C174" s="75" t="s">
        <v>1976</v>
      </c>
      <c r="D174" s="42" t="s">
        <v>181</v>
      </c>
      <c r="E174" s="38" t="str">
        <f t="shared" si="1"/>
        <v>Banskobystrický kraj, &amp;#32celé Slovensko</v>
      </c>
      <c r="F174" s="42" t="s">
        <v>1654</v>
      </c>
      <c r="G174" s="38" t="str">
        <f t="shared" si="2"/>
        <v>poľnohospodárstvo a lesníctvo, zvieratá, &amp;#32všetky kategórie</v>
      </c>
      <c r="H174" s="42" t="s">
        <v>96</v>
      </c>
      <c r="I174" s="43" t="str">
        <f t="shared" si="3"/>
        <v>6 - 10, &amp;#32všetky možnosti</v>
      </c>
      <c r="J174" s="44" t="str">
        <f t="shared" si="7"/>
        <v>,,</v>
      </c>
      <c r="K174" s="45">
        <f t="shared" si="5"/>
        <v>22696.70774</v>
      </c>
      <c r="L174" s="43"/>
      <c r="M174" s="43" t="str">
        <f>IFERROR(__xludf.DUMMYFUNCTION("SPLIT(O174,"","")"),"A. Markuša 17")</f>
        <v>A. Markuša 17</v>
      </c>
      <c r="N174" s="43" t="str">
        <f>IFERROR(__xludf.DUMMYFUNCTION("""COMPUTED_VALUE""")," 979 01 Rimavská Sobota ")</f>
        <v> 979 01 Rimavská Sobota </v>
      </c>
      <c r="O174" s="42" t="s">
        <v>1977</v>
      </c>
      <c r="P174" s="43">
        <v>48.3913453</v>
      </c>
      <c r="Q174" s="43">
        <v>20.0185971</v>
      </c>
      <c r="R174" s="56" t="s">
        <v>1978</v>
      </c>
      <c r="S174" s="34" t="s">
        <v>1979</v>
      </c>
      <c r="T174" s="63" t="s">
        <v>1980</v>
      </c>
      <c r="U174" s="61" t="s">
        <v>1981</v>
      </c>
      <c r="V174" s="50" t="s">
        <v>1982</v>
      </c>
      <c r="W174" s="55" t="s">
        <v>1983</v>
      </c>
      <c r="X174" s="54" t="s">
        <v>1984</v>
      </c>
      <c r="Y174" s="110" t="s">
        <v>1985</v>
      </c>
      <c r="Z174" s="108" t="s">
        <v>1986</v>
      </c>
      <c r="AA174" s="109" t="s">
        <v>64</v>
      </c>
      <c r="AB174" s="55"/>
      <c r="AC174" s="56"/>
      <c r="AD174" s="56"/>
      <c r="AE174" s="55"/>
      <c r="AF174" s="55"/>
      <c r="AG174" s="56"/>
      <c r="AH174" s="56"/>
      <c r="AI174" s="55"/>
      <c r="AJ174" s="55"/>
      <c r="AK174" s="56"/>
      <c r="AL174" s="56"/>
      <c r="AM174" s="34"/>
      <c r="AN174" s="55"/>
      <c r="AO174" s="64"/>
      <c r="AP174" s="58" t="str">
        <f t="shared" si="6"/>
        <v>Rimgal, spol. s r.o. polnohospodarstvo a lesnictvo, zvierata, &amp;#32vsetky kategorie  979 01 Rimavska Sobota  Nasa spolocnost sa zaobera chovom hydiny, a to uz od r.1997. Celorocne ponukame na predaj slepacie vajcia z vlastneho chovu, krmne zmesi pre hydinu a osipane vyrabane priamo u nas, v mesiacoch marec - oktober zivu hydinu, a to brojlerove kurcata, mladky na znasku, sliepky v znaske a vodnu hydinu kacky, husi. Nasu produkciu vajec umiestnujeme iba na slovenskom trhu, najma do maloobchodnych prevadzok po okoli, do cukrarenskych vyrobni a konecnemu spotrebitelovi. Otvorili sme vlastnu predajnu vajec a hydiny priamo na farme, v obci Nove Hony. Nase vyrobky sa vyznacuju dobrou kvalitou, vyhodnou cenou a hlavne zarucene slovenskym povodom, ktorych je uz bohuzial v Slovenskej republike stale menej a menej... Nas podnik sa rozhodol pomoct najma tym ludom, ktori to naozaj najviac potrebuju, a to zamestnavanim znevyhodnenych, zranitelnych a zdravotne postihnutych osob. Farma Nove Hony Celorocne ponukame na predaj slepacie vajcia z vlastneho chovu, krmne zmesi pre hydinu a osipane vyrabane priamo u nas, v mesiacoch marec - oktober zivu hydinu, a to brojlerove kurcata, mladky na znasku, sliepky v znaske, kacky, husi. slepacie vajcia, ziva hydina, nosnice, mladky, brojlery, kacky, husi, krmivo pre hydinu           </v>
      </c>
      <c r="AQ174" s="37"/>
    </row>
    <row r="175" ht="15.75" customHeight="1">
      <c r="A175" s="43"/>
      <c r="B175" s="59">
        <v>184.0</v>
      </c>
      <c r="C175" s="75" t="s">
        <v>1987</v>
      </c>
      <c r="D175" s="42" t="s">
        <v>134</v>
      </c>
      <c r="E175" s="38" t="str">
        <f t="shared" si="1"/>
        <v>Trenčiansky kraj, &amp;#32celé Slovensko</v>
      </c>
      <c r="F175" s="42" t="s">
        <v>1009</v>
      </c>
      <c r="G175" s="38" t="str">
        <f t="shared" si="2"/>
        <v>stavebníctvo, &amp;#32všetky kategórie</v>
      </c>
      <c r="H175" s="42" t="s">
        <v>53</v>
      </c>
      <c r="I175" s="43" t="str">
        <f t="shared" si="3"/>
        <v>1 - 5, &amp;#32všetky možnosti</v>
      </c>
      <c r="J175" s="44" t="str">
        <f t="shared" si="7"/>
        <v>,,Náhradné plnenie</v>
      </c>
      <c r="K175" s="45">
        <f t="shared" si="5"/>
        <v>6354.457098</v>
      </c>
      <c r="L175" s="43"/>
      <c r="M175" s="43" t="str">
        <f>IFERROR(__xludf.DUMMYFUNCTION("SPLIT(O175,"","")"),"Topoľčianska 237/48")</f>
        <v>Topoľčianska 237/48</v>
      </c>
      <c r="N175" s="43" t="str">
        <f>IFERROR(__xludf.DUMMYFUNCTION("""COMPUTED_VALUE""")," 958 04 Partizánske")</f>
        <v> 958 04 Partizánske</v>
      </c>
      <c r="O175" s="42" t="s">
        <v>1988</v>
      </c>
      <c r="P175" s="43">
        <v>48.6186835</v>
      </c>
      <c r="Q175" s="43">
        <v>18.2898305</v>
      </c>
      <c r="R175" s="56" t="s">
        <v>1989</v>
      </c>
      <c r="S175" s="34" t="s">
        <v>1990</v>
      </c>
      <c r="T175" s="63" t="s">
        <v>86</v>
      </c>
      <c r="U175" s="61" t="s">
        <v>1991</v>
      </c>
      <c r="V175" s="50" t="s">
        <v>1992</v>
      </c>
      <c r="W175" s="111" t="s">
        <v>1993</v>
      </c>
      <c r="X175" s="54" t="s">
        <v>1994</v>
      </c>
      <c r="Y175" s="110" t="s">
        <v>1989</v>
      </c>
      <c r="Z175" s="108" t="s">
        <v>1995</v>
      </c>
      <c r="AA175" s="109" t="s">
        <v>64</v>
      </c>
      <c r="AB175" s="55"/>
      <c r="AC175" s="56"/>
      <c r="AD175" s="56"/>
      <c r="AE175" s="55"/>
      <c r="AF175" s="55"/>
      <c r="AG175" s="56"/>
      <c r="AH175" s="56"/>
      <c r="AI175" s="55"/>
      <c r="AJ175" s="55"/>
      <c r="AK175" s="56"/>
      <c r="AL175" s="56"/>
      <c r="AM175" s="34"/>
      <c r="AN175" s="55"/>
      <c r="AO175" s="57" t="s">
        <v>40</v>
      </c>
      <c r="AP175" s="58" t="str">
        <f t="shared" si="6"/>
        <v>Vyskum a inovacie s. r. o. stavebnictvo, &amp;#32vsetky kategorie  958 04 Partizanske Polotovary na vyrobu malt, zateplovacie malty a drteny polystyren, ktory sa vyuziva ako napln do dierovanych tehal a na ine vyuzitie. Ponukame inovativne napady, tvorivost a vlastne patentovane produkty. Vyskum a inovacie s.r.o. Polotovary na vyrobu malt, zateplovacie malty a drteny polystyren, ktory sa vyuziva ako napln do dierovanych tehal a na ine vyuzitie. Zateplovanie, malty, stavebnictvo, kovovyroba           </v>
      </c>
      <c r="AQ175" s="37"/>
    </row>
    <row r="176" ht="15.75" customHeight="1">
      <c r="A176" s="43"/>
      <c r="B176" s="59">
        <v>185.0</v>
      </c>
      <c r="C176" s="75" t="s">
        <v>1996</v>
      </c>
      <c r="D176" s="42" t="s">
        <v>66</v>
      </c>
      <c r="E176" s="38" t="str">
        <f t="shared" si="1"/>
        <v>Žilinský kraj, &amp;#32celé Slovensko</v>
      </c>
      <c r="F176" s="42" t="s">
        <v>1955</v>
      </c>
      <c r="G176" s="38" t="str">
        <f t="shared" si="2"/>
        <v>kovovýroba, &amp;#32všetky kategórie</v>
      </c>
      <c r="H176" s="42" t="s">
        <v>82</v>
      </c>
      <c r="I176" s="43" t="str">
        <f t="shared" si="3"/>
        <v>11 - 15, &amp;#32všetky možnosti</v>
      </c>
      <c r="J176" s="44" t="str">
        <f t="shared" si="7"/>
        <v>,Register partnerov VS,</v>
      </c>
      <c r="K176" s="45">
        <f t="shared" si="5"/>
        <v>43993.5286</v>
      </c>
      <c r="L176" s="43"/>
      <c r="M176" s="43" t="str">
        <f>IFERROR(__xludf.DUMMYFUNCTION("SPLIT(O176,"","")"),"Kamenná 9")</f>
        <v>Kamenná 9</v>
      </c>
      <c r="N176" s="43" t="str">
        <f>IFERROR(__xludf.DUMMYFUNCTION("""COMPUTED_VALUE""")," 010 01 Žilina ")</f>
        <v> 010 01 Žilina </v>
      </c>
      <c r="O176" s="42" t="s">
        <v>1997</v>
      </c>
      <c r="P176" s="43">
        <v>49.1993157</v>
      </c>
      <c r="Q176" s="43">
        <v>18.727462</v>
      </c>
      <c r="R176" s="56" t="s">
        <v>1998</v>
      </c>
      <c r="S176" s="34" t="s">
        <v>1999</v>
      </c>
      <c r="T176" s="63" t="s">
        <v>2000</v>
      </c>
      <c r="U176" s="61" t="s">
        <v>2001</v>
      </c>
      <c r="V176" s="84" t="s">
        <v>2002</v>
      </c>
      <c r="W176" s="85" t="s">
        <v>2003</v>
      </c>
      <c r="X176" s="54" t="s">
        <v>2004</v>
      </c>
      <c r="Y176" s="110" t="s">
        <v>2005</v>
      </c>
      <c r="Z176" s="108" t="s">
        <v>2006</v>
      </c>
      <c r="AA176" s="109" t="s">
        <v>64</v>
      </c>
      <c r="AB176" s="55"/>
      <c r="AC176" s="56"/>
      <c r="AD176" s="56"/>
      <c r="AE176" s="55"/>
      <c r="AF176" s="55"/>
      <c r="AG176" s="56"/>
      <c r="AH176" s="56"/>
      <c r="AI176" s="55"/>
      <c r="AJ176" s="55"/>
      <c r="AK176" s="56"/>
      <c r="AL176" s="56"/>
      <c r="AM176" s="47"/>
      <c r="AN176" s="62" t="s">
        <v>39</v>
      </c>
      <c r="AO176" s="64"/>
      <c r="AP176" s="58" t="str">
        <f t="shared" si="6"/>
        <v>Rozvoj a spolupraca s. r. o. kovovyroba, &amp;#32vsetky kategorie  010 01 Zilina  Nas podnik ponuka technologie, ako CNC delenie materialu (vodny luc, laser, kyslik plyn, plazma), opracovanie materialu (rezanie profilu, sustruzenie, frezovanie, ohranovanie), spracovanie materialu (vyroba ocelovych konstrukcii, vyroba zasobnikov, vyroba cyklonov), zvaranie MIG/MAG/TIG/MMA, dopravnikove systemy (retazove dopravniky, snekove dopravniky, pasove dopravniky, korcekove dopravniky), technologicke linky (spracovanie odpadov, peletovacie linky, briketovacie linky, kontajnerove riesenia), sluzby (montaz vyrobku, projekcne prace, navrh, skreslenie, prace statika, vyvoj podla zadavania). Nas podnik pomaha zamestnavat ludi so zdravotnym znevyhodnenim a tiez dlhodobo nezamestnanych; inovativnou technologiou pristupujeme setrnym sposobom k zivotnemu prostrediu. Rozvoj a spolupraca s.r.o. Specialista na rezanie vodnym lucom. Triediace linky, spracovanie biomasy, odpadov,  rozne cestne konstrukcie, zabradlia, kamenolom,strky, betonarky, technologicke linky, ocelove konstrukcie, opracovanie materialu, CNC, dopravnikove systemy, sustruzenie, frezovanie, rezanie profilov           Register partnerov VS</v>
      </c>
      <c r="AQ176" s="37"/>
    </row>
    <row r="177" ht="15.75" customHeight="1">
      <c r="A177" s="43"/>
      <c r="B177" s="59">
        <v>186.0</v>
      </c>
      <c r="C177" s="75" t="s">
        <v>2007</v>
      </c>
      <c r="D177" s="42" t="s">
        <v>80</v>
      </c>
      <c r="E177" s="38" t="str">
        <f t="shared" si="1"/>
        <v>Trnavský kraj, &amp;#32celé Slovensko</v>
      </c>
      <c r="F177" s="42" t="s">
        <v>2008</v>
      </c>
      <c r="G177" s="38" t="str">
        <f t="shared" si="2"/>
        <v>stavebníctvo, dom a záhrada, &amp;#32všetky kategórie</v>
      </c>
      <c r="H177" s="42" t="s">
        <v>53</v>
      </c>
      <c r="I177" s="43" t="str">
        <f t="shared" si="3"/>
        <v>1 - 5, &amp;#32všetky možnosti</v>
      </c>
      <c r="J177" s="44" t="str">
        <f t="shared" si="7"/>
        <v>,Register partnerov VS,</v>
      </c>
      <c r="K177" s="45">
        <f t="shared" si="5"/>
        <v>40444.91921</v>
      </c>
      <c r="L177" s="43"/>
      <c r="M177" s="43" t="str">
        <f>IFERROR(__xludf.DUMMYFUNCTION("SPLIT(O177,"","")"),"Suchá nad Parnou 68")</f>
        <v>Suchá nad Parnou 68</v>
      </c>
      <c r="N177" s="43" t="str">
        <f>IFERROR(__xludf.DUMMYFUNCTION("""COMPUTED_VALUE"""),"  919 01 Suchá nad Parnou  ")</f>
        <v>  919 01 Suchá nad Parnou  </v>
      </c>
      <c r="O177" s="42" t="s">
        <v>2009</v>
      </c>
      <c r="P177" s="43">
        <v>48.410441</v>
      </c>
      <c r="Q177" s="43">
        <v>17.486504</v>
      </c>
      <c r="R177" s="56" t="s">
        <v>2010</v>
      </c>
      <c r="S177" s="34" t="s">
        <v>2011</v>
      </c>
      <c r="T177" s="63" t="s">
        <v>2012</v>
      </c>
      <c r="U177" s="61" t="s">
        <v>2013</v>
      </c>
      <c r="V177" s="50" t="s">
        <v>2014</v>
      </c>
      <c r="W177" s="55" t="s">
        <v>2015</v>
      </c>
      <c r="X177" s="54" t="s">
        <v>2016</v>
      </c>
      <c r="Y177" s="110" t="s">
        <v>2017</v>
      </c>
      <c r="Z177" s="108" t="s">
        <v>2018</v>
      </c>
      <c r="AA177" s="109" t="s">
        <v>64</v>
      </c>
      <c r="AB177" s="55"/>
      <c r="AC177" s="56"/>
      <c r="AD177" s="56"/>
      <c r="AE177" s="55"/>
      <c r="AF177" s="55"/>
      <c r="AG177" s="56"/>
      <c r="AH177" s="56"/>
      <c r="AI177" s="55"/>
      <c r="AJ177" s="55"/>
      <c r="AK177" s="56"/>
      <c r="AL177" s="56"/>
      <c r="AM177" s="47"/>
      <c r="AN177" s="62" t="s">
        <v>39</v>
      </c>
      <c r="AO177" s="64"/>
      <c r="AP177" s="58" t="str">
        <f t="shared" si="6"/>
        <v>SLUZBY Sucha nad Parnou, s. r. o. stavebnictvo, dom a zahrada, &amp;#32vsetky kategorie   919 01 Sucha nad Parnou   Podnik Sluzby Sucha nad Parnou s.r.o. realizuje hlavne stavebnu cinnost, vsetky zakladne stavebne prace ako murarske prace, zhotovenie sadrokartonovych konstrukcii, obklady, dlazby, maliarske prace, zhotovenie izolacii plochych striech foliou, atd. Ponukame tiez sluzby dekoratera a floristu.
Nasimi zakaznikmi su obce a rozne fyzicke a pravnicke osoby. Pozitivny socialny vplyv dosahujeme zaclenenim zdravotne a inak znevyhodnenych osob do pracovneho procesu, cim zvysujeme ich spolocensky status a taktiez prispievame k znizovaniu nezamestnanosti v regione SLUZBY Sucha nad Parnou, s.r.o. Realizujeme najma stavebnu cinnost, vsetky zakladne stavebne prace ako murarske, zhotovenie sadrokartonovych konstrukcii, obklady, dlazby, maliarske prace, zhotovenie izolacii plochych striech foliou atd. Ponukame tiez sluzby dekoratera a floristu. stavebne prace, stavebna cinnost, ploche strechy, plocha strecha, Fatrafol folie, dekoracie, obklady, dlazby, dokoncovacie prace, sadrokarton, malby, natery, omietky, kazetove stropy, zamkova dlazba, stavebny dozor, aranzovanie kvetov, dekoracie, floristika, vyrub stromov, pilenie, pilcicke prace           Register partnerov VS</v>
      </c>
      <c r="AQ177" s="37"/>
    </row>
    <row r="178" ht="15.75" customHeight="1">
      <c r="A178" s="43"/>
      <c r="B178" s="59">
        <v>188.0</v>
      </c>
      <c r="C178" s="75" t="s">
        <v>2019</v>
      </c>
      <c r="D178" s="42" t="s">
        <v>66</v>
      </c>
      <c r="E178" s="38" t="str">
        <f t="shared" si="1"/>
        <v>Žilinský kraj, &amp;#32celé Slovensko</v>
      </c>
      <c r="F178" s="42" t="s">
        <v>2020</v>
      </c>
      <c r="G178" s="38" t="str">
        <f t="shared" si="2"/>
        <v>doprava, auto-moto, iné (tovary a služby), &amp;#32všetky kategórie</v>
      </c>
      <c r="H178" s="42" t="s">
        <v>68</v>
      </c>
      <c r="I178" s="43" t="str">
        <f t="shared" si="3"/>
        <v>16 - 20, &amp;#32všetky možnosti</v>
      </c>
      <c r="J178" s="44" t="str">
        <f t="shared" si="7"/>
        <v>,,</v>
      </c>
      <c r="K178" s="45">
        <f t="shared" si="5"/>
        <v>33515.69203</v>
      </c>
      <c r="L178" s="43"/>
      <c r="M178" s="43" t="str">
        <f>IFERROR(__xludf.DUMMYFUNCTION("SPLIT(O178,"","")"),"Liptovská Teplá")</f>
        <v>Liptovská Teplá</v>
      </c>
      <c r="N178" s="43" t="str">
        <f>IFERROR(__xludf.DUMMYFUNCTION("""COMPUTED_VALUE""")," 034 83 Liptovská Teplá")</f>
        <v> 034 83 Liptovská Teplá</v>
      </c>
      <c r="O178" s="42" t="s">
        <v>2021</v>
      </c>
      <c r="P178" s="43">
        <v>49.1008557</v>
      </c>
      <c r="Q178" s="43">
        <v>19.4087257</v>
      </c>
      <c r="R178" s="56" t="s">
        <v>2022</v>
      </c>
      <c r="S178" s="34" t="s">
        <v>2023</v>
      </c>
      <c r="T178" s="63" t="s">
        <v>2024</v>
      </c>
      <c r="U178" s="61" t="s">
        <v>2025</v>
      </c>
      <c r="V178" s="50" t="s">
        <v>2026</v>
      </c>
      <c r="W178" s="55" t="s">
        <v>2027</v>
      </c>
      <c r="X178" s="54" t="s">
        <v>2028</v>
      </c>
      <c r="Y178" s="110" t="s">
        <v>2029</v>
      </c>
      <c r="Z178" s="108" t="s">
        <v>2030</v>
      </c>
      <c r="AA178" s="109" t="s">
        <v>64</v>
      </c>
      <c r="AB178" s="55"/>
      <c r="AC178" s="56"/>
      <c r="AD178" s="56"/>
      <c r="AE178" s="55"/>
      <c r="AF178" s="55"/>
      <c r="AG178" s="56"/>
      <c r="AH178" s="56"/>
      <c r="AI178" s="55"/>
      <c r="AJ178" s="55"/>
      <c r="AK178" s="56"/>
      <c r="AL178" s="56"/>
      <c r="AM178" s="34"/>
      <c r="AN178" s="55"/>
      <c r="AO178" s="64"/>
      <c r="AP178" s="58" t="str">
        <f t="shared" si="6"/>
        <v>RENOP, spol. s r.o. doprava, auto-moto, ine (tovary a sluzby), &amp;#32vsetky kategorie  034 83 Liptovska Tepla Spolocnost Renop prinasa najsirsiu ponuku v protektorovani pneumatik studenou a teplou vulkanizaciou, predaj novych pneumatik, vyrobu produktov z technickej gumy lisovanych na etazovych lisoch. Pracovna plocha uvedenych lisov je 400 x 400, 800 x 800 a 1200 x1100 mm. V prevadzke technickej gumy dalej ponukame pogumovanie kovov, opravy a lepenie dopravnikovych pasov a vyrobu gumotextilnych vyrobkov.
Z nasho sortimentu vyberame:
- univerzalne autorohoze,
- podlozky pod kolajnice,
- rucky na furiky,
- gumove brity pre snehove pruhy,
- blatniky pre traktory,
- gumove casti mostovych lozisk,
- natrubky, narazniky, priechodky, redukcie, spojky, kolieska,
- pogumovanie kladiek,
- pruziny, prisavky, sita, spiraly, zatky...... Vdaka podpore MPSVR SR  sa nasej spolocnosti dari udrziavat zamestnanost zdravotne znevyhodnenych osob a tym prispievat k regionalnemu rozvoju a zamestnanosti. RENOP, spol. s r.o., registrovany socialny podnik Protektorovanie pneumatik studenou a teplou vulkanizaciou, predaj novych pneumatik, ponukame vyrobu produktov z technickej gumy lisovanych na etazovych lisoch, v  prevadzke technickej gumy dalej ponukame pogumovanie kovov, opravy a lepenie dopravnikovych pasov a vyrobu gumotextilnych vyrobkov. protektorovanie pneumatik, predaj pneumatik, technicka guma, autorohoza, rucky na furik, tacky, blatnik pre traktor           </v>
      </c>
      <c r="AQ178" s="37"/>
    </row>
    <row r="179" ht="15.75" customHeight="1">
      <c r="A179" s="43"/>
      <c r="B179" s="59">
        <v>189.0</v>
      </c>
      <c r="C179" s="75" t="s">
        <v>2031</v>
      </c>
      <c r="D179" s="42" t="s">
        <v>181</v>
      </c>
      <c r="E179" s="38" t="str">
        <f t="shared" si="1"/>
        <v>Banskobystrický kraj, &amp;#32celé Slovensko</v>
      </c>
      <c r="F179" s="42" t="s">
        <v>2032</v>
      </c>
      <c r="G179" s="38" t="str">
        <f t="shared" si="2"/>
        <v>poľnohospodárstvo a lesníctvo, dom a záhrada, stavebníctvo, potraviny a nápoje, nábytok a bytové doplnky, pre deti, &amp;#32všetky kategórie</v>
      </c>
      <c r="H179" s="42" t="s">
        <v>53</v>
      </c>
      <c r="I179" s="43" t="str">
        <f t="shared" si="3"/>
        <v>1 - 5, &amp;#32všetky možnosti</v>
      </c>
      <c r="J179" s="44" t="str">
        <f t="shared" si="7"/>
        <v>,Register partnerov VS,Náhradné plnenie</v>
      </c>
      <c r="K179" s="45">
        <f t="shared" si="5"/>
        <v>1868.761443</v>
      </c>
      <c r="L179" s="43"/>
      <c r="M179" s="43" t="str">
        <f>IFERROR(__xludf.DUMMYFUNCTION("SPLIT(O179,"","")"),"Kapitulská 318/21")</f>
        <v>Kapitulská 318/21</v>
      </c>
      <c r="N179" s="43" t="str">
        <f>IFERROR(__xludf.DUMMYFUNCTION("""COMPUTED_VALUE""")," 974 01 Banská Bystrica ")</f>
        <v> 974 01 Banská Bystrica </v>
      </c>
      <c r="O179" s="42" t="s">
        <v>2033</v>
      </c>
      <c r="P179" s="43">
        <v>48.7348916</v>
      </c>
      <c r="Q179" s="43">
        <v>19.1481495</v>
      </c>
      <c r="R179" s="56" t="s">
        <v>2034</v>
      </c>
      <c r="S179" s="34" t="s">
        <v>2035</v>
      </c>
      <c r="T179" s="63" t="s">
        <v>86</v>
      </c>
      <c r="U179" s="61" t="s">
        <v>2036</v>
      </c>
      <c r="V179" s="50" t="s">
        <v>2037</v>
      </c>
      <c r="W179" s="55" t="s">
        <v>2038</v>
      </c>
      <c r="X179" s="54" t="s">
        <v>2031</v>
      </c>
      <c r="Y179" s="110" t="s">
        <v>2039</v>
      </c>
      <c r="Z179" s="108" t="s">
        <v>2040</v>
      </c>
      <c r="AA179" s="109" t="s">
        <v>64</v>
      </c>
      <c r="AB179" s="55"/>
      <c r="AC179" s="56"/>
      <c r="AD179" s="56"/>
      <c r="AE179" s="55"/>
      <c r="AF179" s="55"/>
      <c r="AG179" s="56"/>
      <c r="AH179" s="56"/>
      <c r="AI179" s="55"/>
      <c r="AJ179" s="55"/>
      <c r="AK179" s="56"/>
      <c r="AL179" s="56"/>
      <c r="AM179" s="47"/>
      <c r="AN179" s="62" t="s">
        <v>39</v>
      </c>
      <c r="AO179" s="57" t="s">
        <v>40</v>
      </c>
      <c r="AP179" s="58" t="str">
        <f t="shared" si="6"/>
        <v>GRANIA RSP, s.r.o. polnohospodarstvo a lesnictvo, dom a zahrada, stavebnictvo, potraviny a napoje, nabytok a bytove doplnky, pre deti, &amp;#32vsetky kategorie  974 01 Banska Bystrica  Nas podnik vyvija svoju cinnost v niekolkych oblastiach:
- vyroba uzitkovej a prezentacnej keramiky,
- stolarske prace a vyroba hraciek z dreva (tento projekt je v realizacnej priprave),
- pomocne lesne a rekultivacne prace,
- spracovanie medu a vyroba produktov z medu,
- stavebne prace - prerabky bytov, pomocne stavebne prace, murarske prace, vykopove prace.
 V nasej spolocnosti vyuzivame synergicky efekt prilezitosti a skusenosti v spolupraci so socialnymi zariadeniami. Podla individualnych schopnosti vytvarame pracovne miesta pre ludi z tazkych socialnych podmienok, ktori maju problem najst miesto na trhu prace. Ide o ludi bez domova, z vykonu trestu, marginalne skupiny alebo zdravotne znevyhodnenych. GRANIA RSP, s.r.o. Nachadza sa na prizemi vlavo, hned pri vstupe do budovy. keramika, med, lesne prace, stavebne prace, drevene hracky, stolarske prace, lesne prace, rekonstrukcie bytov a domov, vykopove prace           Register partnerov VS</v>
      </c>
      <c r="AQ179" s="37"/>
    </row>
    <row r="180" ht="15.75" customHeight="1">
      <c r="A180" s="43"/>
      <c r="B180" s="59">
        <v>190.0</v>
      </c>
      <c r="C180" s="75" t="s">
        <v>2041</v>
      </c>
      <c r="D180" s="42" t="s">
        <v>66</v>
      </c>
      <c r="E180" s="38" t="str">
        <f t="shared" si="1"/>
        <v>Žilinský kraj, &amp;#32celé Slovensko</v>
      </c>
      <c r="F180" s="42" t="s">
        <v>2042</v>
      </c>
      <c r="G180" s="38" t="str">
        <f t="shared" si="2"/>
        <v>čistiace a upratovacie služby, dom a záhrada, stavebníctvo, kultúra a šport, odpady a recyklácia, &amp;#32všetky kategórie</v>
      </c>
      <c r="H180" s="42" t="s">
        <v>82</v>
      </c>
      <c r="I180" s="43" t="str">
        <f t="shared" si="3"/>
        <v>11 - 15, &amp;#32všetky možnosti</v>
      </c>
      <c r="J180" s="44" t="str">
        <f t="shared" si="7"/>
        <v>,Register partnerov VS,Náhradné plnenie</v>
      </c>
      <c r="K180" s="45">
        <f t="shared" si="5"/>
        <v>32924.47185</v>
      </c>
      <c r="L180" s="43"/>
      <c r="M180" s="43" t="str">
        <f>IFERROR(__xludf.DUMMYFUNCTION("SPLIT(O180,"","")"),"Novoť 285")</f>
        <v>Novoť 285</v>
      </c>
      <c r="N180" s="43" t="str">
        <f>IFERROR(__xludf.DUMMYFUNCTION("""COMPUTED_VALUE""")," 029 55  Novoť")</f>
        <v> 029 55  Novoť</v>
      </c>
      <c r="O180" s="42" t="s">
        <v>2043</v>
      </c>
      <c r="P180" s="43">
        <v>49.4274283</v>
      </c>
      <c r="Q180" s="43">
        <v>19.2730997</v>
      </c>
      <c r="R180" s="56" t="s">
        <v>2044</v>
      </c>
      <c r="S180" s="34" t="s">
        <v>2045</v>
      </c>
      <c r="T180" s="63" t="s">
        <v>2046</v>
      </c>
      <c r="U180" s="61" t="s">
        <v>2047</v>
      </c>
      <c r="V180" s="50" t="s">
        <v>2048</v>
      </c>
      <c r="W180" s="55" t="s">
        <v>2049</v>
      </c>
      <c r="X180" s="54" t="s">
        <v>2050</v>
      </c>
      <c r="Y180" s="110" t="s">
        <v>2051</v>
      </c>
      <c r="Z180" s="108" t="s">
        <v>2052</v>
      </c>
      <c r="AA180" s="109" t="s">
        <v>64</v>
      </c>
      <c r="AB180" s="55"/>
      <c r="AC180" s="56"/>
      <c r="AD180" s="56"/>
      <c r="AE180" s="55"/>
      <c r="AF180" s="55"/>
      <c r="AG180" s="56"/>
      <c r="AH180" s="56"/>
      <c r="AI180" s="55"/>
      <c r="AJ180" s="55"/>
      <c r="AK180" s="56"/>
      <c r="AL180" s="56"/>
      <c r="AM180" s="47"/>
      <c r="AN180" s="62" t="s">
        <v>39</v>
      </c>
      <c r="AO180" s="57" t="s">
        <v>40</v>
      </c>
      <c r="AP180" s="58" t="str">
        <f t="shared" si="6"/>
        <v>Technicke sluzby obce Novot s. r. o. cistiace a upratovacie sluzby, dom a zahrada, stavebnictvo, kultura a sport, odpady a recyklacia, &amp;#32vsetky kategorie  029 55  Novot Spolocnost Technicke sluzby obce Novot s.r.o. je verejnoprospesny podnik, ktory sa venuje cinnostiam: vykonavanie parkovych, sadovych a zahradnych uprav, vyzinanie travy, vyrez neziaducich krovin, cistenie brehov a dna riek, cistenie vodnych nadrzi, uskutocnovanie stavieb a ich zmien - realizacia chodnikov, rekonstrukcia verejneho osvetlenia, pripravne prace k realizacii stavby, diagnostikovanie kanalizacnych potrubi a cistenie kanalizacnych systemov, cistiace a upratovacie sluzby, odstranovanie nanosov pieskov a strkopieskov pri udrzbe vodnych tokov a poskytovanie sluzieb osobneho charakteru.  Technicke sluzby obce Novot s.r.o. prispieva k dosahovaniu pozitivneho socialneho vplyvu poskytovanim spolocensky prospesnej sluzby v oblasti zamestnanosti, a to zamestnavanim znevyhodnych osob. Tieto si osvojuju pracovne navyky a ziskavaju nove zrucnosti pre vykon povolania, co zvysuje sance na ich opatovne spolocenske zaclenenie beruc do uvahy ich novonadobudnutu mieru financnej autonomie a samostnatnosti, sebadovery  ci schopnosti fungovat v prostredi pracovneho kolektivu.  Technicke sluzby obce Novot s.r.o. Ponukame realizaciu parkovych , sadovych a zahradnych uprav, vyzinanie travy, vyrez neziaducich krovin, cistenie brehov a dna riek, vodnych nadrzi, uskutocnovanie stavieb a ich zmien - realizaciu chodnikov, rekonstrukciu verejneho osvetlenia, pripravne prace k realizacii stavby, diagnostikovanie kanalizacnych potrubi a cistenie kanalizacnych systemov, cistiace a upratovacie sluzby, dobyvanie dna z vodneho dna, odstranovanie nanosov pieskov a strkpieskov pri udrzbe vodnych tokov a poskytovanie sluzieb osobneho charakteru.  kosenie, hrabanie, cistenie, chodniky, kanalizacia, upratovanie           Register partnerov VS</v>
      </c>
      <c r="AQ180" s="37"/>
    </row>
    <row r="181" ht="15.75" customHeight="1">
      <c r="A181" s="43"/>
      <c r="B181" s="59">
        <v>191.0</v>
      </c>
      <c r="C181" s="75" t="s">
        <v>2053</v>
      </c>
      <c r="D181" s="42" t="s">
        <v>66</v>
      </c>
      <c r="E181" s="38" t="str">
        <f t="shared" si="1"/>
        <v>Žilinský kraj, &amp;#32celé Slovensko</v>
      </c>
      <c r="F181" s="42" t="s">
        <v>2054</v>
      </c>
      <c r="G181" s="38" t="str">
        <f t="shared" si="2"/>
        <v>čistiace a upratovacie služby, dom a záhrada, stavebníctvo, odpady a recyklácia, &amp;#32všetky kategórie</v>
      </c>
      <c r="H181" s="42" t="s">
        <v>53</v>
      </c>
      <c r="I181" s="43" t="str">
        <f t="shared" si="3"/>
        <v>1 - 5, &amp;#32všetky možnosti</v>
      </c>
      <c r="J181" s="44" t="str">
        <f t="shared" si="7"/>
        <v>,Register partnerov VS,</v>
      </c>
      <c r="K181" s="45">
        <f t="shared" si="5"/>
        <v>40036.79602</v>
      </c>
      <c r="L181" s="43"/>
      <c r="M181" s="43" t="str">
        <f>IFERROR(__xludf.DUMMYFUNCTION("SPLIT(O181,"","")"),"Hlavná ulica 60/37")</f>
        <v>Hlavná ulica 60/37</v>
      </c>
      <c r="N181" s="43" t="str">
        <f>IFERROR(__xludf.DUMMYFUNCTION("""COMPUTED_VALUE""")," 013 13  Kunerad")</f>
        <v> 013 13  Kunerad</v>
      </c>
      <c r="O181" s="42" t="s">
        <v>2055</v>
      </c>
      <c r="P181" s="43">
        <v>49.0985498</v>
      </c>
      <c r="Q181" s="43">
        <v>18.7105233</v>
      </c>
      <c r="R181" s="56" t="s">
        <v>2056</v>
      </c>
      <c r="S181" s="34" t="s">
        <v>2057</v>
      </c>
      <c r="T181" s="63" t="s">
        <v>2058</v>
      </c>
      <c r="U181" s="61" t="s">
        <v>2059</v>
      </c>
      <c r="V181" s="50" t="s">
        <v>2060</v>
      </c>
      <c r="W181" s="55" t="s">
        <v>2061</v>
      </c>
      <c r="X181" s="54" t="s">
        <v>2053</v>
      </c>
      <c r="Y181" s="110" t="s">
        <v>2062</v>
      </c>
      <c r="Z181" s="108" t="s">
        <v>2063</v>
      </c>
      <c r="AA181" s="109" t="s">
        <v>64</v>
      </c>
      <c r="AB181" s="55"/>
      <c r="AC181" s="56"/>
      <c r="AD181" s="56"/>
      <c r="AE181" s="55"/>
      <c r="AF181" s="55"/>
      <c r="AG181" s="56"/>
      <c r="AH181" s="56"/>
      <c r="AI181" s="55"/>
      <c r="AJ181" s="55"/>
      <c r="AK181" s="56"/>
      <c r="AL181" s="56"/>
      <c r="AM181" s="47"/>
      <c r="AN181" s="62" t="s">
        <v>39</v>
      </c>
      <c r="AO181" s="64"/>
      <c r="AP181" s="58" t="str">
        <f t="shared" si="6"/>
        <v>Obecne sluzby Kunerad, s.r.o. cistiace a upratovacie sluzby, dom a zahrada, stavebnictvo, odpady a recyklacia, &amp;#32vsetky kategorie  013 13  Kunerad Nasa spolocnost sa venuje predovsetkym komunalnym a verejnoprospesnym sluzbam, najma udrzbe verejnych priestranstiev, udrzbe domacnosti a zahrad obcanov mikroregionu (kosenie, cistenie, atd.). V portfoliu nasich sluzieb su aj upratovacie a cistiace prace (hrube aj detailne), rozne montazne a pripravne stavebne prace. Spolocnost prispieva k dosahovaniu pozitivneho socialneho vplyvu poskytovanim spolocensky prospesnej sluzby v oblasti zamestnanosti, a to zamestnavanim zranitelnych a znevyhodnenych osob. Tieto si osvoja pracovne navyky a ziskaju nove zrucnosti pre vykon povolania, mozu sa lepsie spolocensky zaclenit, ziskat urcitu mieru financnej samostatnosti, sebadovery ci schopnosti fungovat v prostredi pracovneho kolektivu.  Obecne sluzby Kunerad, s.r.o. Komunalne a verejnoprospesne sluzby, najma udrzba verejnych priestranstiev, domacnosti a zahrad obcanov, mikroregionu (kosenie, cistenie, atd.). V portfoliu nasich sluzieb su aj upratovacie a cistiace prace (hrube aj detailne), rozne montazne a pripravne stavebne prace. kosenie, montazne prace, stavebne prace, upratovanie, cistenie, udrzba, sprava, starostlivost o domacnost, zahrada           Register partnerov VS</v>
      </c>
      <c r="AQ181" s="37"/>
    </row>
    <row r="182" ht="15.75" customHeight="1">
      <c r="A182" s="43"/>
      <c r="B182" s="59">
        <v>192.0</v>
      </c>
      <c r="C182" s="75" t="s">
        <v>2064</v>
      </c>
      <c r="D182" s="42" t="s">
        <v>80</v>
      </c>
      <c r="E182" s="38" t="str">
        <f t="shared" si="1"/>
        <v>Trnavský kraj, &amp;#32celé Slovensko</v>
      </c>
      <c r="F182" s="42" t="s">
        <v>911</v>
      </c>
      <c r="G182" s="38" t="str">
        <f t="shared" si="2"/>
        <v>krása-zdravie-relax, &amp;#32všetky kategórie</v>
      </c>
      <c r="H182" s="42" t="s">
        <v>53</v>
      </c>
      <c r="I182" s="43" t="str">
        <f t="shared" si="3"/>
        <v>1 - 5, &amp;#32všetky možnosti</v>
      </c>
      <c r="J182" s="44" t="str">
        <f t="shared" si="7"/>
        <v>,,</v>
      </c>
      <c r="K182" s="45">
        <f t="shared" si="5"/>
        <v>1079.30587</v>
      </c>
      <c r="L182" s="43"/>
      <c r="M182" s="43" t="str">
        <f>IFERROR(__xludf.DUMMYFUNCTION("SPLIT(O182,"","")"),"Brezová 29")</f>
        <v>Brezová 29</v>
      </c>
      <c r="N182" s="43" t="str">
        <f>IFERROR(__xludf.DUMMYFUNCTION("""COMPUTED_VALUE""")," 924 01  Galanta")</f>
        <v> 924 01  Galanta</v>
      </c>
      <c r="O182" s="42" t="s">
        <v>2065</v>
      </c>
      <c r="P182" s="43">
        <v>48.2021001</v>
      </c>
      <c r="Q182" s="43">
        <v>17.754823</v>
      </c>
      <c r="R182" s="56" t="s">
        <v>2066</v>
      </c>
      <c r="S182" s="34" t="s">
        <v>2067</v>
      </c>
      <c r="T182" s="63" t="s">
        <v>86</v>
      </c>
      <c r="U182" s="61" t="s">
        <v>2068</v>
      </c>
      <c r="V182" s="50" t="s">
        <v>2069</v>
      </c>
      <c r="W182" s="55" t="s">
        <v>2070</v>
      </c>
      <c r="X182" s="54" t="s">
        <v>2071</v>
      </c>
      <c r="Y182" s="110" t="s">
        <v>2066</v>
      </c>
      <c r="Z182" s="108" t="s">
        <v>2072</v>
      </c>
      <c r="AA182" s="109" t="s">
        <v>64</v>
      </c>
      <c r="AB182" s="55"/>
      <c r="AC182" s="56"/>
      <c r="AD182" s="56"/>
      <c r="AE182" s="55"/>
      <c r="AF182" s="55"/>
      <c r="AG182" s="56"/>
      <c r="AH182" s="56"/>
      <c r="AI182" s="55"/>
      <c r="AJ182" s="55"/>
      <c r="AK182" s="56"/>
      <c r="AL182" s="56"/>
      <c r="AM182" s="34"/>
      <c r="AN182" s="55"/>
      <c r="AO182" s="64"/>
      <c r="AP182" s="58" t="str">
        <f t="shared" si="6"/>
        <v>ATEKA s.r.o. krasa-zdravie-relax, &amp;#32vsetky kategorie  924 01  Galanta Sluzby starostlivosti o telo. Zamesnavanie znevyhodnenych a zranitelnych osob. BodyForm - lymfodrenazne studio Sluzby starostlivosti o telo. lymfodrenaz, masaz, zdravie           </v>
      </c>
      <c r="AQ182" s="37"/>
    </row>
    <row r="183" ht="15.75" customHeight="1">
      <c r="A183" s="43"/>
      <c r="B183" s="59">
        <v>193.0</v>
      </c>
      <c r="C183" s="75" t="s">
        <v>2073</v>
      </c>
      <c r="D183" s="42" t="s">
        <v>218</v>
      </c>
      <c r="E183" s="38" t="str">
        <f t="shared" si="1"/>
        <v>Košický kraj, &amp;#32celé Slovensko</v>
      </c>
      <c r="F183" s="42" t="s">
        <v>2074</v>
      </c>
      <c r="G183" s="38" t="str">
        <f t="shared" si="2"/>
        <v>čistiace a upratovacie služby, dom a záhrada, stavebníctvo, nábytok a bytové doplnky, bižutéria a darčekové predmety, &amp;#32všetky kategórie</v>
      </c>
      <c r="H183" s="42" t="s">
        <v>82</v>
      </c>
      <c r="I183" s="43" t="str">
        <f t="shared" si="3"/>
        <v>11 - 15, &amp;#32všetky možnosti</v>
      </c>
      <c r="J183" s="44" t="str">
        <f t="shared" si="7"/>
        <v>Servisné poukážky,Register partnerov VS,</v>
      </c>
      <c r="K183" s="45">
        <f t="shared" si="5"/>
        <v>25429.89319</v>
      </c>
      <c r="L183" s="43"/>
      <c r="M183" s="43" t="str">
        <f>IFERROR(__xludf.DUMMYFUNCTION("SPLIT(O183,"","")"),"Slovinky 58")</f>
        <v>Slovinky 58</v>
      </c>
      <c r="N183" s="43" t="str">
        <f>IFERROR(__xludf.DUMMYFUNCTION("""COMPUTED_VALUE""")," 053 40 Slovinky ")</f>
        <v> 053 40 Slovinky </v>
      </c>
      <c r="O183" s="42" t="s">
        <v>2075</v>
      </c>
      <c r="P183" s="43">
        <v>48.8817456</v>
      </c>
      <c r="Q183" s="43">
        <v>20.8463514</v>
      </c>
      <c r="R183" s="56" t="s">
        <v>2076</v>
      </c>
      <c r="S183" s="34" t="s">
        <v>2077</v>
      </c>
      <c r="T183" s="63" t="s">
        <v>2078</v>
      </c>
      <c r="U183" s="61" t="s">
        <v>2079</v>
      </c>
      <c r="V183" s="50" t="s">
        <v>2080</v>
      </c>
      <c r="W183" s="55" t="s">
        <v>2081</v>
      </c>
      <c r="X183" s="54" t="s">
        <v>2082</v>
      </c>
      <c r="Y183" s="110" t="s">
        <v>2083</v>
      </c>
      <c r="Z183" s="108" t="s">
        <v>2084</v>
      </c>
      <c r="AA183" s="109" t="s">
        <v>64</v>
      </c>
      <c r="AB183" s="55"/>
      <c r="AC183" s="56"/>
      <c r="AD183" s="56"/>
      <c r="AE183" s="55"/>
      <c r="AF183" s="55"/>
      <c r="AG183" s="56"/>
      <c r="AH183" s="56"/>
      <c r="AI183" s="55"/>
      <c r="AJ183" s="55"/>
      <c r="AK183" s="56"/>
      <c r="AL183" s="56"/>
      <c r="AM183" s="77" t="s">
        <v>321</v>
      </c>
      <c r="AN183" s="62" t="s">
        <v>39</v>
      </c>
      <c r="AO183" s="64"/>
      <c r="AP183" s="58" t="str">
        <f t="shared" si="6"/>
        <v>Socialny podnik obce Slovinky s. r. o. cistiace a upratovacie sluzby, dom a zahrada, stavebnictvo, nabytok a bytove doplnky, bizuteria a darcekove predmety, &amp;#32vsetky kategorie  053 40 Slovinky  Nas podnik sa zaobera najma stavebnou cinnostou (realizacia drobnych stavieb, rekonstrukcie, modernizacie, opravy a udrzba interierov a exterierov, kosenie a starostlivost o domacnost). 
Dalsou cinnostou je textilna vyroba (uzitkovy textil). Sijeme bavlnene tasky, kozmeticke tasticky, vrecuska na potraviny, kuchynske zastery, chnapky, odlicovacie tampony, postelne obliecky. Tvorime aj z odpadovych materialov, z ktorych hackujeme napriklad podsedaky. 
Podla potreby a zaujmu vieme vytvorit a usit aj ine uzitocne veci vhodne do domacnosti alebo ako darcek.  Pozitivny socialny vplyv meriame percentom zamestnanych znevyhodnenych alebo zranitelnych osob. V nasom podniku zamestnavame viac ako 90% znevyhodnenych osob. Socialny podnik obce Slovinky, s. r. o., r.s.p. Medzi sluzby, ktore poskytujeme, patria stavebne prace, a to najma zemne prace, realizacia drobnych a jednoduchych stavieb, montaz a vyroba jednoduchych kovovych a drevenych konstrukcii, vykopove prace, betonarske prace, montaz oplotenia, starostlivost o domacnost (kosenie travy, rubanie, ukladanie dreva). 
Medzi ponukane tovary patria strojovo site a rucne vyrabane textilne veci vhodne do domacnosti alebo ako darcek, napriklad bavlnena taska, kuchynska zastera, kuchynska chnapka, odlicovacie tampony, kozmeticka tasticka, vrecusko na potraviny, stahovacie vrecko, postelne obliecky, hackovane podsedaky a ine. stavebne prace, rekonstrukcie, modernizacie, montaz a demontaz debnenia, armovanie, betonarske prace, montaz oplotenia, kosenie, uprava hrobovych miest, upratovanie, starostlivost o domacnost, sitie, hackovanie, bavlnena taska, kuchynska zastera, kuchynska chnapka, odlicovacie tampony, kozmeticka tasticka, vrecusko na potraviny, stahovacie vrecko, postelne obliecky, zastera, vrecko, postelne pradlo          Servisne poukazky Register partnerov VS</v>
      </c>
      <c r="AQ183" s="37"/>
    </row>
    <row r="184" ht="15.75" customHeight="1">
      <c r="A184" s="43"/>
      <c r="B184" s="59">
        <v>195.0</v>
      </c>
      <c r="C184" s="75" t="s">
        <v>2085</v>
      </c>
      <c r="D184" s="42" t="s">
        <v>66</v>
      </c>
      <c r="E184" s="38" t="str">
        <f t="shared" si="1"/>
        <v>Žilinský kraj, &amp;#32celé Slovensko</v>
      </c>
      <c r="F184" s="42" t="s">
        <v>1955</v>
      </c>
      <c r="G184" s="38" t="str">
        <f t="shared" si="2"/>
        <v>kovovýroba, &amp;#32všetky kategórie</v>
      </c>
      <c r="H184" s="42" t="s">
        <v>53</v>
      </c>
      <c r="I184" s="43" t="str">
        <f t="shared" si="3"/>
        <v>1 - 5, &amp;#32všetky možnosti</v>
      </c>
      <c r="J184" s="44" t="str">
        <f t="shared" si="7"/>
        <v>,Register partnerov VS,</v>
      </c>
      <c r="K184" s="45">
        <f t="shared" si="5"/>
        <v>19937.685</v>
      </c>
      <c r="L184" s="43"/>
      <c r="M184" s="43" t="str">
        <f>IFERROR(__xludf.DUMMYFUNCTION("SPLIT(O184,"","")"),"Kamenná 9")</f>
        <v>Kamenná 9</v>
      </c>
      <c r="N184" s="43" t="str">
        <f>IFERROR(__xludf.DUMMYFUNCTION("""COMPUTED_VALUE""")," 010 01 Žilina")</f>
        <v> 010 01 Žilina</v>
      </c>
      <c r="O184" s="42" t="s">
        <v>2086</v>
      </c>
      <c r="P184" s="43">
        <v>49.1993157</v>
      </c>
      <c r="Q184" s="43">
        <v>18.727462</v>
      </c>
      <c r="R184" s="56" t="s">
        <v>2087</v>
      </c>
      <c r="S184" s="112" t="s">
        <v>2088</v>
      </c>
      <c r="T184" s="113" t="s">
        <v>86</v>
      </c>
      <c r="U184" s="49" t="s">
        <v>2089</v>
      </c>
      <c r="V184" s="66" t="s">
        <v>2090</v>
      </c>
      <c r="W184" s="54" t="s">
        <v>2091</v>
      </c>
      <c r="X184" s="54" t="s">
        <v>2092</v>
      </c>
      <c r="Y184" s="110" t="s">
        <v>2093</v>
      </c>
      <c r="Z184" s="108" t="s">
        <v>2094</v>
      </c>
      <c r="AA184" s="109" t="s">
        <v>64</v>
      </c>
      <c r="AB184" s="54"/>
      <c r="AC184" s="56"/>
      <c r="AD184" s="46"/>
      <c r="AE184" s="54"/>
      <c r="AF184" s="55"/>
      <c r="AG184" s="56"/>
      <c r="AH184" s="56"/>
      <c r="AI184" s="55"/>
      <c r="AJ184" s="55"/>
      <c r="AK184" s="56"/>
      <c r="AL184" s="56"/>
      <c r="AM184" s="47"/>
      <c r="AN184" s="62" t="s">
        <v>39</v>
      </c>
      <c r="AO184" s="64"/>
      <c r="AP184" s="58" t="str">
        <f t="shared" si="6"/>
        <v>BJ Energy, s.r.o. kovovyroba, &amp;#32vsetky kategorie  010 01 Zilina Realizujeme CNC delenie materialu (vodny luc, laser, kyslik plyn, plazma), opracovanie materialu (rezanie profilu, sustruzenie, frezovanie, ohranovanie), spracovanie materialu (vyroba ocelovych konstrukcii, vyroba zasobnikov, vyroba cyklonov), zvaranie MIG/MAG/TIG/MMA), dopravnikove systemy (retazove dopravniky, snekove dopravniky, pasove dopravniky, 
 korcekove dopravniky), technologicke linky (spracovanie odpadov, peletovacie linky, briketovacie linky, kontajnerove riesenia), sluzby (montaz vyrobku, projekcne prace, navrh, skreslenie, prace statika, vyvoj podla zadavania). Nas podnik pomaha zamestnavat ludi so zdravotnym znevyhodnenim a dlhodobo nezamestnanych, inovativnou technologiou setrime zivotne prostredie. BJ Energy s.r.o. Specialista na rezanie vodnym lucom, CNC delenie materialu, opracovanie materialu, spracovanie materialu, dopravnikove systemy, technologicke linky, a podobne sluzby. rezanie vodnym lucom, sustruzenie, frezovanie, ochranovanie ci rezanie profilov, CNC, kovovyroba, ocelove konstrukcie, dopravnikove systemy           Register partnerov VS</v>
      </c>
      <c r="AQ184" s="37"/>
    </row>
    <row r="185" ht="15.75" customHeight="1">
      <c r="A185" s="43"/>
      <c r="B185" s="59">
        <v>196.0</v>
      </c>
      <c r="C185" s="75" t="s">
        <v>2095</v>
      </c>
      <c r="D185" s="42" t="s">
        <v>181</v>
      </c>
      <c r="E185" s="38" t="str">
        <f t="shared" si="1"/>
        <v>Banskobystrický kraj, &amp;#32celé Slovensko</v>
      </c>
      <c r="F185" s="42" t="s">
        <v>639</v>
      </c>
      <c r="G185" s="38" t="str">
        <f t="shared" si="2"/>
        <v>čistiace a upratovacie služby, dom a záhrada, &amp;#32všetky kategórie</v>
      </c>
      <c r="H185" s="42" t="s">
        <v>96</v>
      </c>
      <c r="I185" s="43" t="str">
        <f t="shared" si="3"/>
        <v>6 - 10, &amp;#32všetky možnosti</v>
      </c>
      <c r="J185" s="44" t="str">
        <f t="shared" si="7"/>
        <v>,Register partnerov VS,</v>
      </c>
      <c r="K185" s="45">
        <f t="shared" si="5"/>
        <v>43839.2872</v>
      </c>
      <c r="L185" s="43"/>
      <c r="M185" s="43" t="str">
        <f>IFERROR(__xludf.DUMMYFUNCTION("SPLIT(O185,"","")"),"Ostrý Grúň 106")</f>
        <v>Ostrý Grúň 106</v>
      </c>
      <c r="N185" s="43" t="str">
        <f>IFERROR(__xludf.DUMMYFUNCTION("""COMPUTED_VALUE""")," 966 77 Ostrý Grúň")</f>
        <v> 966 77 Ostrý Grúň</v>
      </c>
      <c r="O185" s="42" t="s">
        <v>2096</v>
      </c>
      <c r="P185" s="43">
        <v>48.5619392</v>
      </c>
      <c r="Q185" s="43">
        <v>18.6633698</v>
      </c>
      <c r="R185" s="56" t="s">
        <v>2097</v>
      </c>
      <c r="S185" s="112" t="s">
        <v>1042</v>
      </c>
      <c r="T185" s="113" t="s">
        <v>86</v>
      </c>
      <c r="U185" s="49" t="s">
        <v>2098</v>
      </c>
      <c r="V185" s="66" t="s">
        <v>2099</v>
      </c>
      <c r="W185" s="54" t="s">
        <v>2100</v>
      </c>
      <c r="X185" s="54" t="s">
        <v>2101</v>
      </c>
      <c r="Y185" s="110" t="s">
        <v>2102</v>
      </c>
      <c r="Z185" s="108" t="s">
        <v>2103</v>
      </c>
      <c r="AA185" s="109" t="s">
        <v>64</v>
      </c>
      <c r="AB185" s="54"/>
      <c r="AC185" s="56"/>
      <c r="AD185" s="46"/>
      <c r="AE185" s="54"/>
      <c r="AF185" s="55"/>
      <c r="AG185" s="56"/>
      <c r="AH185" s="56"/>
      <c r="AI185" s="55"/>
      <c r="AJ185" s="55"/>
      <c r="AK185" s="56"/>
      <c r="AL185" s="56"/>
      <c r="AM185" s="47"/>
      <c r="AN185" s="62" t="s">
        <v>39</v>
      </c>
      <c r="AO185" s="64"/>
      <c r="AP185" s="58" t="str">
        <f t="shared" si="6"/>
        <v>Obecny podnik Ostry Grun s. r. o. cistiace a upratovacie sluzby, dom a zahrada, &amp;#32vsetky kategorie  966 77 Ostry Grun Obecny podnik Ostry Grun, s.r.o., r.s.p. je registrovanym socialnym podnikom so 100 %-nou majetkovou ucastou Obce Ostry Grun. Spolocnost bola zalozena dna 14.04.2021 za ucelom efektivneho a hospodarneho poskytovania sluzieb obci, obcanom, samospravam a organizaciam.Viac informacii na stranke www.ostrygrun.sk. Zamestnavame zdravotne znevyhodnenych obcanov. Obecny podnik Ostry Grun s.r.o., r.s.p. Poskytovane sluzby: kosenie pozemkov a zahrad; pilenie, stiepanie a ukladanie dreva; odstranovanie a odvoz naletovych drevin; vypratavanie nehnutelnosti – domov, chat a pod.; zabezpecenie vyvozu stavebneho a drobneho odpadu (okrem nebezpecnych odpadov); buracie prace drobneho rozsahu; rucna uprava pozemkov; pomocne prace rozneho druhu; ine prace podla dohody. kosenie, buranie, zemne prace, udrzba verejneho priestranstva, udrzba zelene, pilenie           Register partnerov VS</v>
      </c>
      <c r="AQ185" s="37"/>
    </row>
    <row r="186" ht="15.75" customHeight="1">
      <c r="A186" s="43"/>
      <c r="B186" s="59">
        <v>197.0</v>
      </c>
      <c r="C186" s="75" t="s">
        <v>2104</v>
      </c>
      <c r="D186" s="42" t="s">
        <v>66</v>
      </c>
      <c r="E186" s="38" t="str">
        <f t="shared" si="1"/>
        <v>Žilinský kraj, &amp;#32celé Slovensko</v>
      </c>
      <c r="F186" s="42" t="s">
        <v>2105</v>
      </c>
      <c r="G186" s="38" t="str">
        <f t="shared" si="2"/>
        <v>auto-moto, elektro, poľnohospodárstvo a lesníctvo, &amp;#32všetky kategórie</v>
      </c>
      <c r="H186" s="42" t="s">
        <v>53</v>
      </c>
      <c r="I186" s="43" t="str">
        <f t="shared" si="3"/>
        <v>1 - 5, &amp;#32všetky možnosti</v>
      </c>
      <c r="J186" s="44" t="str">
        <f t="shared" si="7"/>
        <v>,,Náhradné plnenie</v>
      </c>
      <c r="K186" s="45">
        <f t="shared" si="5"/>
        <v>39154.85227</v>
      </c>
      <c r="L186" s="43"/>
      <c r="M186" s="43" t="str">
        <f>IFERROR(__xludf.DUMMYFUNCTION("SPLIT(O186,"","")"),"Veľká okružná 17")</f>
        <v>Veľká okružná 17</v>
      </c>
      <c r="N186" s="43" t="str">
        <f>IFERROR(__xludf.DUMMYFUNCTION("""COMPUTED_VALUE""")," 010 01 Žilina")</f>
        <v> 010 01 Žilina</v>
      </c>
      <c r="O186" s="42" t="s">
        <v>2106</v>
      </c>
      <c r="P186" s="43">
        <v>49.2232302</v>
      </c>
      <c r="Q186" s="43">
        <v>18.7344975</v>
      </c>
      <c r="R186" s="56" t="s">
        <v>2107</v>
      </c>
      <c r="S186" s="112" t="s">
        <v>2108</v>
      </c>
      <c r="T186" s="113" t="s">
        <v>2109</v>
      </c>
      <c r="U186" s="49" t="s">
        <v>2110</v>
      </c>
      <c r="V186" s="66" t="s">
        <v>2111</v>
      </c>
      <c r="W186" s="54" t="s">
        <v>2112</v>
      </c>
      <c r="X186" s="54" t="s">
        <v>2104</v>
      </c>
      <c r="Y186" s="110" t="s">
        <v>2113</v>
      </c>
      <c r="Z186" s="108" t="s">
        <v>2114</v>
      </c>
      <c r="AA186" s="109" t="s">
        <v>64</v>
      </c>
      <c r="AB186" s="54"/>
      <c r="AC186" s="56"/>
      <c r="AD186" s="46"/>
      <c r="AE186" s="54"/>
      <c r="AF186" s="55"/>
      <c r="AG186" s="56"/>
      <c r="AH186" s="56"/>
      <c r="AI186" s="55"/>
      <c r="AJ186" s="55"/>
      <c r="AK186" s="56"/>
      <c r="AL186" s="56"/>
      <c r="AM186" s="34"/>
      <c r="AN186" s="55"/>
      <c r="AO186" s="57" t="s">
        <v>40</v>
      </c>
      <c r="AP186" s="58" t="str">
        <f t="shared" si="6"/>
        <v>Sondor s.r.o. auto-moto, elektro, polnohospodarstvo a lesnictvo, &amp;#32vsetky kategorie  010 01 Zilina Vyroba nerezoveho umyvacieho/pieskovacieho boxu, chov vciel, predaj medu, predaj autosuciastok. Zamestnavanie socialne znevyhodnenych osob. Sondor s.r.o. Vyroba, predaj, cistiaci/pieskovaci box, vceli med, predaj LED ziaroviek, svietidla pre verejne osvetlenie, predaj autosuciastok. cistiaci/pieskovaci box, vceli med, LED ziarovka, svietidlo pre verejne osvetlenie, autosuciastky.           </v>
      </c>
      <c r="AQ186" s="37"/>
    </row>
    <row r="187" ht="15.75" customHeight="1">
      <c r="A187" s="43"/>
      <c r="B187" s="59">
        <v>198.0</v>
      </c>
      <c r="C187" s="75" t="s">
        <v>2115</v>
      </c>
      <c r="D187" s="42" t="s">
        <v>218</v>
      </c>
      <c r="E187" s="38" t="str">
        <f t="shared" si="1"/>
        <v>Košický kraj, &amp;#32celé Slovensko</v>
      </c>
      <c r="F187" s="42" t="s">
        <v>947</v>
      </c>
      <c r="G187" s="38" t="str">
        <f t="shared" si="2"/>
        <v>čistiace a upratovacie služby, dom a záhrada, stavebníctvo, &amp;#32všetky kategórie</v>
      </c>
      <c r="H187" s="42" t="s">
        <v>53</v>
      </c>
      <c r="I187" s="43" t="str">
        <f t="shared" si="3"/>
        <v>1 - 5, &amp;#32všetky možnosti</v>
      </c>
      <c r="J187" s="44" t="str">
        <f t="shared" si="7"/>
        <v>,Register partnerov VS,</v>
      </c>
      <c r="K187" s="45">
        <f t="shared" si="5"/>
        <v>1142.00199</v>
      </c>
      <c r="L187" s="43"/>
      <c r="M187" s="43" t="str">
        <f>IFERROR(__xludf.DUMMYFUNCTION("SPLIT(O187,"","")"),"Banícke námestie 4")</f>
        <v>Banícke námestie 4</v>
      </c>
      <c r="N187" s="43" t="str">
        <f>IFERROR(__xludf.DUMMYFUNCTION("""COMPUTED_VALUE""")," 056 01 Gelnica")</f>
        <v> 056 01 Gelnica</v>
      </c>
      <c r="O187" s="42" t="s">
        <v>2116</v>
      </c>
      <c r="P187" s="43">
        <v>48.8520046</v>
      </c>
      <c r="Q187" s="43">
        <v>20.9331466</v>
      </c>
      <c r="R187" s="56" t="s">
        <v>2117</v>
      </c>
      <c r="S187" s="112" t="s">
        <v>2118</v>
      </c>
      <c r="T187" s="113" t="s">
        <v>86</v>
      </c>
      <c r="U187" s="49" t="s">
        <v>2119</v>
      </c>
      <c r="V187" s="66" t="s">
        <v>2120</v>
      </c>
      <c r="W187" s="54" t="s">
        <v>2121</v>
      </c>
      <c r="X187" s="54" t="s">
        <v>2122</v>
      </c>
      <c r="Y187" s="110" t="s">
        <v>2123</v>
      </c>
      <c r="Z187" s="108" t="s">
        <v>2124</v>
      </c>
      <c r="AA187" s="109" t="s">
        <v>64</v>
      </c>
      <c r="AB187" s="54"/>
      <c r="AC187" s="56"/>
      <c r="AD187" s="46"/>
      <c r="AE187" s="54"/>
      <c r="AF187" s="55"/>
      <c r="AG187" s="56"/>
      <c r="AH187" s="56"/>
      <c r="AI187" s="55"/>
      <c r="AJ187" s="55"/>
      <c r="AK187" s="56"/>
      <c r="AL187" s="56"/>
      <c r="AM187" s="47"/>
      <c r="AN187" s="62" t="s">
        <v>39</v>
      </c>
      <c r="AO187" s="64"/>
      <c r="AP187" s="58" t="str">
        <f t="shared" si="6"/>
        <v>Socialny podnik Mesta Gelnica, s. r. o. cistiace a upratovacie sluzby, dom a zahrada, stavebnictvo, &amp;#32vsetky kategorie  056 01 Gelnica Socialny podnik rozbieha stavebne prace, cistiace a upratovacie prace, udrzbu verejnej zelene, udrzbu zahrad fyzickych osob a dalsie podobne sluzby. Mesto Gelnica planuje zamestnat hlavne znevyhodnene alebo zranitelne osoby. Cielom je pomoc pri ich integracii na trhu prace. Socialny podnik mesta Gelnica Rozbiehame stavebne prace, cistiace a upratovacie prace, udrzbu verejnej zelene, udrzbu zahrad fyzickych osob a dalsie podobne sluzby. udrzba zelene, starostlivost, upratovanie, cistenie, stavebne prace           Register partnerov VS</v>
      </c>
      <c r="AQ187" s="37"/>
    </row>
    <row r="188" ht="15.75" customHeight="1">
      <c r="A188" s="43"/>
      <c r="B188" s="59">
        <v>199.0</v>
      </c>
      <c r="C188" s="75" t="s">
        <v>2125</v>
      </c>
      <c r="D188" s="42" t="s">
        <v>181</v>
      </c>
      <c r="E188" s="38" t="str">
        <f t="shared" si="1"/>
        <v>Banskobystrický kraj, &amp;#32celé Slovensko</v>
      </c>
      <c r="F188" s="42" t="s">
        <v>2126</v>
      </c>
      <c r="G188" s="38" t="str">
        <f t="shared" si="2"/>
        <v>dom a záhrada, nábytok a bytové doplnky, bižutéria a darčekové predmety, iné (tovary a služby), &amp;#32všetky kategórie</v>
      </c>
      <c r="H188" s="42" t="s">
        <v>82</v>
      </c>
      <c r="I188" s="43" t="str">
        <f t="shared" si="3"/>
        <v>11 - 15, &amp;#32všetky možnosti</v>
      </c>
      <c r="J188" s="44" t="str">
        <f t="shared" si="7"/>
        <v>,Register partnerov VS,Náhradné plnenie</v>
      </c>
      <c r="K188" s="45">
        <f t="shared" si="5"/>
        <v>39349.46592</v>
      </c>
      <c r="L188" s="43"/>
      <c r="M188" s="43" t="str">
        <f>IFERROR(__xludf.DUMMYFUNCTION("SPLIT(O188,"","")"),"Majerská cesta 73")</f>
        <v>Majerská cesta 73</v>
      </c>
      <c r="N188" s="43" t="str">
        <f>IFERROR(__xludf.DUMMYFUNCTION("""COMPUTED_VALUE""")," 974 01 Banská Bystrica")</f>
        <v> 974 01 Banská Bystrica</v>
      </c>
      <c r="O188" s="42" t="s">
        <v>1819</v>
      </c>
      <c r="P188" s="43">
        <v>48.7337581</v>
      </c>
      <c r="Q188" s="43">
        <v>19.1797588</v>
      </c>
      <c r="R188" s="56" t="s">
        <v>2127</v>
      </c>
      <c r="S188" s="112" t="s">
        <v>2128</v>
      </c>
      <c r="T188" s="113" t="s">
        <v>86</v>
      </c>
      <c r="U188" s="49" t="s">
        <v>2129</v>
      </c>
      <c r="V188" s="66" t="s">
        <v>2130</v>
      </c>
      <c r="W188" s="54" t="s">
        <v>2131</v>
      </c>
      <c r="X188" s="54" t="s">
        <v>2125</v>
      </c>
      <c r="Y188" s="110" t="s">
        <v>2132</v>
      </c>
      <c r="Z188" s="108" t="s">
        <v>2133</v>
      </c>
      <c r="AA188" s="109" t="s">
        <v>64</v>
      </c>
      <c r="AB188" s="54"/>
      <c r="AC188" s="56"/>
      <c r="AD188" s="46"/>
      <c r="AE188" s="54"/>
      <c r="AF188" s="55"/>
      <c r="AG188" s="56"/>
      <c r="AH188" s="56"/>
      <c r="AI188" s="55"/>
      <c r="AJ188" s="55"/>
      <c r="AK188" s="56"/>
      <c r="AL188" s="56"/>
      <c r="AM188" s="47"/>
      <c r="AN188" s="62" t="s">
        <v>39</v>
      </c>
      <c r="AO188" s="57" t="s">
        <v>40</v>
      </c>
      <c r="AP188" s="58" t="str">
        <f t="shared" si="6"/>
        <v>DEKOR GARDEN, socialne druzstvo, r.s.p. dom a zahrada, nabytok a bytove doplnky, bizuteria a darcekove predmety, ine (tovary a sluzby), &amp;#32vsetky kategorie  974 01 Banska Bystrica DEKOR GARDEN, socialne druzstvo, r.s.p. je spolocnost zaoberajuca sa predajom zahradkarskych potrieb, dekoracneho materialu, umelych kvetov a potrieb pre kvetinarov, vinarskych a chovatelskych potrieb. Prevadzkujeme velkoobchodnu aj maloobchodnu predajnu v Banskej Bystrici. Ponukame kapacity pre vyrobu aranzmanov z umelych alebo susenych kvetov na rozne prilezitosti a vyrobu dekoracnych bytovych doplnkov. Ponukame aj kapacity na vazenie a balenie semien a polnohospodarskych potrieb do spotrebitelskych baleni. Pozitivny socialny vplyv Druzstvo dosahuje percentom zamestnanych znevyhodnenych a/alebo zranitelnych osob z celkoveho poctu zamestnancov. DEKOR GARDEN, socialne druzstvo, r.s.p. Zahradkarske potreby, dekoracny material, umele kvety a potreby pre kvetinarov, vinarske a chovatelske potreby. Vyroba aranzmanov z umelych alebo susenych kvetov na rozne prilezitosti a vyrobu dekoracnych bytovych doplnkov. Prevadzkujeme velkoobchodnu aj maloobchodnu predajnu v Banskej Bystrici. Ponukame aj kapacity na vazenie a balenie semien a polnohospodarskych potrieb do spotrebitelskych baleni. zahradkarstvo, chovatelske potreby, dekoracny material, umele kvety, aranzmany, potreby pre kvetinarov, balenie, substraty, kora, hnojiva, vence, keramika, kvetinace, obaly na kvety, kosiky, sviecky, semena, cibuloviny, zemiaky, zahradne naradie, vinarske potreby, sudky, balenie, baliace prace           Register partnerov VS</v>
      </c>
      <c r="AQ188" s="37"/>
    </row>
    <row r="189" ht="15.75" customHeight="1">
      <c r="A189" s="43"/>
      <c r="B189" s="59">
        <v>201.0</v>
      </c>
      <c r="C189" s="75" t="s">
        <v>2134</v>
      </c>
      <c r="D189" s="42" t="s">
        <v>66</v>
      </c>
      <c r="E189" s="38" t="str">
        <f t="shared" si="1"/>
        <v>Žilinský kraj, &amp;#32celé Slovensko</v>
      </c>
      <c r="F189" s="42" t="s">
        <v>2135</v>
      </c>
      <c r="G189" s="38" t="str">
        <f t="shared" si="2"/>
        <v>čistiace a upratovacie služby, stavebníctvo, dom a záhrada, iné (tovary a služby), &amp;#32všetky kategórie</v>
      </c>
      <c r="H189" s="42" t="s">
        <v>53</v>
      </c>
      <c r="I189" s="43" t="str">
        <f t="shared" si="3"/>
        <v>1 - 5, &amp;#32všetky možnosti</v>
      </c>
      <c r="J189" s="44" t="str">
        <f t="shared" si="7"/>
        <v>,,</v>
      </c>
      <c r="K189" s="45">
        <f t="shared" si="5"/>
        <v>41361.43944</v>
      </c>
      <c r="L189" s="43"/>
      <c r="M189" s="43" t="str">
        <f>IFERROR(__xludf.DUMMYFUNCTION("SPLIT(O189,"","")"),"Sad SNP 669/6")</f>
        <v>Sad SNP 669/6</v>
      </c>
      <c r="N189" s="43" t="str">
        <f>IFERROR(__xludf.DUMMYFUNCTION("""COMPUTED_VALUE""")," 010 01 Žilina")</f>
        <v> 010 01 Žilina</v>
      </c>
      <c r="O189" s="42" t="s">
        <v>2136</v>
      </c>
      <c r="P189" s="43">
        <v>49.2266278</v>
      </c>
      <c r="Q189" s="43">
        <v>18.7408163</v>
      </c>
      <c r="R189" s="56" t="s">
        <v>2137</v>
      </c>
      <c r="S189" s="112" t="s">
        <v>2138</v>
      </c>
      <c r="T189" s="113" t="s">
        <v>86</v>
      </c>
      <c r="U189" s="49" t="s">
        <v>2139</v>
      </c>
      <c r="V189" s="66" t="s">
        <v>2140</v>
      </c>
      <c r="W189" s="54" t="s">
        <v>2141</v>
      </c>
      <c r="X189" s="54" t="s">
        <v>2134</v>
      </c>
      <c r="Y189" s="110" t="s">
        <v>2142</v>
      </c>
      <c r="Z189" s="108" t="s">
        <v>2143</v>
      </c>
      <c r="AA189" s="109" t="s">
        <v>64</v>
      </c>
      <c r="AB189" s="54"/>
      <c r="AC189" s="56"/>
      <c r="AD189" s="46"/>
      <c r="AE189" s="54"/>
      <c r="AF189" s="55"/>
      <c r="AG189" s="56"/>
      <c r="AH189" s="56"/>
      <c r="AI189" s="55"/>
      <c r="AJ189" s="55"/>
      <c r="AK189" s="56"/>
      <c r="AL189" s="56"/>
      <c r="AM189" s="34"/>
      <c r="AN189" s="55"/>
      <c r="AO189" s="64"/>
      <c r="AP189" s="58" t="str">
        <f t="shared" si="6"/>
        <v>Slovensky ustav vystavby a rozvoja byvania, s. r. o. cistiace a upratovacie sluzby, stavebnictvo, dom a zahrada, ine (tovary a sluzby), &amp;#32vsetky kategorie  010 01 Zilina Uskutocnovanie stavieb a ich zmien, pripravne prace k realizacii stavby, dokoncovacie stavebne prace pri realizacii exterierov a interierov, cistiace a upratovacie sluzby, poskytovanie sluzieb v zahradnictve, vyroba nekovovych mineralnych vyrobkov a vyrobkov z betonu, sadry a cementu, opracovanie drevnej hmoty a vyroba komponentov z dreva, vyroba jednoduchych vyrobkov z dreva, korku, slamy, prutia a ich uprava, oprava a udrzba. Podmienku pozitivneho socialneho vplyvu spolocnost dosahuje jednak zamestnavanim znevyhodnenych a/alebo zranitelnych osob a zaroven svojimi cinnostami prispievajucimi k rozvoju regionu. Slovensky ustav vystavby a rozvoja byvania, s. r. o. Uskutocnovanie stavieb a ich zmien, pripravne prace k realizacii stavby, dokoncovacie stavebne prace pri realizacii interierov a exterierov, upratovacie sluzby, zahradnicke sluzby. upratovanie, zemne prace, stavebne prace, dokoncovacie stavebne prace, pripravne stavebne prace, opracovanie dreva, buranie, zehlenie, umyvanie okien, kosenie, opilovanie, pilenie, drevovyroba, vyrobky z dreva, slamy, prutia.           </v>
      </c>
      <c r="AQ189" s="37"/>
    </row>
    <row r="190" ht="15.75" customHeight="1">
      <c r="A190" s="43"/>
      <c r="B190" s="59">
        <v>202.0</v>
      </c>
      <c r="C190" s="75" t="s">
        <v>2144</v>
      </c>
      <c r="D190" s="42" t="s">
        <v>181</v>
      </c>
      <c r="E190" s="38" t="str">
        <f t="shared" si="1"/>
        <v>Banskobystrický kraj, &amp;#32celé Slovensko</v>
      </c>
      <c r="F190" s="42" t="s">
        <v>2008</v>
      </c>
      <c r="G190" s="38" t="str">
        <f t="shared" si="2"/>
        <v>stavebníctvo, dom a záhrada, &amp;#32všetky kategórie</v>
      </c>
      <c r="H190" s="42" t="s">
        <v>170</v>
      </c>
      <c r="I190" s="43" t="str">
        <f t="shared" si="3"/>
        <v>21 a viac, &amp;#32všetky možnosti</v>
      </c>
      <c r="J190" s="44" t="str">
        <f t="shared" si="7"/>
        <v>,Register partnerov VS,Náhradné plnenie</v>
      </c>
      <c r="K190" s="45">
        <f t="shared" si="5"/>
        <v>32899.85467</v>
      </c>
      <c r="L190" s="43"/>
      <c r="M190" s="43" t="str">
        <f>IFERROR(__xludf.DUMMYFUNCTION("SPLIT(O190,"","")"),"Nám. SNP 14585/1A")</f>
        <v>Nám. SNP 14585/1A</v>
      </c>
      <c r="N190" s="43" t="str">
        <f>IFERROR(__xludf.DUMMYFUNCTION("""COMPUTED_VALUE""")," 974 01 Banská Bystrica")</f>
        <v> 974 01 Banská Bystrica</v>
      </c>
      <c r="O190" s="42" t="s">
        <v>2145</v>
      </c>
      <c r="P190" s="43">
        <v>48.7351436</v>
      </c>
      <c r="Q190" s="43">
        <v>19.145255</v>
      </c>
      <c r="R190" s="56" t="s">
        <v>2146</v>
      </c>
      <c r="S190" s="112" t="s">
        <v>2147</v>
      </c>
      <c r="T190" s="113" t="s">
        <v>86</v>
      </c>
      <c r="U190" s="49" t="s">
        <v>2148</v>
      </c>
      <c r="V190" s="66" t="s">
        <v>2149</v>
      </c>
      <c r="W190" s="54" t="s">
        <v>2150</v>
      </c>
      <c r="X190" s="54" t="s">
        <v>2144</v>
      </c>
      <c r="Y190" s="110" t="s">
        <v>2151</v>
      </c>
      <c r="Z190" s="108" t="s">
        <v>2152</v>
      </c>
      <c r="AA190" s="109" t="s">
        <v>64</v>
      </c>
      <c r="AB190" s="54"/>
      <c r="AC190" s="56"/>
      <c r="AD190" s="46"/>
      <c r="AE190" s="54"/>
      <c r="AF190" s="55"/>
      <c r="AG190" s="56"/>
      <c r="AH190" s="56"/>
      <c r="AI190" s="55"/>
      <c r="AJ190" s="55"/>
      <c r="AK190" s="56"/>
      <c r="AL190" s="56"/>
      <c r="AM190" s="47"/>
      <c r="AN190" s="62" t="s">
        <v>39</v>
      </c>
      <c r="AO190" s="57" t="s">
        <v>40</v>
      </c>
      <c r="AP190" s="58" t="str">
        <f t="shared" si="6"/>
        <v>Rozvojove sluzby BBSK, s.r.o. registrovany socialny podnik stavebnictvo, dom a zahrada, &amp;#32vsetky kategorie  974 01 Banska Bystrica Zriadovatelom nasej spolocnosti je Banskobystricky samospravny kraj, preto svoju hlavnu cinnost smerujeme prave na uzemie Banskobystrickeho kraja. Zameriavame sa predovsetkym na stavebne prace na objektoch v sprave alebo v majetku BBSK, ale aj na ine stavebne cinnosti podla potrieb ci uz pravnickych alebo fyzickych osob. Svojim zakaznikom vieme poskytnut takmer kompletne stavebne prace, t.j.:
 - jednoduche stavebne prace (napr. malovanie, natieranie a vymena plavajucich, resp. laminatovych podlah),
 - drobne opravy, pokladka dlazby a obkladov (interier, exterier),
 - rucne vykopove prace,
 - zlozitejsie rekonstrukcie a nadstavby budov a objektov, opravy striech, stavby plotov, kompletne murarske prace a ine. Zamestnavanie marginalizovanych obyvatelov. Rozvojove sluzby BBSK, s.r.o. registrovany socialny podnik Svojim zakaznikom vieme poskytnut takmer kompletne stavebne prace, t.j.:
 - jednoduche stavebne prace (napr. malovanie, natieranie a vymena plavajucich, resp. laminatovych podlah),
 - drobne opravy, pokladka dlazby a obkladov (interier, exterier),
 - rucne vykopove prace,
 - zlozitejsie rekonstrukcie a nadstavby budov a objektov, opravy striech, stavby plotov, kompletne murarske prace a ine. stavebny socialny podnik           Register partnerov VS</v>
      </c>
      <c r="AQ190" s="37"/>
    </row>
    <row r="191" ht="15.75" customHeight="1">
      <c r="A191" s="43"/>
      <c r="B191" s="59">
        <v>203.0</v>
      </c>
      <c r="C191" s="75" t="s">
        <v>2153</v>
      </c>
      <c r="D191" s="42" t="s">
        <v>134</v>
      </c>
      <c r="E191" s="38" t="str">
        <f t="shared" si="1"/>
        <v>Trenčiansky kraj, &amp;#32celé Slovensko</v>
      </c>
      <c r="F191" s="42" t="s">
        <v>2054</v>
      </c>
      <c r="G191" s="38" t="str">
        <f t="shared" si="2"/>
        <v>čistiace a upratovacie služby, dom a záhrada, stavebníctvo, odpady a recyklácia, &amp;#32všetky kategórie</v>
      </c>
      <c r="H191" s="42" t="s">
        <v>96</v>
      </c>
      <c r="I191" s="43" t="str">
        <f t="shared" si="3"/>
        <v>6 - 10, &amp;#32všetky možnosti</v>
      </c>
      <c r="J191" s="44" t="str">
        <f t="shared" si="7"/>
        <v>,,</v>
      </c>
      <c r="K191" s="45">
        <f t="shared" si="5"/>
        <v>12630.5591</v>
      </c>
      <c r="L191" s="43"/>
      <c r="M191" s="43" t="str">
        <f>IFERROR(__xludf.DUMMYFUNCTION("SPLIT(O191,"","")"),"Moravské Lieskové 657")</f>
        <v>Moravské Lieskové 657</v>
      </c>
      <c r="N191" s="43" t="str">
        <f>IFERROR(__xludf.DUMMYFUNCTION("""COMPUTED_VALUE""")," 916 42 Moravské Lieskové")</f>
        <v> 916 42 Moravské Lieskové</v>
      </c>
      <c r="O191" s="42" t="s">
        <v>2154</v>
      </c>
      <c r="P191" s="43">
        <v>48.818283</v>
      </c>
      <c r="Q191" s="43">
        <v>17.7930406</v>
      </c>
      <c r="R191" s="56" t="s">
        <v>2155</v>
      </c>
      <c r="S191" s="112" t="s">
        <v>2156</v>
      </c>
      <c r="T191" s="113" t="s">
        <v>86</v>
      </c>
      <c r="U191" s="49" t="s">
        <v>2157</v>
      </c>
      <c r="V191" s="66" t="s">
        <v>2158</v>
      </c>
      <c r="W191" s="54" t="s">
        <v>2159</v>
      </c>
      <c r="X191" s="54" t="s">
        <v>2160</v>
      </c>
      <c r="Y191" s="110" t="s">
        <v>2161</v>
      </c>
      <c r="Z191" s="108" t="s">
        <v>2162</v>
      </c>
      <c r="AA191" s="109" t="s">
        <v>64</v>
      </c>
      <c r="AB191" s="54"/>
      <c r="AC191" s="56"/>
      <c r="AD191" s="46"/>
      <c r="AE191" s="54"/>
      <c r="AF191" s="55"/>
      <c r="AG191" s="56"/>
      <c r="AH191" s="56"/>
      <c r="AI191" s="55"/>
      <c r="AJ191" s="55"/>
      <c r="AK191" s="56"/>
      <c r="AL191" s="56"/>
      <c r="AM191" s="34"/>
      <c r="AN191" s="55"/>
      <c r="AO191" s="64"/>
      <c r="AP191" s="58" t="str">
        <f t="shared" si="6"/>
        <v>PSML s. r. o. cistiace a upratovacie sluzby, dom a zahrada, stavebnictvo, odpady a recyklacia, &amp;#32vsetky kategorie  916 42 Moravske Lieskove Drobne stavebne prace, udrzba zelene, pomocne prace, prevadzka verejnych vodovodov a verejnej kanalizacie, vykonavanie verejnoprospesnych sluzieb pre obec a obcanov udrzba miestnych komunikacii, zvoz a triedenie odpadov, sluzby pre obcanov, prevadzka cistiarne odpadovych vod, prevadzka verejneho vodovodu, cistenie verejnych priestranstiev. Likvidujeme cierne skladky s dorazom na skladky v ochrannych pasmach CHKO Biele Karpaty a zabezpecujeme socialnu pomoc osobam v invalidnom alebo starobnom dochodku a socialne znevyhodnenym osobam. PSML s.r.o. Drobne stavebne prace, udrzba zelene, pomocne prace, prevadzka verejnych vodovodov a verejnej kanalizacie, vykonavanie verejnoprospesnych sluzieb pre obec a obcanov - udrzba miestnych komunikacii, zvoz a triedenie odpadov, sluzby pre obcanov, prevadzka cistiarne odpadovych vod, prevadzka verejneho vodovodu, cistenie verejnych priestranstiev, likvidacia ciernych skladok s dorazom na skladky v ochrannych pasmach CHKO Biele Karpaty a zabezpecenie socialnej pomoci osobam v invalidnom alebo starobnom dochodku a socialne znevyhodnenym osobam. vykonavanie verejnoprospesnych sluzieb pre obec a obcanov udrzba miestnych komunikacii, zvoz a triedenie odpadov, sluzby pre obcanov, prevadzka cistiarne odpadovych vod, prevadzka verejneho vodovodu, cistenie verejnych priestranstiev, likvidacia ciernych skladok s dorazom na skladky v ochrannych pasmach CHKO Biele Karpaty, socialna pomoc osobam v invalidnom alebo starobnom dochodku a socialne znevyhodnenym osobam           </v>
      </c>
      <c r="AQ191" s="37"/>
    </row>
    <row r="192" ht="15.75" customHeight="1">
      <c r="A192" s="43"/>
      <c r="B192" s="59">
        <v>204.0</v>
      </c>
      <c r="C192" s="75" t="s">
        <v>2163</v>
      </c>
      <c r="D192" s="42" t="s">
        <v>134</v>
      </c>
      <c r="E192" s="38" t="str">
        <f t="shared" si="1"/>
        <v>Trenčiansky kraj, &amp;#32celé Slovensko</v>
      </c>
      <c r="F192" s="42" t="s">
        <v>2164</v>
      </c>
      <c r="G192" s="38" t="str">
        <f t="shared" si="2"/>
        <v>čistiace a upratovacie služby, ubytovacie a stravovacie služby, vzdelávanie, pre deti, &amp;#32všetky kategórie</v>
      </c>
      <c r="H192" s="42" t="s">
        <v>53</v>
      </c>
      <c r="I192" s="43" t="str">
        <f t="shared" si="3"/>
        <v>1 - 5, &amp;#32všetky možnosti</v>
      </c>
      <c r="J192" s="44" t="str">
        <f t="shared" si="7"/>
        <v>,,</v>
      </c>
      <c r="K192" s="45">
        <f t="shared" si="5"/>
        <v>37376.76955</v>
      </c>
      <c r="L192" s="43"/>
      <c r="M192" s="43" t="str">
        <f>IFERROR(__xludf.DUMMYFUNCTION("SPLIT(O192,"","")"),"Chrenovec-Brusno 398")</f>
        <v>Chrenovec-Brusno 398</v>
      </c>
      <c r="N192" s="43" t="str">
        <f>IFERROR(__xludf.DUMMYFUNCTION("""COMPUTED_VALUE""")," 972 32 Chrenovec-Brusno")</f>
        <v> 972 32 Chrenovec-Brusno</v>
      </c>
      <c r="O192" s="42" t="s">
        <v>2165</v>
      </c>
      <c r="P192" s="43">
        <v>48.7760647</v>
      </c>
      <c r="Q192" s="43">
        <v>18.7258299</v>
      </c>
      <c r="R192" s="56" t="s">
        <v>2166</v>
      </c>
      <c r="S192" s="112" t="s">
        <v>2167</v>
      </c>
      <c r="T192" s="113" t="s">
        <v>86</v>
      </c>
      <c r="U192" s="49" t="s">
        <v>2168</v>
      </c>
      <c r="V192" s="66" t="s">
        <v>2169</v>
      </c>
      <c r="W192" s="54" t="s">
        <v>2170</v>
      </c>
      <c r="X192" s="54" t="s">
        <v>2171</v>
      </c>
      <c r="Y192" s="110" t="s">
        <v>2172</v>
      </c>
      <c r="Z192" s="108" t="s">
        <v>2173</v>
      </c>
      <c r="AA192" s="109" t="s">
        <v>64</v>
      </c>
      <c r="AB192" s="54"/>
      <c r="AC192" s="56"/>
      <c r="AD192" s="46"/>
      <c r="AE192" s="54"/>
      <c r="AF192" s="55"/>
      <c r="AG192" s="56"/>
      <c r="AH192" s="56"/>
      <c r="AI192" s="55"/>
      <c r="AJ192" s="55"/>
      <c r="AK192" s="56"/>
      <c r="AL192" s="56"/>
      <c r="AM192" s="34"/>
      <c r="AN192" s="55"/>
      <c r="AO192" s="64"/>
      <c r="AP192" s="58" t="str">
        <f t="shared" si="6"/>
        <v>Atasof s. r. o. cistiace a upratovacie sluzby, ubytovacie a stravovacie sluzby, vzdelavanie, pre deti, &amp;#32vsetky kategorie  972 32 Chrenovec-Brusno Ponukame mimoskolske vzdelavanie a stravovacie a upratovacie sluzby pre detske jasle a materske skoly. Dalej ponukame udrzbarske a upratovacie sluzby pre firmy a pod. Zamestnavame znevyhodnenych ludi. Atasof s.r.o. Mimoskolske vzdelavanie a stravovacie a upratovacie sluzby pre detske jasle a materske skoly. Ponukame tiez udrzbarske a upratovacie sluzby pre firmy a pod. Vyvarovna, jedalen, upratovanie, zehlenie, umyvanie, kosenie, pomocne udrzbarske prace           </v>
      </c>
      <c r="AQ192" s="37"/>
    </row>
    <row r="193" ht="15.75" customHeight="1">
      <c r="A193" s="43"/>
      <c r="B193" s="59">
        <v>205.0</v>
      </c>
      <c r="C193" s="75" t="s">
        <v>2174</v>
      </c>
      <c r="D193" s="42" t="s">
        <v>80</v>
      </c>
      <c r="E193" s="38" t="str">
        <f t="shared" si="1"/>
        <v>Trnavský kraj, &amp;#32celé Slovensko</v>
      </c>
      <c r="F193" s="42" t="s">
        <v>2175</v>
      </c>
      <c r="G193" s="38" t="str">
        <f t="shared" si="2"/>
        <v>ubytovacie a stravovacie služby, vzdelávanie, iné (tovary a služby), &amp;#32všetky kategórie</v>
      </c>
      <c r="H193" s="42" t="s">
        <v>53</v>
      </c>
      <c r="I193" s="43" t="str">
        <f t="shared" si="3"/>
        <v>1 - 5, &amp;#32všetky možnosti</v>
      </c>
      <c r="J193" s="44" t="str">
        <f t="shared" si="7"/>
        <v>,,</v>
      </c>
      <c r="K193" s="45">
        <f t="shared" si="5"/>
        <v>9171.081339</v>
      </c>
      <c r="L193" s="43"/>
      <c r="M193" s="43" t="str">
        <f>IFERROR(__xludf.DUMMYFUNCTION("SPLIT(O193,"","")"),"Nám. L. van Beethovena 555/10")</f>
        <v>Nám. L. van Beethovena 555/10</v>
      </c>
      <c r="N193" s="43" t="str">
        <f>IFERROR(__xludf.DUMMYFUNCTION("""COMPUTED_VALUE""")," 919 65 Dolná Krupá")</f>
        <v> 919 65 Dolná Krupá</v>
      </c>
      <c r="O193" s="42" t="s">
        <v>2176</v>
      </c>
      <c r="P193" s="43">
        <v>48.4827836</v>
      </c>
      <c r="Q193" s="43">
        <v>17.5497174</v>
      </c>
      <c r="R193" s="56" t="s">
        <v>2177</v>
      </c>
      <c r="S193" s="112" t="s">
        <v>2178</v>
      </c>
      <c r="T193" s="113" t="s">
        <v>2179</v>
      </c>
      <c r="U193" s="49" t="s">
        <v>2180</v>
      </c>
      <c r="V193" s="66" t="s">
        <v>2181</v>
      </c>
      <c r="W193" s="54" t="s">
        <v>2182</v>
      </c>
      <c r="X193" s="54" t="s">
        <v>2174</v>
      </c>
      <c r="Y193" s="110" t="s">
        <v>2183</v>
      </c>
      <c r="Z193" s="108" t="s">
        <v>2184</v>
      </c>
      <c r="AA193" s="109" t="s">
        <v>64</v>
      </c>
      <c r="AB193" s="54"/>
      <c r="AC193" s="56"/>
      <c r="AD193" s="46"/>
      <c r="AE193" s="54"/>
      <c r="AF193" s="55"/>
      <c r="AG193" s="56"/>
      <c r="AH193" s="56"/>
      <c r="AI193" s="55"/>
      <c r="AJ193" s="55"/>
      <c r="AK193" s="56"/>
      <c r="AL193" s="56"/>
      <c r="AM193" s="34"/>
      <c r="AN193" s="55"/>
      <c r="AO193" s="64"/>
      <c r="AP193" s="58" t="str">
        <f t="shared" si="6"/>
        <v>Obcianske zdruzenie sv. Rafaela ubytovacie a stravovacie sluzby, vzdelavanie, ine (tovary a sluzby), &amp;#32vsetky kategorie  919 65 Dolna Krupa Sme mlady registrovany socialny podnik, ktoreho snahou je zranitelnym a znevyhodnenym ludom poskytovat potrebnu pomoc a podporu.
 Predmetom nasej cinnosti je prenajom ubytovacich priestorov v Dolnej Krupej (pri Trnave), ktore su velmi vhodne
 na vzdelavacie aktivity, skolenia, teambuildingy, pracovne mitingy, sportove sustredenia, rodinne dovolenky, sukromne oslavy a rozne ine akcie, duchovne obnovy, duchovne cvicenia, detske tabory, skolske vylety a pod. V budove ubytovavame individualnych zaujemcov i skupiny hosti a prenajimame aj ine priestory, napr. ucebne. 
 Nasimi zakaznikmi su vsetci, ktori hladaju vyssie ponukane sluzby. Nasim poslanim je pomahat zranitelnym a znevyhodnenym ludom v ich usili zit svoj zivot dostojne, zodpovedne a v ramci ich moznosti i samostatne. Obcianske zdruzenie sv. Rafaela Predmetom nasej cinnosti je prenajom ubytovacich priestorov a ucebni. ubytovacie priestory, vzdelavacie aktivity, skolenia, teambuildingy, pracovne meetingy, sportove sustredenia, rodinne dovolenky, sukromne oslavy a rozne ine akcie, duchovne obnovy, duchovne cvicenia, detske tabory, skolske vylety, prenajom ucebni.           </v>
      </c>
      <c r="AQ193" s="37"/>
    </row>
    <row r="194" ht="15.75" customHeight="1">
      <c r="A194" s="43"/>
      <c r="B194" s="59">
        <v>206.0</v>
      </c>
      <c r="C194" s="75" t="s">
        <v>2185</v>
      </c>
      <c r="D194" s="42" t="s">
        <v>229</v>
      </c>
      <c r="E194" s="38" t="str">
        <f t="shared" si="1"/>
        <v>Nitriansky kraj, &amp;#32celé Slovensko</v>
      </c>
      <c r="F194" s="42" t="s">
        <v>911</v>
      </c>
      <c r="G194" s="38" t="str">
        <f t="shared" si="2"/>
        <v>krása-zdravie-relax, &amp;#32všetky kategórie</v>
      </c>
      <c r="H194" s="42" t="s">
        <v>53</v>
      </c>
      <c r="I194" s="43" t="str">
        <f t="shared" si="3"/>
        <v>1 - 5, &amp;#32všetky možnosti</v>
      </c>
      <c r="J194" s="44" t="str">
        <f t="shared" si="7"/>
        <v>,,</v>
      </c>
      <c r="K194" s="45">
        <f t="shared" si="5"/>
        <v>28536.95913</v>
      </c>
      <c r="L194" s="43"/>
      <c r="M194" s="43" t="str">
        <f>IFERROR(__xludf.DUMMYFUNCTION("SPLIT(O194,"","")"),"Nádvorie Európy 3668/54")</f>
        <v>Nádvorie Európy 3668/54</v>
      </c>
      <c r="N194" s="43" t="str">
        <f>IFERROR(__xludf.DUMMYFUNCTION("""COMPUTED_VALUE""")," 945 01 Komárno")</f>
        <v> 945 01 Komárno</v>
      </c>
      <c r="O194" s="42" t="s">
        <v>2186</v>
      </c>
      <c r="P194" s="43">
        <v>47.7583845</v>
      </c>
      <c r="Q194" s="43">
        <v>18.1293082</v>
      </c>
      <c r="R194" s="56" t="s">
        <v>2187</v>
      </c>
      <c r="S194" s="112" t="s">
        <v>2188</v>
      </c>
      <c r="T194" s="113" t="s">
        <v>2189</v>
      </c>
      <c r="U194" s="49" t="s">
        <v>2190</v>
      </c>
      <c r="V194" s="66" t="s">
        <v>2191</v>
      </c>
      <c r="W194" s="54" t="s">
        <v>2192</v>
      </c>
      <c r="X194" s="54" t="s">
        <v>2193</v>
      </c>
      <c r="Y194" s="110" t="s">
        <v>2194</v>
      </c>
      <c r="Z194" s="108" t="s">
        <v>2195</v>
      </c>
      <c r="AA194" s="109" t="s">
        <v>64</v>
      </c>
      <c r="AB194" s="54"/>
      <c r="AC194" s="56"/>
      <c r="AD194" s="46"/>
      <c r="AE194" s="54"/>
      <c r="AF194" s="55"/>
      <c r="AG194" s="56"/>
      <c r="AH194" s="56"/>
      <c r="AI194" s="55"/>
      <c r="AJ194" s="55"/>
      <c r="AK194" s="56"/>
      <c r="AL194" s="56"/>
      <c r="AM194" s="34"/>
      <c r="AN194" s="55"/>
      <c r="AO194" s="64"/>
      <c r="AP194" s="58" t="str">
        <f t="shared" si="6"/>
        <v>ADVISONA, s. r. o. krasa-zdravie-relax, &amp;#32vsetky kategorie  945 01 Komarno Damske, panske, detske kadernictvo. Sluzby poskytujeme pre skupinu ludi s nizkymi prijmami. ADVISONA s.r.o. Damske, panske a detske kadernictvo. kadernictvo           </v>
      </c>
      <c r="AQ194" s="37"/>
    </row>
    <row r="195" ht="15.75" customHeight="1">
      <c r="A195" s="43"/>
      <c r="B195" s="59">
        <v>207.0</v>
      </c>
      <c r="C195" s="75" t="s">
        <v>2196</v>
      </c>
      <c r="D195" s="42" t="s">
        <v>229</v>
      </c>
      <c r="E195" s="38" t="str">
        <f t="shared" si="1"/>
        <v>Nitriansky kraj, &amp;#32celé Slovensko</v>
      </c>
      <c r="F195" s="42" t="s">
        <v>2197</v>
      </c>
      <c r="G195" s="38" t="str">
        <f t="shared" si="2"/>
        <v>doprava, odpady a recyklácia, dom a záhrada, &amp;#32všetky kategórie</v>
      </c>
      <c r="H195" s="42" t="s">
        <v>53</v>
      </c>
      <c r="I195" s="43" t="str">
        <f t="shared" si="3"/>
        <v>1 - 5, &amp;#32všetky možnosti</v>
      </c>
      <c r="J195" s="44" t="str">
        <f t="shared" si="7"/>
        <v>,,</v>
      </c>
      <c r="K195" s="45">
        <f t="shared" si="5"/>
        <v>35612.1355</v>
      </c>
      <c r="L195" s="43"/>
      <c r="M195" s="43" t="str">
        <f>IFERROR(__xludf.DUMMYFUNCTION("SPLIT(O195,"","")"),"Černík 145")</f>
        <v>Černík 145</v>
      </c>
      <c r="N195" s="43" t="str">
        <f>IFERROR(__xludf.DUMMYFUNCTION("""COMPUTED_VALUE""")," 941 05 Černík")</f>
        <v> 941 05 Černík</v>
      </c>
      <c r="O195" s="42" t="s">
        <v>2198</v>
      </c>
      <c r="P195" s="43">
        <v>48.1550827</v>
      </c>
      <c r="Q195" s="43">
        <v>18.2234441</v>
      </c>
      <c r="R195" s="56" t="s">
        <v>2199</v>
      </c>
      <c r="S195" s="112" t="s">
        <v>2200</v>
      </c>
      <c r="T195" s="113" t="s">
        <v>86</v>
      </c>
      <c r="U195" s="49" t="s">
        <v>2201</v>
      </c>
      <c r="V195" s="66" t="s">
        <v>2202</v>
      </c>
      <c r="W195" s="54" t="s">
        <v>2203</v>
      </c>
      <c r="X195" s="54" t="s">
        <v>2204</v>
      </c>
      <c r="Y195" s="110" t="s">
        <v>2205</v>
      </c>
      <c r="Z195" s="108" t="s">
        <v>2206</v>
      </c>
      <c r="AA195" s="109" t="s">
        <v>64</v>
      </c>
      <c r="AB195" s="54"/>
      <c r="AC195" s="56"/>
      <c r="AD195" s="46"/>
      <c r="AE195" s="54"/>
      <c r="AF195" s="55"/>
      <c r="AG195" s="56"/>
      <c r="AH195" s="56"/>
      <c r="AI195" s="55"/>
      <c r="AJ195" s="55"/>
      <c r="AK195" s="56"/>
      <c r="AL195" s="56"/>
      <c r="AM195" s="34"/>
      <c r="AN195" s="55"/>
      <c r="AO195" s="64"/>
      <c r="AP195" s="58" t="str">
        <f t="shared" si="6"/>
        <v>Cernik Servis, s. r. o. doprava, odpady a recyklacia, dom a zahrada, &amp;#32vsetky kategorie  941 05 Cernik Preprava sypkych materialov, vyvoz komunalu nakladnym vozidlom Mercedes Benz. Pomoc obyvatelom v obci i susednym obciam. Cernik Servis s.r.o. Preprava nakladnym vozidlom Mercedes Benz. preprava, odvoz odpadu, starostlivost o domacnost           </v>
      </c>
      <c r="AQ195" s="37"/>
    </row>
    <row r="196" ht="15.75" customHeight="1">
      <c r="A196" s="43"/>
      <c r="B196" s="59">
        <v>208.0</v>
      </c>
      <c r="C196" s="75" t="s">
        <v>2207</v>
      </c>
      <c r="D196" s="42" t="s">
        <v>51</v>
      </c>
      <c r="E196" s="38" t="str">
        <f t="shared" si="1"/>
        <v>Prešovský kraj, &amp;#32celé Slovensko</v>
      </c>
      <c r="F196" s="42" t="s">
        <v>2208</v>
      </c>
      <c r="G196" s="38" t="str">
        <f t="shared" si="2"/>
        <v>čistiace a upratovacie služby, poľnohospodárstvo a lesníctvo, stavebníctvo, &amp;#32všetky kategórie</v>
      </c>
      <c r="H196" s="42" t="s">
        <v>68</v>
      </c>
      <c r="I196" s="43" t="str">
        <f t="shared" si="3"/>
        <v>16 - 20, &amp;#32všetky možnosti</v>
      </c>
      <c r="J196" s="44" t="str">
        <f t="shared" si="7"/>
        <v>,Register partnerov VS,Náhradné plnenie</v>
      </c>
      <c r="K196" s="45">
        <f t="shared" si="5"/>
        <v>832.8052275</v>
      </c>
      <c r="L196" s="43"/>
      <c r="M196" s="43" t="str">
        <f>IFERROR(__xludf.DUMMYFUNCTION("SPLIT(O196,"","")"),"Stráne pod Tatrami 2")</f>
        <v>Stráne pod Tatrami 2</v>
      </c>
      <c r="N196" s="43" t="str">
        <f>IFERROR(__xludf.DUMMYFUNCTION("""COMPUTED_VALUE""")," 059 76 Stráne pod Tatrami")</f>
        <v> 059 76 Stráne pod Tatrami</v>
      </c>
      <c r="O196" s="42" t="s">
        <v>2209</v>
      </c>
      <c r="P196" s="43">
        <v>49.1589541</v>
      </c>
      <c r="Q196" s="43">
        <v>20.3701006</v>
      </c>
      <c r="R196" s="56" t="s">
        <v>2210</v>
      </c>
      <c r="S196" s="112" t="s">
        <v>1873</v>
      </c>
      <c r="T196" s="113" t="s">
        <v>86</v>
      </c>
      <c r="U196" s="49" t="s">
        <v>2211</v>
      </c>
      <c r="V196" s="66" t="s">
        <v>2212</v>
      </c>
      <c r="W196" s="54" t="s">
        <v>2213</v>
      </c>
      <c r="X196" s="54" t="s">
        <v>2214</v>
      </c>
      <c r="Y196" s="110" t="s">
        <v>2210</v>
      </c>
      <c r="Z196" s="108" t="s">
        <v>2215</v>
      </c>
      <c r="AA196" s="109" t="s">
        <v>64</v>
      </c>
      <c r="AB196" s="54"/>
      <c r="AC196" s="56"/>
      <c r="AD196" s="46"/>
      <c r="AE196" s="54"/>
      <c r="AF196" s="55"/>
      <c r="AG196" s="56"/>
      <c r="AH196" s="56"/>
      <c r="AI196" s="55"/>
      <c r="AJ196" s="55"/>
      <c r="AK196" s="56"/>
      <c r="AL196" s="56"/>
      <c r="AM196" s="47"/>
      <c r="AN196" s="62" t="s">
        <v>39</v>
      </c>
      <c r="AO196" s="57" t="s">
        <v>40</v>
      </c>
      <c r="AP196" s="58" t="str">
        <f t="shared" si="6"/>
        <v>Strane Invest RSP, s.r.o. cistiace a upratovacie sluzby, polnohospodarstvo a lesnictvo, stavebnictvo, &amp;#32vsetky kategorie  059 76 Strane pod Tatrami Realizacia zamkovych dlazieb a chodnikov, montaz oploteni, stavebne prace. Zamestnavanie znevyhodnenych obcanov. Strane Invest RSP, s.r.o Realizacia zamkovych dlazieb a chodnikov, montaz oploteni, stavebne prace. Stavebne prace, oplotenie, dlazba, chodniky           Register partnerov VS</v>
      </c>
      <c r="AQ196" s="37"/>
    </row>
    <row r="197" ht="15.75" customHeight="1">
      <c r="A197" s="43"/>
      <c r="B197" s="59">
        <v>209.0</v>
      </c>
      <c r="C197" s="75" t="s">
        <v>2216</v>
      </c>
      <c r="D197" s="42" t="s">
        <v>218</v>
      </c>
      <c r="E197" s="38" t="str">
        <f t="shared" si="1"/>
        <v>Košický kraj, &amp;#32celé Slovensko</v>
      </c>
      <c r="F197" s="42" t="s">
        <v>2008</v>
      </c>
      <c r="G197" s="38" t="str">
        <f t="shared" si="2"/>
        <v>stavebníctvo, dom a záhrada, &amp;#32všetky kategórie</v>
      </c>
      <c r="H197" s="42" t="s">
        <v>53</v>
      </c>
      <c r="I197" s="43" t="str">
        <f t="shared" si="3"/>
        <v>1 - 5, &amp;#32všetky možnosti</v>
      </c>
      <c r="J197" s="44" t="str">
        <f t="shared" si="7"/>
        <v>,Register partnerov VS,</v>
      </c>
      <c r="K197" s="45">
        <f t="shared" si="5"/>
        <v>37405.6168</v>
      </c>
      <c r="L197" s="43"/>
      <c r="M197" s="43" t="str">
        <f>IFERROR(__xludf.DUMMYFUNCTION("SPLIT(O197,"","")"),"Iliašovce 231")</f>
        <v>Iliašovce 231</v>
      </c>
      <c r="N197" s="43" t="str">
        <f>IFERROR(__xludf.DUMMYFUNCTION("""COMPUTED_VALUE""")," 053 11 Iliašovce")</f>
        <v> 053 11 Iliašovce</v>
      </c>
      <c r="O197" s="42" t="s">
        <v>2217</v>
      </c>
      <c r="P197" s="43">
        <v>48.9912824</v>
      </c>
      <c r="Q197" s="43">
        <v>20.5258032</v>
      </c>
      <c r="R197" s="56" t="s">
        <v>2218</v>
      </c>
      <c r="S197" s="112" t="s">
        <v>2219</v>
      </c>
      <c r="T197" s="113" t="s">
        <v>86</v>
      </c>
      <c r="U197" s="49" t="s">
        <v>2220</v>
      </c>
      <c r="V197" s="66" t="s">
        <v>2221</v>
      </c>
      <c r="W197" s="54" t="s">
        <v>2222</v>
      </c>
      <c r="X197" s="54" t="s">
        <v>2223</v>
      </c>
      <c r="Y197" s="110" t="s">
        <v>2224</v>
      </c>
      <c r="Z197" s="108" t="s">
        <v>2225</v>
      </c>
      <c r="AA197" s="109" t="s">
        <v>64</v>
      </c>
      <c r="AB197" s="54"/>
      <c r="AC197" s="56"/>
      <c r="AD197" s="46"/>
      <c r="AE197" s="54"/>
      <c r="AF197" s="55"/>
      <c r="AG197" s="56"/>
      <c r="AH197" s="56"/>
      <c r="AI197" s="55"/>
      <c r="AJ197" s="55"/>
      <c r="AK197" s="56"/>
      <c r="AL197" s="56"/>
      <c r="AM197" s="47"/>
      <c r="AN197" s="62" t="s">
        <v>39</v>
      </c>
      <c r="AO197" s="64"/>
      <c r="AP197" s="58" t="str">
        <f t="shared" si="6"/>
        <v>Villa Ursi, s. r. o. stavebnictvo, dom a zahrada, &amp;#32vsetky kategorie  053 11 Iliasovce Nasa firma realizuje stavebne prace - rekonstrukcne prace, terenne upravy, vykopove prace, pokladky zamkovej dlazby, obkladacske prace a sluzby starostlivosti o domacnost a zahradu. Podporujeme zamestnanost a regionalny rozvoj. Villa Ursi, s.r.o. Stavebne prace - rekonstrukcne prace, terenne upravy, vykopove prace, pokladky zamkovej dlazby, obkladacske prace a sluzby starostlivosti o domacnost a zahradu. zemne prace, buranie, obkladanie, vystavba, rekonstrukcia, kosenie, pomoc v domacnosti, zahradne prace           Register partnerov VS</v>
      </c>
      <c r="AQ197" s="37"/>
    </row>
    <row r="198" ht="15.75" customHeight="1">
      <c r="A198" s="43"/>
      <c r="B198" s="59">
        <v>210.0</v>
      </c>
      <c r="C198" s="75" t="s">
        <v>2226</v>
      </c>
      <c r="D198" s="42" t="s">
        <v>181</v>
      </c>
      <c r="E198" s="38" t="str">
        <f t="shared" si="1"/>
        <v>Banskobystrický kraj, &amp;#32celé Slovensko</v>
      </c>
      <c r="F198" s="42" t="s">
        <v>2227</v>
      </c>
      <c r="G198" s="38" t="str">
        <f t="shared" si="2"/>
        <v>čistiace a upratovacie služby, poľnohospodárstvo a lesníctvo, dom a záhrada, stavebníctvo, iné (tovary a služby), &amp;#32všetky kategórie</v>
      </c>
      <c r="H198" s="42" t="s">
        <v>170</v>
      </c>
      <c r="I198" s="43" t="str">
        <f t="shared" si="3"/>
        <v>21 a viac, &amp;#32všetky možnosti</v>
      </c>
      <c r="J198" s="44" t="str">
        <f t="shared" si="7"/>
        <v>,Register partnerov VS,Náhradné plnenie</v>
      </c>
      <c r="K198" s="45">
        <f t="shared" si="5"/>
        <v>23580.65018</v>
      </c>
      <c r="L198" s="43"/>
      <c r="M198" s="43" t="str">
        <f>IFERROR(__xludf.DUMMYFUNCTION("SPLIT(O198,"","")"),"Magurská 16")</f>
        <v>Magurská 16</v>
      </c>
      <c r="N198" s="43" t="str">
        <f>IFERROR(__xludf.DUMMYFUNCTION("""COMPUTED_VALUE""")," 974 11 Banská Bystrica")</f>
        <v> 974 11 Banská Bystrica</v>
      </c>
      <c r="O198" s="42" t="s">
        <v>2228</v>
      </c>
      <c r="P198" s="43">
        <v>48.7605748999999</v>
      </c>
      <c r="Q198" s="43">
        <v>19.1615842</v>
      </c>
      <c r="R198" s="56" t="s">
        <v>2229</v>
      </c>
      <c r="S198" s="112" t="s">
        <v>2230</v>
      </c>
      <c r="T198" s="113" t="s">
        <v>2231</v>
      </c>
      <c r="U198" s="49" t="s">
        <v>2232</v>
      </c>
      <c r="V198" s="66" t="s">
        <v>2233</v>
      </c>
      <c r="W198" s="54" t="s">
        <v>2234</v>
      </c>
      <c r="X198" s="54" t="s">
        <v>2226</v>
      </c>
      <c r="Y198" s="110" t="s">
        <v>2235</v>
      </c>
      <c r="Z198" s="108" t="s">
        <v>2236</v>
      </c>
      <c r="AA198" s="109" t="s">
        <v>64</v>
      </c>
      <c r="AB198" s="54"/>
      <c r="AC198" s="56"/>
      <c r="AD198" s="46"/>
      <c r="AE198" s="54"/>
      <c r="AF198" s="55"/>
      <c r="AG198" s="56"/>
      <c r="AH198" s="56"/>
      <c r="AI198" s="55"/>
      <c r="AJ198" s="55"/>
      <c r="AK198" s="56"/>
      <c r="AL198" s="56"/>
      <c r="AM198" s="47"/>
      <c r="AN198" s="62" t="s">
        <v>39</v>
      </c>
      <c r="AO198" s="57" t="s">
        <v>40</v>
      </c>
      <c r="AP198" s="58" t="str">
        <f t="shared" si="6"/>
        <v>Podnik medzitrhu prace, n.o., r.s.p. cistiace a upratovacie sluzby, polnohospodarstvo a lesnictvo, dom a zahrada, stavebnictvo, ine (tovary a sluzby), &amp;#32vsetky kategorie  974 11 Banska Bystrica Sme neziskova organizacia zriadena mestom Banska Bystrica so statutom registrovaneho socialneho podniku. Nasim primarnym cielom je realizovat aktivity zamerane na docasne podporovane zamestnavanie najma pre zranitelne a znevyhodnene osoby, a to vykonavanim sluzieb vo vseobecnom zaujme v zmysle svojho poslania na uzemi mesta Banska Bystrica. 
 Ponukame sluzby: 
 - kosenie a hrabanie travnatych porastov, hrabanie listia,
 - revitalizaciu zelene (odstranovanie burin, naletovych drevin),
 - cistenie chodnikov, zamkovej dlazby (pomocou specialnej kefy),
 - drobnu stavebnu cinnost (kladenie a oprava zamkovej dlazby, oprava schodov),
 - cistenie a natieranie zabradli (zeleznych konstrukcii),
 - zimnu udrzbu (odpratavanie snehu rucne alebo strojom, solenie, sekanie ladu),
 - letnu udrzbu (zametanie, cistenie rigolov a zlabov),
 - vypratavanie priestorov, premiestnovanie, stahovanie,
 - pilenie a rubanie dreva. Podnik je v zmysle svojho statutu neziskova organizacia, ktora vykonava vseobecne prospesne sluzby: socialna pomoc a humanitarna starostlivost; tvorba, rozvoj, ochrana a obnova kulturnych hodnot; vzdelavanie a vychova; tvorba a ochrana zivotneho prostredia; sluzby na podporu regionalneho rozvoja a zamestnanosti. Podnik medzitrhu prace, n.o., r.s.p. Nasa ponuka sluzieb:
 - kosenie a hrabanie travnatych porastov, hrabanie listia,
 - revitalizacia zelene (odstranovanie burin, naletovych drevin),
 - cistenie chodnikov, zamkovej dlazby (pomocou specialnej kefy),
 - drobna stavebna cinnost (kladenie a oprava zamkovej dlazby, oprava schodov),
 - cistenie, natieranie zabradli (zeleznych konstrukcii),
 - zimna udrzba (odpratavanie snehu, solenie, sekanie ladu),
 - letna udrzba (zametanie, cistenie rigolov a zlabov),
 - vypratavanie priestorov, premiestnovanie a stahovanie
 - pilenie a rubanie dreva. kosenie, hrabanie, revitalizacia, cistenie, zamkova dlazba, kladenie, oprava, natieranie, odpratavanie, solenie, sekanie, zametanie, vypratavanie, stahovanie, pilenie, rubanie, udrzba, drobne stavebne prace, sneh, centrum praktickeho vycviku           Register partnerov VS</v>
      </c>
      <c r="AQ198" s="37"/>
    </row>
    <row r="199" ht="15.75" customHeight="1">
      <c r="A199" s="43"/>
      <c r="B199" s="59">
        <v>211.0</v>
      </c>
      <c r="C199" s="75" t="s">
        <v>2237</v>
      </c>
      <c r="D199" s="42" t="s">
        <v>51</v>
      </c>
      <c r="E199" s="38" t="str">
        <f t="shared" si="1"/>
        <v>Prešovský kraj, &amp;#32celé Slovensko</v>
      </c>
      <c r="F199" s="42" t="s">
        <v>2238</v>
      </c>
      <c r="G199" s="38" t="str">
        <f t="shared" si="2"/>
        <v>čistiace a upratovacie služby, poľnohospodárstvo a lesníctvo, stavebníctvo, ubytovacie a stravovacie služby, účtovníctvo a poradenstvo, &amp;#32všetky kategórie</v>
      </c>
      <c r="H199" s="42" t="s">
        <v>53</v>
      </c>
      <c r="I199" s="43" t="str">
        <f t="shared" si="3"/>
        <v>1 - 5, &amp;#32všetky možnosti</v>
      </c>
      <c r="J199" s="44" t="str">
        <f t="shared" si="7"/>
        <v>,Register partnerov VS,</v>
      </c>
      <c r="K199" s="45">
        <f t="shared" si="5"/>
        <v>38585.56954</v>
      </c>
      <c r="L199" s="43"/>
      <c r="M199" s="43" t="str">
        <f>IFERROR(__xludf.DUMMYFUNCTION("SPLIT(O199,"","")"),"Centrálna 812/13")</f>
        <v>Centrálna 812/13</v>
      </c>
      <c r="N199" s="43" t="str">
        <f>IFERROR(__xludf.DUMMYFUNCTION("""COMPUTED_VALUE""")," 089 01 Svidník")</f>
        <v> 089 01 Svidník</v>
      </c>
      <c r="O199" s="42" t="s">
        <v>2239</v>
      </c>
      <c r="P199" s="43">
        <v>49.306376</v>
      </c>
      <c r="Q199" s="43">
        <v>21.571417</v>
      </c>
      <c r="R199" s="56" t="s">
        <v>2240</v>
      </c>
      <c r="S199" s="112" t="s">
        <v>2241</v>
      </c>
      <c r="T199" s="113" t="s">
        <v>86</v>
      </c>
      <c r="U199" s="49" t="s">
        <v>2242</v>
      </c>
      <c r="V199" s="66" t="s">
        <v>2243</v>
      </c>
      <c r="W199" s="54" t="s">
        <v>2244</v>
      </c>
      <c r="X199" s="54" t="s">
        <v>2237</v>
      </c>
      <c r="Y199" s="110" t="s">
        <v>2245</v>
      </c>
      <c r="Z199" s="108" t="s">
        <v>2246</v>
      </c>
      <c r="AA199" s="109" t="s">
        <v>64</v>
      </c>
      <c r="AB199" s="54"/>
      <c r="AC199" s="56"/>
      <c r="AD199" s="46"/>
      <c r="AE199" s="54"/>
      <c r="AF199" s="55"/>
      <c r="AG199" s="56"/>
      <c r="AH199" s="56"/>
      <c r="AI199" s="55"/>
      <c r="AJ199" s="55"/>
      <c r="AK199" s="56"/>
      <c r="AL199" s="56"/>
      <c r="AM199" s="47"/>
      <c r="AN199" s="62" t="s">
        <v>39</v>
      </c>
      <c r="AO199" s="64"/>
      <c r="AP199" s="58" t="str">
        <f t="shared" si="6"/>
        <v>Kondor - SP, s.r.o. cistiace a upratovacie sluzby, polnohospodarstvo a lesnictvo, stavebnictvo, ubytovacie a stravovacie sluzby, uctovnictvo a poradenstvo, &amp;#32vsetky kategorie  089 01 Svidnik Stavebne prace, stavebnu administrativu. Spolocnost je verejnoprospesny podnik, ktoreho hlavnym cielom je dosahovanie meratelneho pozitivneho socialneho vplyvu poskytovanim spolocensky prospesnej sluzby na podporu regionalneho rozvoja a zamestnanosti. Kondor - SP, s.r.o. Stavebna cinnost, stavebna administrativa. Zemne prace, buranie, betonaz, murovanie, strechy, stavby           Register partnerov VS</v>
      </c>
      <c r="AQ199" s="37"/>
    </row>
    <row r="200" ht="15.75" customHeight="1">
      <c r="A200" s="43"/>
      <c r="B200" s="59">
        <v>212.0</v>
      </c>
      <c r="C200" s="75" t="s">
        <v>2247</v>
      </c>
      <c r="D200" s="42" t="s">
        <v>134</v>
      </c>
      <c r="E200" s="38" t="str">
        <f t="shared" si="1"/>
        <v>Trenčiansky kraj, &amp;#32celé Slovensko</v>
      </c>
      <c r="F200" s="42" t="s">
        <v>2248</v>
      </c>
      <c r="G200" s="38" t="str">
        <f t="shared" si="2"/>
        <v>čistiace a upratovacie služby, dom a záhrada, kultúra a šport, pre deti, &amp;#32všetky kategórie</v>
      </c>
      <c r="H200" s="42" t="s">
        <v>82</v>
      </c>
      <c r="I200" s="43" t="str">
        <f t="shared" si="3"/>
        <v>11 - 15, &amp;#32všetky možnosti</v>
      </c>
      <c r="J200" s="44" t="str">
        <f t="shared" si="7"/>
        <v>,Register partnerov VS,Náhradné plnenie</v>
      </c>
      <c r="K200" s="45">
        <f t="shared" si="5"/>
        <v>32604.4014</v>
      </c>
      <c r="L200" s="43"/>
      <c r="M200" s="43" t="str">
        <f>IFERROR(__xludf.DUMMYFUNCTION("SPLIT(O200,"","")"),"Pod Juhom 7666/26")</f>
        <v>Pod Juhom 7666/26</v>
      </c>
      <c r="N200" s="43" t="str">
        <f>IFERROR(__xludf.DUMMYFUNCTION("""COMPUTED_VALUE""")," 911 01 Trenčín")</f>
        <v> 911 01 Trenčín</v>
      </c>
      <c r="O200" s="42" t="s">
        <v>2249</v>
      </c>
      <c r="P200" s="43">
        <v>48.8719772</v>
      </c>
      <c r="Q200" s="43">
        <v>18.034704</v>
      </c>
      <c r="R200" s="56" t="s">
        <v>2250</v>
      </c>
      <c r="S200" s="112" t="s">
        <v>2251</v>
      </c>
      <c r="T200" s="113" t="s">
        <v>2252</v>
      </c>
      <c r="U200" s="49" t="s">
        <v>2253</v>
      </c>
      <c r="V200" s="66" t="s">
        <v>2254</v>
      </c>
      <c r="W200" s="54" t="s">
        <v>2255</v>
      </c>
      <c r="X200" s="54" t="s">
        <v>2247</v>
      </c>
      <c r="Y200" s="110" t="s">
        <v>2256</v>
      </c>
      <c r="Z200" s="108" t="s">
        <v>2257</v>
      </c>
      <c r="AA200" s="109" t="s">
        <v>64</v>
      </c>
      <c r="AB200" s="54"/>
      <c r="AC200" s="56"/>
      <c r="AD200" s="46"/>
      <c r="AE200" s="54"/>
      <c r="AF200" s="55"/>
      <c r="AG200" s="56"/>
      <c r="AH200" s="56"/>
      <c r="AI200" s="55"/>
      <c r="AJ200" s="55"/>
      <c r="AK200" s="56"/>
      <c r="AL200" s="56"/>
      <c r="AM200" s="47"/>
      <c r="AN200" s="62" t="s">
        <v>39</v>
      </c>
      <c r="AO200" s="57" t="s">
        <v>40</v>
      </c>
      <c r="AP200" s="58" t="str">
        <f t="shared" si="6"/>
        <v>Matky v praci, s.r.o. cistiace a upratovacie sluzby, dom a zahrada, kultura a sport, pre deti, &amp;#32vsetky kategorie  911 01 Trencin Nas predmet cinnosti zahrna
 1. upratovacie sluzby roznym klientom - tepovanie, hlbkove cistenie unikatnym cistiacim systemom, ktory vytiahne prach a roztoce z hlbky 17 cm, cistenie parou; individualne poziadavky mimo upratovacich sluzieb, napr. voskovanie podlahy, zehlenie, varenie, strazenie deti...; snazime sa vyuzivat ekologicke prostriedky;
 2. ako doplnkovu sluzbu ponukame kurzy Nordic Walkingu, severskej chodze pre zdravie ludi;
 3. virtualne asistentky – nova sluzba, ktora poskytne priestor pre nove pracovne miesta.
 Nasim snom je budovat firmu, ktora rozvija talenty ludi a poskytuje naozaj prijemne prostredie pre pracu, osobnostny aj duchovny rast. 
 Zakaznikmi su spokojne firmy, lekari, domacnosti, ale aj poskytovatelia ubytovacich sluzieb a casovo zaneprazdneni jednotlivci, ktorym pomozeme travit vzacny volny cas efektivnejsie ako upratovanim :-) 
 Tieto sluzby planujeme ponukat postupne aj ludom, ktori si ich nemozu dovolit - zdravotne znevyhodneni, seniori. Zamestnavame viac ako 30% zdravotne znevyhodnenych a zranitelnych ludi. Matky v praci, s.r.o. Upratovacie sluzby, sluzby nordic walking, virtualna asistencia. Upratovanie, tepovanie, cistenie parou, nordic walking virtualna asistencia, babysitting, pomoc v domacnosti, domace prace, varenie, zehlenie           Register partnerov VS</v>
      </c>
      <c r="AQ200" s="37"/>
    </row>
    <row r="201" ht="15.75" customHeight="1">
      <c r="A201" s="43"/>
      <c r="B201" s="59">
        <v>213.0</v>
      </c>
      <c r="C201" s="75" t="s">
        <v>2258</v>
      </c>
      <c r="D201" s="42" t="s">
        <v>66</v>
      </c>
      <c r="E201" s="38" t="str">
        <f t="shared" si="1"/>
        <v>Žilinský kraj, &amp;#32celé Slovensko</v>
      </c>
      <c r="F201" s="42" t="s">
        <v>2259</v>
      </c>
      <c r="G201" s="38" t="str">
        <f t="shared" si="2"/>
        <v>dom a záhrada, stavebníctvo, čistiace a upratovacie služby, &amp;#32všetky kategórie</v>
      </c>
      <c r="H201" s="42" t="s">
        <v>53</v>
      </c>
      <c r="I201" s="43" t="str">
        <f t="shared" si="3"/>
        <v>1 - 5, &amp;#32všetky možnosti</v>
      </c>
      <c r="J201" s="44" t="str">
        <f t="shared" si="7"/>
        <v>,Register partnerov VS,</v>
      </c>
      <c r="K201" s="45">
        <f t="shared" si="5"/>
        <v>32457.39273</v>
      </c>
      <c r="L201" s="43"/>
      <c r="M201" s="43" t="str">
        <f>IFERROR(__xludf.DUMMYFUNCTION("SPLIT(O201,"","")"),"Námestie J. Vojtaššáka 1002/12")</f>
        <v>Námestie J. Vojtaššáka 1002/12</v>
      </c>
      <c r="N201" s="43" t="str">
        <f>IFERROR(__xludf.DUMMYFUNCTION("""COMPUTED_VALUE""")," 029 56 Zákamenné")</f>
        <v> 029 56 Zákamenné</v>
      </c>
      <c r="O201" s="42" t="s">
        <v>2260</v>
      </c>
      <c r="P201" s="43">
        <v>49.3913675</v>
      </c>
      <c r="Q201" s="43">
        <v>19.2895354</v>
      </c>
      <c r="R201" s="56" t="s">
        <v>2261</v>
      </c>
      <c r="S201" s="112" t="s">
        <v>2262</v>
      </c>
      <c r="T201" s="113" t="s">
        <v>2263</v>
      </c>
      <c r="U201" s="49" t="s">
        <v>2264</v>
      </c>
      <c r="V201" s="66" t="s">
        <v>2265</v>
      </c>
      <c r="W201" s="54" t="s">
        <v>2266</v>
      </c>
      <c r="X201" s="54" t="s">
        <v>2258</v>
      </c>
      <c r="Y201" s="110" t="s">
        <v>2267</v>
      </c>
      <c r="Z201" s="108" t="s">
        <v>298</v>
      </c>
      <c r="AA201" s="109" t="s">
        <v>64</v>
      </c>
      <c r="AB201" s="54"/>
      <c r="AC201" s="56"/>
      <c r="AD201" s="46"/>
      <c r="AE201" s="54"/>
      <c r="AF201" s="55"/>
      <c r="AG201" s="56"/>
      <c r="AH201" s="56"/>
      <c r="AI201" s="55"/>
      <c r="AJ201" s="55"/>
      <c r="AK201" s="56"/>
      <c r="AL201" s="56"/>
      <c r="AM201" s="47"/>
      <c r="AN201" s="62" t="s">
        <v>39</v>
      </c>
      <c r="AO201" s="64"/>
      <c r="AP201" s="58" t="str">
        <f t="shared" si="6"/>
        <v>Zakamenske sluzby s. r. o. dom a zahrada, stavebnictvo, cistiace a upratovacie sluzby, &amp;#32vsetky kategorie  029 56 Zakamenne Ponukame svojim zakaznikom - fyzickym a pravnickym osobam dokoncovacie stavebne prace pri realizacii exterierov a interierov, spravu a udrzbu bytoveho a nebytoveho fondu, cistiace a upratovacie sluzby. Spolocnost poskytuje spolocensky prospesne sluzby v oblasti zamestnanosti, a to zamestnavanim znevyhodnenych osob, ktore si tak osvoja pracovne navyky a ziskaju nove zrucnosti pre vykon povolania. Uvedene bude mat na ne pozitivny socialny vplyv, cim dojde k ich zacleneniu do realneho zivota. Zakamenske sluzby s. r. o. Stavebne prace pri realizacii exterierov a interierov stavebne prace           Register partnerov VS</v>
      </c>
      <c r="AQ201" s="37"/>
    </row>
    <row r="202" ht="15.75" customHeight="1">
      <c r="A202" s="43"/>
      <c r="B202" s="59">
        <v>214.0</v>
      </c>
      <c r="C202" s="75" t="s">
        <v>2268</v>
      </c>
      <c r="D202" s="42" t="s">
        <v>94</v>
      </c>
      <c r="E202" s="38" t="str">
        <f t="shared" si="1"/>
        <v>Bratislavský kraj, &amp;#32celé Slovensko</v>
      </c>
      <c r="F202" s="42" t="s">
        <v>244</v>
      </c>
      <c r="G202" s="38" t="str">
        <f t="shared" si="2"/>
        <v>potraviny a nápoje, &amp;#32všetky kategórie</v>
      </c>
      <c r="H202" s="42" t="s">
        <v>96</v>
      </c>
      <c r="I202" s="43" t="str">
        <f t="shared" si="3"/>
        <v>6 - 10, &amp;#32všetky možnosti</v>
      </c>
      <c r="J202" s="44" t="str">
        <f t="shared" si="7"/>
        <v>,,Náhradné plnenie</v>
      </c>
      <c r="K202" s="45">
        <f t="shared" si="5"/>
        <v>15605.13456</v>
      </c>
      <c r="L202" s="43"/>
      <c r="M202" s="43" t="str">
        <f>IFERROR(__xludf.DUMMYFUNCTION("SPLIT(O202,"","")"),"Galvaniho 7/D")</f>
        <v>Galvaniho 7/D</v>
      </c>
      <c r="N202" s="43" t="str">
        <f>IFERROR(__xludf.DUMMYFUNCTION("""COMPUTED_VALUE""")," 821 04 Bratislava")</f>
        <v> 821 04 Bratislava</v>
      </c>
      <c r="O202" s="42" t="s">
        <v>2269</v>
      </c>
      <c r="P202" s="43">
        <v>48.1652108</v>
      </c>
      <c r="Q202" s="43">
        <v>17.1744713</v>
      </c>
      <c r="R202" s="56" t="s">
        <v>2270</v>
      </c>
      <c r="S202" s="112" t="s">
        <v>2271</v>
      </c>
      <c r="T202" s="113" t="s">
        <v>86</v>
      </c>
      <c r="U202" s="49" t="s">
        <v>2272</v>
      </c>
      <c r="V202" s="66" t="s">
        <v>2273</v>
      </c>
      <c r="W202" s="54" t="s">
        <v>2274</v>
      </c>
      <c r="X202" s="54" t="s">
        <v>2275</v>
      </c>
      <c r="Y202" s="110" t="s">
        <v>2276</v>
      </c>
      <c r="Z202" s="108" t="s">
        <v>2277</v>
      </c>
      <c r="AA202" s="109" t="s">
        <v>64</v>
      </c>
      <c r="AB202" s="54"/>
      <c r="AC202" s="56"/>
      <c r="AD202" s="46"/>
      <c r="AE202" s="54"/>
      <c r="AF202" s="55"/>
      <c r="AG202" s="56"/>
      <c r="AH202" s="56"/>
      <c r="AI202" s="55"/>
      <c r="AJ202" s="55"/>
      <c r="AK202" s="56"/>
      <c r="AL202" s="56"/>
      <c r="AM202" s="34"/>
      <c r="AN202" s="55"/>
      <c r="AO202" s="57" t="s">
        <v>40</v>
      </c>
      <c r="AP202" s="58" t="str">
        <f t="shared" si="6"/>
        <v>Aquaunion, s. r. o. r. s. p. potraviny a napoje, &amp;#32vsetky kategorie  821 04 Bratislava Vyroba, predaj, sprostredkovanie a priamy dovoz balenej bioenergetickej pitnej vody, a to v 18,9 l a v 11 l polykarbonatovych bareloch s dlhodobou zivotnostou a v 17 l sklenenych bareloch s neobmedzenou zivotnostou k zakaznikovi. Tym, ze tovar balime do polykarbonatovych znovu pouzitelnych a do sklenenych barelov, chranime zivotne prostredie, kedze sa znizuje mnozstvo jednorazovych pet flias, ktore tvoria najvacsi podiel odpadu na nasej planete. 
 Znizujeme aj emisie CO2 plynov, kedze tovar dovezieme zakaznikom priamo domov - 1 auto/1 kurier obsluzi denne 60 domacnosti, a teda nemusi ist 60 ludi svojim autom na nakup. Zakaznici - fyzicke osoby, subjekty verejnej spravy - materske skolky, zakladne a stredne skolky, domovy socialnych sluzieb a domovy dochodcov, zdravotne zariadenia, obecne a mestske urady, ziskavaju prospech postupnym vybudovanim zdraveho pitneho rezimu. V zmysle poskytovania spolocensky prospesnej sluzby tvorby a ochrany zivotneho prostredia nasa spolocnost napomaha k znizovaniu mnozstva plastoveho odpadu. Tymto prispievame k zabezpeceniu dlhsej udrzatelnosti prirody a k znizeniu znecistujucich faktorov zivotneho prostredia, kontaminacie pody a podzemnych vod. Aquaunion s.r.o. r.s.p. Vyroba a predaj bioenergetickej Pi vody v plastovych a sklenenych bareloch. Pi voda, balena pitna voda, bioenergeticka voda, soda, potravinarska vyroba           </v>
      </c>
      <c r="AQ202" s="37"/>
    </row>
    <row r="203" ht="15.75" customHeight="1">
      <c r="A203" s="43"/>
      <c r="B203" s="59">
        <v>215.0</v>
      </c>
      <c r="C203" s="75" t="s">
        <v>2278</v>
      </c>
      <c r="D203" s="42" t="s">
        <v>181</v>
      </c>
      <c r="E203" s="38" t="str">
        <f t="shared" si="1"/>
        <v>Banskobystrický kraj, &amp;#32celé Slovensko</v>
      </c>
      <c r="F203" s="42" t="s">
        <v>244</v>
      </c>
      <c r="G203" s="38" t="str">
        <f t="shared" si="2"/>
        <v>potraviny a nápoje, &amp;#32všetky kategórie</v>
      </c>
      <c r="H203" s="42" t="s">
        <v>53</v>
      </c>
      <c r="I203" s="43" t="str">
        <f t="shared" si="3"/>
        <v>1 - 5, &amp;#32všetky možnosti</v>
      </c>
      <c r="J203" s="44" t="str">
        <f t="shared" si="7"/>
        <v>,,</v>
      </c>
      <c r="K203" s="45">
        <f t="shared" si="5"/>
        <v>32549.0336</v>
      </c>
      <c r="L203" s="43"/>
      <c r="M203" s="43" t="str">
        <f>IFERROR(__xludf.DUMMYFUNCTION("SPLIT(O203,"","")"),"Nám. SNP 255")</f>
        <v>Nám. SNP 255</v>
      </c>
      <c r="N203" s="43" t="str">
        <f>IFERROR(__xludf.DUMMYFUNCTION("""COMPUTED_VALUE""")," 962 12 Detva")</f>
        <v> 962 12 Detva</v>
      </c>
      <c r="O203" s="42" t="s">
        <v>2279</v>
      </c>
      <c r="P203" s="43">
        <v>48.5613245</v>
      </c>
      <c r="Q203" s="43">
        <v>19.4189193</v>
      </c>
      <c r="R203" s="56" t="s">
        <v>2280</v>
      </c>
      <c r="S203" s="112" t="s">
        <v>2281</v>
      </c>
      <c r="T203" s="113" t="s">
        <v>2282</v>
      </c>
      <c r="U203" s="49" t="s">
        <v>2283</v>
      </c>
      <c r="V203" s="66" t="s">
        <v>2284</v>
      </c>
      <c r="W203" s="54" t="s">
        <v>2285</v>
      </c>
      <c r="X203" s="54" t="s">
        <v>2286</v>
      </c>
      <c r="Y203" s="110" t="s">
        <v>2287</v>
      </c>
      <c r="Z203" s="108" t="s">
        <v>2288</v>
      </c>
      <c r="AA203" s="109" t="s">
        <v>64</v>
      </c>
      <c r="AB203" s="54"/>
      <c r="AC203" s="56"/>
      <c r="AD203" s="46"/>
      <c r="AE203" s="54"/>
      <c r="AF203" s="55"/>
      <c r="AG203" s="56"/>
      <c r="AH203" s="56"/>
      <c r="AI203" s="55"/>
      <c r="AJ203" s="55"/>
      <c r="AK203" s="56"/>
      <c r="AL203" s="56"/>
      <c r="AM203" s="34"/>
      <c r="AN203" s="55"/>
      <c r="AO203" s="64"/>
      <c r="AP203" s="58" t="str">
        <f t="shared" si="6"/>
        <v>GAZDOVSKE SPECIALITY Bystriansky s.r.o. potraviny a napoje, &amp;#32vsetky kategorie  962 12 Detva Spolocnost Gazdovske speciality Bystriansky s.r.o. sa zameriava na predaj masa a masovych vyrobkov. Masove vyrobky, ktore spolocnost predava, su produkty vyrobene podnikom Bystriansky, s.r.o. Sortiment niektorych produktov, ktore spolocnost bude ponukat: 
 Gazdovska klobasa – Bystriansky, Gazdovska klobasa s jelenim masom, Klobasa Bystriansky – trvanliva, Gazdovska salama, Susene kare - Bystriansky, Hovadzie susene maso,
 Jelenie susene maso, Gazdovsky udeny bocik b.k., Gazdovska udena slanina, Chrbtova slanina, Gazdovska udena krkovicka b.k., Gazdovske udene kare b.k., Gazdovske udene stehno s kozou, Gazdovske udene stehno b.k., Udene plece – orech, Udene rebro tenke, Udene rebro hrube, Plnena bravcova panenka, Paprikovy bok, Sunka special – Bystriansky, Sunka z daniela, Bravcova mast, Spekacky VB, Klobasa gril – Bystriansky VB, Telacie parky VB, Sunka standard, Sunkovy narez, Sedliacke stehno VB, Moravske maso, Debrecinska sunka. Pozitivny socialny vplyv bude spolocnost ako verejnoprospesny podnik dosahovat predovsetkym zamestnavanim znevyhodnenych a zranitelnych osob. Osvojenie pracovnych navykov u takychto osob, vytvorenie pracovneho kolektivu, ich celkove zaclenenie do pracovnej cinnosti a tym aj do spolocenskeho zivota, bude mat pre ne obrovsky vyznam. GAZDOVSKE SPECIALITY Bystriansky s.r.o., r.s.p. Spolocnost Gazdovske speciality Bystriansky, s.r.o. ponuka kvalitne masove vyrobky vyrobene podnikom Bystriansky, s.r.o.: Gazdovska klobasa – Bystriansky, Gazdovska klobasa s jelenim masom, Klobasa Bystriansky – trvanliva, Gazdovska salama, Susene kare - Bystriansky, Hovadzie susene maso,
 Jelenie susene maso, Gazdovsky udeny bocik b.k., Gazdovska udena slanina, Chrbtova slanina 4+, Gazdovska udena krkovicka b.k., Gazdovske udene kare b.k., Gazdovske udene stehno s kozou, Gazdovske udene stehno b.k., Udene plece – orech, Udene rebro tenke, Udene rebro hrube, Plnena bravcova panenka, Paprikovy bok, Sunka special – Bystriansky, Sunka z daniela, Bravcova mast, Spekacky VB, Klobasa gril – Bystriansky VB, Telacie parky VB, Sunka standard, Sunkovy narez, Sedliacke stehno VB, Moravske maso, Debrecinska sunka. predaj gazdovskych masovych specialit; domace masove vyrobky, lokalne speciality           </v>
      </c>
      <c r="AQ203" s="37"/>
    </row>
    <row r="204" ht="15.75" customHeight="1">
      <c r="A204" s="43"/>
      <c r="B204" s="59">
        <v>216.0</v>
      </c>
      <c r="C204" s="75" t="s">
        <v>2289</v>
      </c>
      <c r="D204" s="42" t="s">
        <v>134</v>
      </c>
      <c r="E204" s="38" t="str">
        <f t="shared" si="1"/>
        <v>Trenčiansky kraj, &amp;#32celé Slovensko</v>
      </c>
      <c r="F204" s="42" t="s">
        <v>1967</v>
      </c>
      <c r="G204" s="38" t="str">
        <f t="shared" si="2"/>
        <v>účtovníctvo a poradenstvo, &amp;#32všetky kategórie</v>
      </c>
      <c r="H204" s="42" t="s">
        <v>170</v>
      </c>
      <c r="I204" s="43" t="str">
        <f t="shared" si="3"/>
        <v>21 a viac, &amp;#32všetky možnosti</v>
      </c>
      <c r="J204" s="44" t="str">
        <f t="shared" si="7"/>
        <v>,Register partnerov VS,</v>
      </c>
      <c r="K204" s="45">
        <f t="shared" si="5"/>
        <v>15666.55757</v>
      </c>
      <c r="L204" s="43"/>
      <c r="M204" s="43" t="str">
        <f>IFERROR(__xludf.DUMMYFUNCTION("SPLIT(O204,"","")"),"Nábrežie sv. Cyrila 47")</f>
        <v>Nábrežie sv. Cyrila 47</v>
      </c>
      <c r="N204" s="43" t="str">
        <f>IFERROR(__xludf.DUMMYFUNCTION("""COMPUTED_VALUE""")," 971 01 Prievidza")</f>
        <v> 971 01 Prievidza</v>
      </c>
      <c r="O204" s="42" t="s">
        <v>2290</v>
      </c>
      <c r="P204" s="43">
        <v>48.7701129999999</v>
      </c>
      <c r="Q204" s="43">
        <v>18.6372815</v>
      </c>
      <c r="R204" s="56" t="s">
        <v>2291</v>
      </c>
      <c r="S204" s="112" t="s">
        <v>2292</v>
      </c>
      <c r="T204" s="113" t="s">
        <v>86</v>
      </c>
      <c r="U204" s="49" t="s">
        <v>2293</v>
      </c>
      <c r="V204" s="66" t="s">
        <v>2294</v>
      </c>
      <c r="W204" s="54" t="s">
        <v>2295</v>
      </c>
      <c r="X204" s="54" t="s">
        <v>2296</v>
      </c>
      <c r="Y204" s="110" t="s">
        <v>2297</v>
      </c>
      <c r="Z204" s="108" t="s">
        <v>2298</v>
      </c>
      <c r="AA204" s="109" t="s">
        <v>64</v>
      </c>
      <c r="AB204" s="54"/>
      <c r="AC204" s="56"/>
      <c r="AD204" s="46"/>
      <c r="AE204" s="54"/>
      <c r="AF204" s="55"/>
      <c r="AG204" s="56"/>
      <c r="AH204" s="56"/>
      <c r="AI204" s="55"/>
      <c r="AJ204" s="55"/>
      <c r="AK204" s="56"/>
      <c r="AL204" s="56"/>
      <c r="AM204" s="47"/>
      <c r="AN204" s="62" t="s">
        <v>39</v>
      </c>
      <c r="AO204" s="64"/>
      <c r="AP204" s="58" t="str">
        <f t="shared" si="6"/>
        <v>TREBAXX s. r. o. uctovnictvo a poradenstvo, &amp;#32vsetky kategorie  971 01 Prievidza Spracovanie jednoducheho, podvojneho a mzdoveho uctovnictva. Spracovanie ziadosti na dotacie, danove poradenstvo. Zamestnavame viac ako 50% znevyhodnenych zamestnancov. TREBAXX s.r.o. Spracovanie jednoducheho, podvojneho a mzdoveho uctovnictva, danove poradenstvo. uctovnictvo a poradenstvo, dane, ziadosti o prispevky, dotacie           Register partnerov VS</v>
      </c>
      <c r="AQ204" s="37"/>
    </row>
    <row r="205" ht="15.75" customHeight="1">
      <c r="A205" s="43"/>
      <c r="B205" s="59">
        <v>217.0</v>
      </c>
      <c r="C205" s="75" t="s">
        <v>2299</v>
      </c>
      <c r="D205" s="42" t="s">
        <v>134</v>
      </c>
      <c r="E205" s="38" t="str">
        <f t="shared" si="1"/>
        <v>Trenčiansky kraj, &amp;#32celé Slovensko</v>
      </c>
      <c r="F205" s="42" t="s">
        <v>723</v>
      </c>
      <c r="G205" s="38" t="str">
        <f t="shared" si="2"/>
        <v>čistiace a upratovacie služby, &amp;#32všetky kategórie</v>
      </c>
      <c r="H205" s="42" t="s">
        <v>170</v>
      </c>
      <c r="I205" s="43" t="str">
        <f t="shared" si="3"/>
        <v>21 a viac, &amp;#32všetky možnosti</v>
      </c>
      <c r="J205" s="44" t="str">
        <f t="shared" si="7"/>
        <v>,Register partnerov VS,</v>
      </c>
      <c r="K205" s="45">
        <f t="shared" si="5"/>
        <v>28485.00821</v>
      </c>
      <c r="L205" s="43"/>
      <c r="M205" s="43" t="str">
        <f>IFERROR(__xludf.DUMMYFUNCTION("SPLIT(O205,"","")"),"J. Matušku 764/26")</f>
        <v>J. Matušku 764/26</v>
      </c>
      <c r="N205" s="43" t="str">
        <f>IFERROR(__xludf.DUMMYFUNCTION("""COMPUTED_VALUE""")," 971 01 Prievidza")</f>
        <v> 971 01 Prievidza</v>
      </c>
      <c r="O205" s="42" t="s">
        <v>2300</v>
      </c>
      <c r="P205" s="43">
        <v>48.7816896</v>
      </c>
      <c r="Q205" s="43">
        <v>18.6157594</v>
      </c>
      <c r="R205" s="56" t="s">
        <v>2301</v>
      </c>
      <c r="S205" s="112" t="s">
        <v>1012</v>
      </c>
      <c r="T205" s="113" t="s">
        <v>86</v>
      </c>
      <c r="U205" s="49" t="s">
        <v>2302</v>
      </c>
      <c r="V205" s="66" t="s">
        <v>2303</v>
      </c>
      <c r="W205" s="54" t="s">
        <v>2304</v>
      </c>
      <c r="X205" s="54" t="s">
        <v>2305</v>
      </c>
      <c r="Y205" s="110" t="s">
        <v>2301</v>
      </c>
      <c r="Z205" s="108" t="s">
        <v>2306</v>
      </c>
      <c r="AA205" s="109" t="s">
        <v>64</v>
      </c>
      <c r="AB205" s="54"/>
      <c r="AC205" s="56"/>
      <c r="AD205" s="46"/>
      <c r="AE205" s="54"/>
      <c r="AF205" s="55"/>
      <c r="AG205" s="56"/>
      <c r="AH205" s="56"/>
      <c r="AI205" s="55"/>
      <c r="AJ205" s="55"/>
      <c r="AK205" s="56"/>
      <c r="AL205" s="56"/>
      <c r="AM205" s="47"/>
      <c r="AN205" s="62" t="s">
        <v>39</v>
      </c>
      <c r="AO205" s="64"/>
      <c r="AP205" s="58" t="str">
        <f t="shared" si="6"/>
        <v>LIGADO s. r. o. cistiace a upratovacie sluzby, &amp;#32vsetky kategorie  971 01 Prievidza Upratovacie sluzby, kontrola kvality. Zamestnavanie znevyhodnenych osob. LIGADO s.r.o. Upratovacie sluzby, kontrola kvality. upratovanie, kontrola kvality, cistenie           Register partnerov VS</v>
      </c>
      <c r="AQ205" s="37"/>
    </row>
    <row r="206" ht="15.75" customHeight="1">
      <c r="A206" s="43"/>
      <c r="B206" s="59">
        <v>218.0</v>
      </c>
      <c r="C206" s="75" t="s">
        <v>2307</v>
      </c>
      <c r="D206" s="42" t="s">
        <v>66</v>
      </c>
      <c r="E206" s="38" t="str">
        <f t="shared" si="1"/>
        <v>Žilinský kraj, &amp;#32celé Slovensko</v>
      </c>
      <c r="F206" s="42" t="s">
        <v>396</v>
      </c>
      <c r="G206" s="38" t="str">
        <f t="shared" si="2"/>
        <v>poľnohospodárstvo a lesníctvo, dom a záhrada, &amp;#32všetky kategórie</v>
      </c>
      <c r="H206" s="42" t="s">
        <v>96</v>
      </c>
      <c r="I206" s="43" t="str">
        <f t="shared" si="3"/>
        <v>6 - 10, &amp;#32všetky možnosti</v>
      </c>
      <c r="J206" s="44" t="str">
        <f t="shared" si="7"/>
        <v>,Register partnerov VS,Náhradné plnenie</v>
      </c>
      <c r="K206" s="45">
        <f t="shared" si="5"/>
        <v>20913.59931</v>
      </c>
      <c r="L206" s="43"/>
      <c r="M206" s="43" t="str">
        <f>IFERROR(__xludf.DUMMYFUNCTION("SPLIT(O206,"","")"),"Fraňa Mráza 624")</f>
        <v>Fraňa Mráza 624</v>
      </c>
      <c r="N206" s="43" t="str">
        <f>IFERROR(__xludf.DUMMYFUNCTION("""COMPUTED_VALUE""")," 010 01 Žilina")</f>
        <v> 010 01 Žilina</v>
      </c>
      <c r="O206" s="42" t="s">
        <v>2308</v>
      </c>
      <c r="P206" s="43">
        <v>49.2287312</v>
      </c>
      <c r="Q206" s="43">
        <v>18.7347047</v>
      </c>
      <c r="R206" s="56" t="s">
        <v>2309</v>
      </c>
      <c r="S206" s="112" t="s">
        <v>2310</v>
      </c>
      <c r="T206" s="113" t="s">
        <v>2311</v>
      </c>
      <c r="U206" s="49" t="s">
        <v>2312</v>
      </c>
      <c r="V206" s="66" t="s">
        <v>2313</v>
      </c>
      <c r="W206" s="54" t="s">
        <v>2314</v>
      </c>
      <c r="X206" s="54" t="s">
        <v>2315</v>
      </c>
      <c r="Y206" s="110" t="s">
        <v>2316</v>
      </c>
      <c r="Z206" s="108" t="s">
        <v>2317</v>
      </c>
      <c r="AA206" s="109" t="s">
        <v>64</v>
      </c>
      <c r="AB206" s="54"/>
      <c r="AC206" s="56"/>
      <c r="AD206" s="46"/>
      <c r="AE206" s="54"/>
      <c r="AF206" s="55"/>
      <c r="AG206" s="56"/>
      <c r="AH206" s="56"/>
      <c r="AI206" s="55"/>
      <c r="AJ206" s="55"/>
      <c r="AK206" s="56"/>
      <c r="AL206" s="56"/>
      <c r="AM206" s="47"/>
      <c r="AN206" s="62" t="s">
        <v>39</v>
      </c>
      <c r="AO206" s="57" t="s">
        <v>40</v>
      </c>
      <c r="AP206" s="58" t="str">
        <f t="shared" si="6"/>
        <v>Unicarback Slovakia, s. r. o. polnohospodarstvo a lesnictvo, dom a zahrada, &amp;#32vsetky kategorie  010 01 Zilina Zabezpecujeme letnu a zimnu udrzbu sukromnych a obecnych pozemkov. Zamestnavame obcanov so zmenenou pracovnou schopnostou, ktori su znevyhodneni svojim zdravotnym stavom. Unicarback Slovakia, s.r.o. Zabezpecenie letnej a zimnej udrzby sukromnych a obecnych pozemkov. kosenie, strihanie krikov, vyrub, vysek, odhrnanie snehu, odvoz snehu, posyp           Register partnerov VS</v>
      </c>
      <c r="AQ206" s="37"/>
    </row>
    <row r="207" ht="15.75" customHeight="1">
      <c r="A207" s="43"/>
      <c r="B207" s="59">
        <v>219.0</v>
      </c>
      <c r="C207" s="75" t="s">
        <v>2318</v>
      </c>
      <c r="D207" s="42" t="s">
        <v>134</v>
      </c>
      <c r="E207" s="38" t="str">
        <f t="shared" si="1"/>
        <v>Trenčiansky kraj, &amp;#32celé Slovensko</v>
      </c>
      <c r="F207" s="42" t="s">
        <v>2319</v>
      </c>
      <c r="G207" s="38" t="str">
        <f t="shared" si="2"/>
        <v>krása-zdravie-relax, reklama, obaly, odevy a obuv, bižutéria a darčekové predmety, iné (tovary a služby), &amp;#32všetky kategórie</v>
      </c>
      <c r="H207" s="42" t="s">
        <v>53</v>
      </c>
      <c r="I207" s="43" t="str">
        <f t="shared" si="3"/>
        <v>1 - 5, &amp;#32všetky možnosti</v>
      </c>
      <c r="J207" s="44" t="str">
        <f t="shared" si="7"/>
        <v>,Register partnerov VS,Náhradné plnenie</v>
      </c>
      <c r="K207" s="45">
        <f t="shared" si="5"/>
        <v>20841.74708</v>
      </c>
      <c r="L207" s="43"/>
      <c r="M207" s="43" t="str">
        <f>IFERROR(__xludf.DUMMYFUNCTION("SPLIT(O207,"","")"),"Pstruhárska 785/5")</f>
        <v>Pstruhárska 785/5</v>
      </c>
      <c r="N207" s="43" t="str">
        <f>IFERROR(__xludf.DUMMYFUNCTION("""COMPUTED_VALUE""")," 972 51 Handlová")</f>
        <v> 972 51 Handlová</v>
      </c>
      <c r="O207" s="42" t="s">
        <v>2320</v>
      </c>
      <c r="P207" s="43">
        <v>48.7309811</v>
      </c>
      <c r="Q207" s="43">
        <v>18.7680906</v>
      </c>
      <c r="R207" s="56" t="s">
        <v>2321</v>
      </c>
      <c r="S207" s="112" t="s">
        <v>2322</v>
      </c>
      <c r="T207" s="113" t="s">
        <v>86</v>
      </c>
      <c r="U207" s="49" t="s">
        <v>2323</v>
      </c>
      <c r="V207" s="66" t="s">
        <v>2324</v>
      </c>
      <c r="W207" s="54" t="s">
        <v>2325</v>
      </c>
      <c r="X207" s="54" t="s">
        <v>2326</v>
      </c>
      <c r="Y207" s="110" t="s">
        <v>2327</v>
      </c>
      <c r="Z207" s="108" t="s">
        <v>2328</v>
      </c>
      <c r="AA207" s="109" t="s">
        <v>64</v>
      </c>
      <c r="AB207" s="54"/>
      <c r="AC207" s="56"/>
      <c r="AD207" s="46"/>
      <c r="AE207" s="54"/>
      <c r="AF207" s="55"/>
      <c r="AG207" s="56"/>
      <c r="AH207" s="56"/>
      <c r="AI207" s="55"/>
      <c r="AJ207" s="55"/>
      <c r="AK207" s="56"/>
      <c r="AL207" s="56"/>
      <c r="AM207" s="47"/>
      <c r="AN207" s="62" t="s">
        <v>39</v>
      </c>
      <c r="AO207" s="57" t="s">
        <v>40</v>
      </c>
      <c r="AP207" s="58" t="str">
        <f t="shared" si="6"/>
        <v>ekki s. r. o. krasa-zdravie-relax, reklama, obaly, odevy a obuv, bizuteria a darcekove predmety, ine (tovary a sluzby), &amp;#32vsetky kategorie  972 51 Handlova Vyroba vyrobkov sitim a vysokofrekvencnym zvaranim, vyroba zdravotnickych pomocok Dynasit na zdrave sedenie, vyroba reklamnych predmetov a reklamneho textilu. Vyroba zdravotnickych pomocok Dynasit s pridanou hodnotou so zamestnancami, ktori maju znevyhodnenie. ekki s.r.o. Vyroba vyrobkov sitim a vysokofrekvencnym zvaranim, vyroba zdravotnickych pomocok Dynasit na zdrave sedenie, vyroba sportovych, futbalovych a basketbalovych dresov. textilna vyroba, zdravotnicke pomocky, Dynasit, reklamne odevy, reklamne predmety, zdravotnicke pomocky, sportove dresy           Register partnerov VS</v>
      </c>
      <c r="AQ207" s="37"/>
    </row>
    <row r="208" ht="15.75" customHeight="1">
      <c r="A208" s="43"/>
      <c r="B208" s="59">
        <v>220.0</v>
      </c>
      <c r="C208" s="75" t="s">
        <v>2329</v>
      </c>
      <c r="D208" s="42" t="s">
        <v>181</v>
      </c>
      <c r="E208" s="38" t="str">
        <f t="shared" si="1"/>
        <v>Banskobystrický kraj, &amp;#32celé Slovensko</v>
      </c>
      <c r="F208" s="42" t="s">
        <v>2330</v>
      </c>
      <c r="G208" s="38" t="str">
        <f t="shared" si="2"/>
        <v>čistiace a upratovacie služby, stavebníctvo, dom a záhrada, &amp;#32všetky kategórie</v>
      </c>
      <c r="H208" s="42" t="s">
        <v>96</v>
      </c>
      <c r="I208" s="43" t="str">
        <f t="shared" si="3"/>
        <v>6 - 10, &amp;#32všetky možnosti</v>
      </c>
      <c r="J208" s="44" t="str">
        <f t="shared" si="7"/>
        <v>,,</v>
      </c>
      <c r="K208" s="45">
        <f t="shared" si="5"/>
        <v>29996.60866</v>
      </c>
      <c r="L208" s="43"/>
      <c r="M208" s="43" t="str">
        <f>IFERROR(__xludf.DUMMYFUNCTION("SPLIT(O208,"","")"),"Hrádza 98/2")</f>
        <v>Hrádza 98/2</v>
      </c>
      <c r="N208" s="43" t="str">
        <f>IFERROR(__xludf.DUMMYFUNCTION("""COMPUTED_VALUE""")," 976 64 Bacúch")</f>
        <v> 976 64 Bacúch</v>
      </c>
      <c r="O208" s="42" t="s">
        <v>2331</v>
      </c>
      <c r="P208" s="43">
        <v>48.8600224</v>
      </c>
      <c r="Q208" s="43">
        <v>19.8068403</v>
      </c>
      <c r="R208" s="56" t="s">
        <v>2332</v>
      </c>
      <c r="S208" s="112" t="s">
        <v>2333</v>
      </c>
      <c r="T208" s="113" t="s">
        <v>86</v>
      </c>
      <c r="U208" s="49" t="s">
        <v>2334</v>
      </c>
      <c r="V208" s="66" t="s">
        <v>2335</v>
      </c>
      <c r="W208" s="54" t="s">
        <v>2336</v>
      </c>
      <c r="X208" s="54" t="s">
        <v>2329</v>
      </c>
      <c r="Y208" s="110" t="s">
        <v>2337</v>
      </c>
      <c r="Z208" s="108" t="s">
        <v>2338</v>
      </c>
      <c r="AA208" s="109" t="s">
        <v>64</v>
      </c>
      <c r="AB208" s="54"/>
      <c r="AC208" s="56"/>
      <c r="AD208" s="46"/>
      <c r="AE208" s="54"/>
      <c r="AF208" s="55"/>
      <c r="AG208" s="56"/>
      <c r="AH208" s="56"/>
      <c r="AI208" s="55"/>
      <c r="AJ208" s="55"/>
      <c r="AK208" s="56"/>
      <c r="AL208" s="56"/>
      <c r="AM208" s="34"/>
      <c r="AN208" s="55"/>
      <c r="AO208" s="64"/>
      <c r="AP208" s="58" t="str">
        <f t="shared" si="6"/>
        <v>StavbarSK s.r.o. cistiace a upratovacie sluzby, stavebnictvo, dom a zahrada, &amp;#32vsetky kategorie  976 64 Bacuch Prioritou socialneho podniku su verejnoprospesne prace so zretelom na ekologiu a zivotne prostredie Nizkych Tatier a regionu Horehronie: stavebne a po-stavebne prace, zemne prace, zahradnicke prace, cistenie brehov vodnych tokov, uprava verejnych priestranstiev, prirody, uprava ciest, sluzby pre seniorov. Zo stavebnych prac su to konkretne: zemne a vykopove prace, liniove stavby, opravky stien - malovanie alebo
 vytvorenie novej fasady, buranie stavieb, znizovanie stropov so sadrokartonom, obkladanie toaliet a kupelni. Nas personal bude profesionalne zaskoleny a pripraveny uchadzat sa aj o komplexne zakazky, ako je napriklad budova divadla, rozne statne budovy ako policajne stanice, nemocnice, vaznice, hasicske zbrojnice a pod. Spolocensky dopad v ramci podpory regionalneho rozvoja a zamestnanosti bude vyznamny - zlepsime zivotnu uroven socialne znevyhodnenym osobam, cim prinesieme lepsiu zivotnu uroven do lokalnej komunity. S predpokladom zlepsenia kvality ich zivota ocakavame pokles kriminality a nezamestnanosti. Pozitivny socialny vplyv bude meratelny vyslednou pracou aj spatnou vazbou objednavatela i samotneho okolia. Neustalym vzdelavanim sa a pracou v terene ocakavame a predpokladame aj viditelne zmeny v osobnostnom i spolocenskom postoji zamestnancov, rast a prosperitu v margalizovanej skupine a komunite, v ktorej ziju. Spatna vazba sa bude realizovat rozhovorom a dotaznikmi. StavbarSK s.r.o. Zemne prace, buranie, uprava okolia budov, nove fasady, malovanie, znizovanie stropov. zemne prace, buranie, kosenie, uprava prirody, uprava ciest, liniove stavby, malovanie, nove fasady, buranie stavieb, znizovanie stropov so sadrokartonom, obkladanie zachodov a kupelni, rekonstrukcia, starostlivost o domacnost           </v>
      </c>
      <c r="AQ208" s="37"/>
    </row>
    <row r="209" ht="15.75" customHeight="1">
      <c r="A209" s="43"/>
      <c r="B209" s="59">
        <v>221.0</v>
      </c>
      <c r="C209" s="75" t="s">
        <v>2339</v>
      </c>
      <c r="D209" s="42" t="s">
        <v>66</v>
      </c>
      <c r="E209" s="38" t="str">
        <f t="shared" si="1"/>
        <v>Žilinský kraj, &amp;#32celé Slovensko</v>
      </c>
      <c r="F209" s="42" t="s">
        <v>2340</v>
      </c>
      <c r="G209" s="38" t="str">
        <f t="shared" si="2"/>
        <v>čistiace a upratovacie služby, účtovníctvo a poradenstvo, &amp;#32všetky kategórie</v>
      </c>
      <c r="H209" s="42" t="s">
        <v>53</v>
      </c>
      <c r="I209" s="43" t="str">
        <f t="shared" si="3"/>
        <v>1 - 5, &amp;#32všetky možnosti</v>
      </c>
      <c r="J209" s="44" t="str">
        <f t="shared" si="7"/>
        <v>,,</v>
      </c>
      <c r="K209" s="45">
        <f t="shared" si="5"/>
        <v>20695.96904</v>
      </c>
      <c r="L209" s="43"/>
      <c r="M209" s="43" t="str">
        <f>IFERROR(__xludf.DUMMYFUNCTION("SPLIT(O209,"","")"),"Mojš 373")</f>
        <v>Mojš 373</v>
      </c>
      <c r="N209" s="43" t="str">
        <f>IFERROR(__xludf.DUMMYFUNCTION("""COMPUTED_VALUE""")," 010 01 Žilina")</f>
        <v> 010 01 Žilina</v>
      </c>
      <c r="O209" s="42" t="s">
        <v>2341</v>
      </c>
      <c r="P209" s="43">
        <v>49.1993248</v>
      </c>
      <c r="Q209" s="43">
        <v>18.8212197</v>
      </c>
      <c r="R209" s="56" t="s">
        <v>2342</v>
      </c>
      <c r="S209" s="112" t="s">
        <v>2343</v>
      </c>
      <c r="T209" s="113" t="s">
        <v>86</v>
      </c>
      <c r="U209" s="49" t="s">
        <v>2344</v>
      </c>
      <c r="V209" s="66" t="s">
        <v>2345</v>
      </c>
      <c r="W209" s="54" t="s">
        <v>2346</v>
      </c>
      <c r="X209" s="54" t="s">
        <v>2339</v>
      </c>
      <c r="Y209" s="110" t="s">
        <v>2347</v>
      </c>
      <c r="Z209" s="108" t="s">
        <v>2348</v>
      </c>
      <c r="AA209" s="109" t="s">
        <v>64</v>
      </c>
      <c r="AB209" s="54"/>
      <c r="AC209" s="56"/>
      <c r="AD209" s="46"/>
      <c r="AE209" s="54"/>
      <c r="AF209" s="55"/>
      <c r="AG209" s="56"/>
      <c r="AH209" s="56"/>
      <c r="AI209" s="55"/>
      <c r="AJ209" s="55"/>
      <c r="AK209" s="56"/>
      <c r="AL209" s="56"/>
      <c r="AM209" s="34"/>
      <c r="AN209" s="55"/>
      <c r="AO209" s="64"/>
      <c r="AP209" s="58" t="str">
        <f t="shared" si="6"/>
        <v>EkoRent, s.r.o. cistiace a upratovacie sluzby, uctovnictvo a poradenstvo, &amp;#32vsetky kategorie  010 01 Zilina Vedenie a spracovanie uctovnictva, miezd a danovych priznani. Nase podnikatelske aktivity su spolocensky prospesne vsetkym podnikatelskym subjektom a zaroven svoje sluzby ponukame aj nepodnikatelom, teda zamestnancom, ktori si nedokazu svoje danove priznanie spracovat sami. Zaroven sme vytvorili pracovne miesta aj pre znevyhodnenych zamestnancov, ktori mali problem uplatnit sa na trhu prace. Spolocnost prispieva k dosahovaniu pozitivneho socialneho vplyvu poskytovanim spolocensky prospesnej sluzby v oblasti zamestnanosti, a to zamestnavanim zranitelnych alebo znevyhodnenych osob. Tieto si osvoja pracovne navyky a ziskaju nove zrucnosti pre vykon povolania, co zvysi sance na ich opatovne spolocenske zaclenenie beruc do uvahy ich novonadobudnutu mieru financnej autonomie a samostatnosti, sebadovery ci schopnosti fungovat v prostredi pracovneho kolektivu EkoRent, s.r.o. Nasa spolocnost ponuka vedenie a spracovanie uctovnictva a miezd a tiez upratovacie prace. uctovne sluzby, upratovacie sluzby, upratovanie, cistenie, vedenie uctovnictva           </v>
      </c>
      <c r="AQ209" s="37"/>
    </row>
    <row r="210" ht="15.75" customHeight="1">
      <c r="A210" s="43"/>
      <c r="B210" s="59">
        <v>222.0</v>
      </c>
      <c r="C210" s="75" t="s">
        <v>2349</v>
      </c>
      <c r="D210" s="42" t="s">
        <v>181</v>
      </c>
      <c r="E210" s="38" t="str">
        <f t="shared" si="1"/>
        <v>Banskobystrický kraj, &amp;#32celé Slovensko</v>
      </c>
      <c r="F210" s="42" t="s">
        <v>2350</v>
      </c>
      <c r="G210" s="38" t="str">
        <f t="shared" si="2"/>
        <v>kovovýroba, stavebníctvo, &amp;#32všetky kategórie</v>
      </c>
      <c r="H210" s="42" t="s">
        <v>53</v>
      </c>
      <c r="I210" s="43" t="str">
        <f t="shared" si="3"/>
        <v>1 - 5, &amp;#32všetky možnosti</v>
      </c>
      <c r="J210" s="44" t="str">
        <f t="shared" si="7"/>
        <v>,,</v>
      </c>
      <c r="K210" s="45">
        <f t="shared" si="5"/>
        <v>29529.60865</v>
      </c>
      <c r="L210" s="43"/>
      <c r="M210" s="43" t="str">
        <f>IFERROR(__xludf.DUMMYFUNCTION("SPLIT(O210,"","")"),"Ľ. Štúra 559/12")</f>
        <v>Ľ. Štúra 559/12</v>
      </c>
      <c r="N210" s="43" t="str">
        <f>IFERROR(__xludf.DUMMYFUNCTION("""COMPUTED_VALUE""")," 990 01 Veľký Krtíš")</f>
        <v> 990 01 Veľký Krtíš</v>
      </c>
      <c r="O210" s="42" t="s">
        <v>2351</v>
      </c>
      <c r="P210" s="43">
        <v>48.2140616999999</v>
      </c>
      <c r="Q210" s="43">
        <v>19.3537256</v>
      </c>
      <c r="R210" s="56" t="s">
        <v>2352</v>
      </c>
      <c r="S210" s="112" t="s">
        <v>2353</v>
      </c>
      <c r="T210" s="113" t="s">
        <v>86</v>
      </c>
      <c r="U210" s="49" t="s">
        <v>2354</v>
      </c>
      <c r="V210" s="66" t="s">
        <v>2355</v>
      </c>
      <c r="W210" s="54" t="s">
        <v>2356</v>
      </c>
      <c r="X210" s="54" t="s">
        <v>2357</v>
      </c>
      <c r="Y210" s="110" t="s">
        <v>2358</v>
      </c>
      <c r="Z210" s="108" t="s">
        <v>2359</v>
      </c>
      <c r="AA210" s="109" t="s">
        <v>64</v>
      </c>
      <c r="AB210" s="54"/>
      <c r="AC210" s="56"/>
      <c r="AD210" s="46"/>
      <c r="AE210" s="54"/>
      <c r="AF210" s="55"/>
      <c r="AG210" s="56"/>
      <c r="AH210" s="56"/>
      <c r="AI210" s="55"/>
      <c r="AJ210" s="55"/>
      <c r="AK210" s="56"/>
      <c r="AL210" s="56"/>
      <c r="AM210" s="34"/>
      <c r="AN210" s="55"/>
      <c r="AO210" s="64"/>
      <c r="AP210" s="58" t="str">
        <f t="shared" si="6"/>
        <v>M&amp;S products s.r.o. kovovyroba, stavebnictvo, &amp;#32vsetky kategorie  990 01 Velky Krtis Nasa spolocnost sa zaobera vyrobou bran, plotov, pristreskov z kovu - hlinika, a to od samotneho navrhu, vyroby, zabezpecenia povrchovej upravy, montaze az po automatizaciu bran. Vyrabame tiez kovove schody a zabradlia na mieru, vratane montaze. Renovujeme brany a vyrabame aj ine drobne kovove vyrobky. Zamestnavanim zdravotne znevyhodnenych a zranitelnych osob. M&amp;S products s.r.o., r.s.p. Vyroba kovovych a hlinikovych bran a plotov, pristreskov, schodisk, zabradli. kovovyroba, brana, zabradlie, pristresok, plot, schodisko, kovove vyrobky           </v>
      </c>
      <c r="AQ210" s="37"/>
    </row>
    <row r="211" ht="15.75" customHeight="1">
      <c r="A211" s="43"/>
      <c r="B211" s="59">
        <v>223.0</v>
      </c>
      <c r="C211" s="75" t="s">
        <v>2360</v>
      </c>
      <c r="D211" s="42" t="s">
        <v>134</v>
      </c>
      <c r="E211" s="38" t="str">
        <f t="shared" si="1"/>
        <v>Trenčiansky kraj, &amp;#32celé Slovensko</v>
      </c>
      <c r="F211" s="42" t="s">
        <v>385</v>
      </c>
      <c r="G211" s="38" t="str">
        <f t="shared" si="2"/>
        <v>iné (tovary a služby), &amp;#32všetky kategórie</v>
      </c>
      <c r="H211" s="42" t="s">
        <v>96</v>
      </c>
      <c r="I211" s="43" t="str">
        <f t="shared" si="3"/>
        <v>6 - 10, &amp;#32všetky možnosti</v>
      </c>
      <c r="J211" s="44" t="str">
        <f t="shared" si="7"/>
        <v>,Register partnerov VS,Náhradné plnenie</v>
      </c>
      <c r="K211" s="45">
        <f t="shared" si="5"/>
        <v>22630.44504</v>
      </c>
      <c r="L211" s="43"/>
      <c r="M211" s="43" t="str">
        <f>IFERROR(__xludf.DUMMYFUNCTION("SPLIT(O211,"","")"),"Bzince pod Javorinou 348")</f>
        <v>Bzince pod Javorinou 348</v>
      </c>
      <c r="N211" s="43" t="str">
        <f>IFERROR(__xludf.DUMMYFUNCTION("""COMPUTED_VALUE""")," 916 11 Bzince pod Javorinou")</f>
        <v> 916 11 Bzince pod Javorinou</v>
      </c>
      <c r="O211" s="42" t="s">
        <v>2361</v>
      </c>
      <c r="P211" s="43">
        <v>48.7880419</v>
      </c>
      <c r="Q211" s="43">
        <v>17.7713608</v>
      </c>
      <c r="R211" s="56" t="s">
        <v>2362</v>
      </c>
      <c r="S211" s="112" t="s">
        <v>2363</v>
      </c>
      <c r="T211" s="113" t="s">
        <v>86</v>
      </c>
      <c r="U211" s="49" t="s">
        <v>2364</v>
      </c>
      <c r="V211" s="66" t="s">
        <v>2365</v>
      </c>
      <c r="W211" s="54" t="s">
        <v>2366</v>
      </c>
      <c r="X211" s="54" t="s">
        <v>2360</v>
      </c>
      <c r="Y211" s="110" t="s">
        <v>2362</v>
      </c>
      <c r="Z211" s="108" t="s">
        <v>2367</v>
      </c>
      <c r="AA211" s="109" t="s">
        <v>64</v>
      </c>
      <c r="AB211" s="54"/>
      <c r="AC211" s="56"/>
      <c r="AD211" s="46"/>
      <c r="AE211" s="54"/>
      <c r="AF211" s="55"/>
      <c r="AG211" s="56"/>
      <c r="AH211" s="56"/>
      <c r="AI211" s="55"/>
      <c r="AJ211" s="55"/>
      <c r="AK211" s="56"/>
      <c r="AL211" s="56"/>
      <c r="AM211" s="47"/>
      <c r="AN211" s="62" t="s">
        <v>39</v>
      </c>
      <c r="AO211" s="57" t="s">
        <v>40</v>
      </c>
      <c r="AP211" s="58" t="str">
        <f t="shared" si="6"/>
        <v>Prevadzka s. r. o. ine (tovary a sluzby), &amp;#32vsetky kategorie  916 11 Bzince pod Javorinou Pohrebne sluzby, stankovy predaj novin a casopisov, kosenie travnatych ploch. Podpora zamestnanosti prostrednictvom zamestnavania znevyhodnenych alebo zranitelnych osob. Prevadzka s. r. o. Pohrebne sluzby, stankovy predaj novin a casopisov, kosenie travnatych ploch. kosenie, predaj vencov, noviny, casopisy           Register partnerov VS</v>
      </c>
      <c r="AQ211" s="37"/>
    </row>
    <row r="212" ht="15.75" customHeight="1">
      <c r="A212" s="43"/>
      <c r="B212" s="59">
        <v>224.0</v>
      </c>
      <c r="C212" s="75" t="s">
        <v>2368</v>
      </c>
      <c r="D212" s="42" t="s">
        <v>218</v>
      </c>
      <c r="E212" s="38" t="str">
        <f t="shared" si="1"/>
        <v>Košický kraj, &amp;#32celé Slovensko</v>
      </c>
      <c r="F212" s="42" t="s">
        <v>258</v>
      </c>
      <c r="G212" s="38" t="str">
        <f t="shared" si="2"/>
        <v>odevy a obuv, &amp;#32všetky kategórie</v>
      </c>
      <c r="H212" s="42" t="s">
        <v>53</v>
      </c>
      <c r="I212" s="43" t="str">
        <f t="shared" si="3"/>
        <v>1 - 5, &amp;#32všetky možnosti</v>
      </c>
      <c r="J212" s="44" t="str">
        <f t="shared" si="7"/>
        <v>,,Náhradné plnenie</v>
      </c>
      <c r="K212" s="45">
        <f t="shared" si="5"/>
        <v>32981.99114</v>
      </c>
      <c r="L212" s="43"/>
      <c r="M212" s="43" t="str">
        <f>IFERROR(__xludf.DUMMYFUNCTION("SPLIT(O212,"","")"),"Betliarska 74/2")</f>
        <v>Betliarska 74/2</v>
      </c>
      <c r="N212" s="43" t="str">
        <f>IFERROR(__xludf.DUMMYFUNCTION("""COMPUTED_VALUE""")," 048 01 Rožňava")</f>
        <v> 048 01 Rožňava</v>
      </c>
      <c r="O212" s="42" t="s">
        <v>2369</v>
      </c>
      <c r="P212" s="43">
        <v>48.6631902</v>
      </c>
      <c r="Q212" s="43">
        <v>20.5327362</v>
      </c>
      <c r="R212" s="56" t="s">
        <v>2370</v>
      </c>
      <c r="S212" s="112" t="s">
        <v>2371</v>
      </c>
      <c r="T212" s="113" t="s">
        <v>2372</v>
      </c>
      <c r="U212" s="49" t="s">
        <v>2373</v>
      </c>
      <c r="V212" s="66" t="s">
        <v>2374</v>
      </c>
      <c r="W212" s="54" t="s">
        <v>2375</v>
      </c>
      <c r="X212" s="54" t="s">
        <v>2376</v>
      </c>
      <c r="Y212" s="110" t="s">
        <v>2377</v>
      </c>
      <c r="Z212" s="108" t="s">
        <v>2378</v>
      </c>
      <c r="AA212" s="109" t="s">
        <v>64</v>
      </c>
      <c r="AB212" s="54"/>
      <c r="AC212" s="56"/>
      <c r="AD212" s="46"/>
      <c r="AE212" s="54"/>
      <c r="AF212" s="55"/>
      <c r="AG212" s="56"/>
      <c r="AH212" s="56"/>
      <c r="AI212" s="55"/>
      <c r="AJ212" s="55"/>
      <c r="AK212" s="56"/>
      <c r="AL212" s="56"/>
      <c r="AM212" s="34"/>
      <c r="AN212" s="55"/>
      <c r="AO212" s="57" t="s">
        <v>40</v>
      </c>
      <c r="AP212" s="58" t="str">
        <f t="shared" si="6"/>
        <v>KLASTOR odevy a obuv, &amp;#32vsetky kategorie  048 01 Roznava Monastery - Klastor (2021) - je krajcirska dielna v priestoroch byvaleho frantiskanskeho klastora, ktory sluzi verejnosti ako kulturno-kreativne centrum. Nadvazuje na existenciu dvoch sijacich dielni: Kutika (2014) v obci Gemer a Monastery (2018) v meste Roznava. Kym prvej vdacime za stroje a vybavenie, druhej za meno a prvotne zabyvanie dielne v priestoroch klastora. Nasim cielom je ponuknut nove pracovne miesta ludom z regionu Gemera v ramci novovzniknuteho socialneho podniku KLASTOR, ktoreho sucastou je aj krajcirska dielna. Vam, nasim zakaznikom, chceme ponuknut spokojnost a radost z kvalitnych sluzieb a produktov, ktore v minulosti zdobili tento region.
 Momentalne poskytujeme sijacie sluzby na priemyselnych jednoihlovych a dvojihlovych strojoch.
 Do buducnosti sa chceme rozvijat, aby sme vam vedeli poradit pripadne aj so strihom, ponuknut kvalitne certifikovane materialy a raz aj nase vlastne miestne produkty.
 Zaciname v malom time, ale plany mame velke. Nasim zamerom je, aby v prevadzkach socialneho podniku nasli uplatnenie aj ludia so socialnym alebo zdravotnym znevyhodnenim, dlhodobo nezamestnani a ludia tazsie uplatnitelni na trhu prace. Pri vyrobe sa riadime principmi tzv. pomalej mody, vyuzivame udrzatelne materialy a poskytujeme sluzby pre lokalne znacky. Klastor - krajcirska dielna Momentalne poskytujeme sijacie sluzby na priemyselnych jednoihlovych a dvojihlovych strojoch. 
 Do buducnosti sa chceme rozvijat, aby sme vam vedeli poradit pripadne aj so strihom, ponuknut kvalitne certifikovane materialy a raz aj nase vlastne miestne produkty.
 Zaciname v malom time, ale plany mame velke. krajcirske sluzby, strih, sitie           </v>
      </c>
      <c r="AQ212" s="37"/>
    </row>
    <row r="213" ht="15.75" customHeight="1">
      <c r="A213" s="43"/>
      <c r="B213" s="59">
        <v>225.0</v>
      </c>
      <c r="C213" s="75" t="s">
        <v>2379</v>
      </c>
      <c r="D213" s="42" t="s">
        <v>229</v>
      </c>
      <c r="E213" s="38" t="str">
        <f t="shared" si="1"/>
        <v>Nitriansky kraj, &amp;#32celé Slovensko</v>
      </c>
      <c r="F213" s="42" t="s">
        <v>2380</v>
      </c>
      <c r="G213" s="38" t="str">
        <f t="shared" si="2"/>
        <v>čistiace a upratovacie služby, poľnohospodárstvo a lesníctvo, dom a záhrada, stavebníctvo, doprava, cestovný ruch, kultúra a šport, &amp;#32všetky kategórie</v>
      </c>
      <c r="H213" s="42" t="s">
        <v>96</v>
      </c>
      <c r="I213" s="43" t="str">
        <f t="shared" si="3"/>
        <v>6 - 10, &amp;#32všetky možnosti</v>
      </c>
      <c r="J213" s="44" t="str">
        <f t="shared" si="7"/>
        <v>,Register partnerov VS,</v>
      </c>
      <c r="K213" s="45">
        <f t="shared" si="5"/>
        <v>28902.3263</v>
      </c>
      <c r="L213" s="43"/>
      <c r="M213" s="43" t="str">
        <f>IFERROR(__xludf.DUMMYFUNCTION("SPLIT(O213,"","")"),"Poštová 652")</f>
        <v>Poštová 652</v>
      </c>
      <c r="N213" s="43" t="str">
        <f>IFERROR(__xludf.DUMMYFUNCTION("""COMPUTED_VALUE""")," 956 07 Veľké Ripňany")</f>
        <v> 956 07 Veľké Ripňany</v>
      </c>
      <c r="O213" s="42" t="s">
        <v>2381</v>
      </c>
      <c r="P213" s="43">
        <v>48.4987349</v>
      </c>
      <c r="Q213" s="43">
        <v>17.9776959</v>
      </c>
      <c r="R213" s="56" t="s">
        <v>2382</v>
      </c>
      <c r="S213" s="112" t="s">
        <v>2383</v>
      </c>
      <c r="T213" s="113" t="s">
        <v>2384</v>
      </c>
      <c r="U213" s="49" t="s">
        <v>2385</v>
      </c>
      <c r="V213" s="66" t="s">
        <v>2386</v>
      </c>
      <c r="W213" s="54" t="s">
        <v>2387</v>
      </c>
      <c r="X213" s="54" t="s">
        <v>2388</v>
      </c>
      <c r="Y213" s="110" t="s">
        <v>2389</v>
      </c>
      <c r="Z213" s="108" t="s">
        <v>2390</v>
      </c>
      <c r="AA213" s="109" t="s">
        <v>64</v>
      </c>
      <c r="AB213" s="54"/>
      <c r="AC213" s="56"/>
      <c r="AD213" s="46"/>
      <c r="AE213" s="54"/>
      <c r="AF213" s="55"/>
      <c r="AG213" s="56"/>
      <c r="AH213" s="56"/>
      <c r="AI213" s="55"/>
      <c r="AJ213" s="55"/>
      <c r="AK213" s="56"/>
      <c r="AL213" s="56"/>
      <c r="AM213" s="47"/>
      <c r="AN213" s="62" t="s">
        <v>39</v>
      </c>
      <c r="AO213" s="64"/>
      <c r="AP213" s="58" t="str">
        <f t="shared" si="6"/>
        <v>VeRi, s. r. o. cistiace a upratovacie sluzby, polnohospodarstvo a lesnictvo, dom a zahrada, stavebnictvo, doprava, cestovny ruch, kultura a sport, &amp;#32vsetky kategorie  956 07 Velke Ripnany Obecne sluzby, zahradnicke sluzby, komunalne sluzby, stavebne prace, komunitne centrum. Podnik je sucastou obce, zamestnava socialne a zdravotne znevyhodnenych obcanov. VeRi, s.r.o. Komunalne sluzby, zahradne prace, stavebne prace. zemne prace, kosenie, stavebne prace, zahradne prace, komunitne centrum, starostlivost o domacnost           Register partnerov VS</v>
      </c>
      <c r="AQ213" s="37"/>
    </row>
    <row r="214" ht="15.75" customHeight="1">
      <c r="A214" s="43"/>
      <c r="B214" s="59">
        <v>226.0</v>
      </c>
      <c r="C214" s="75" t="s">
        <v>2391</v>
      </c>
      <c r="D214" s="42" t="s">
        <v>66</v>
      </c>
      <c r="E214" s="38" t="str">
        <f t="shared" si="1"/>
        <v>Žilinský kraj, &amp;#32celé Slovensko</v>
      </c>
      <c r="F214" s="42" t="s">
        <v>2392</v>
      </c>
      <c r="G214" s="38" t="str">
        <f t="shared" si="2"/>
        <v>kultúra a šport, potraviny a nápoje, krása-zdravie-relax, reklama, &amp;#32všetky kategórie</v>
      </c>
      <c r="H214" s="42" t="s">
        <v>82</v>
      </c>
      <c r="I214" s="43" t="str">
        <f t="shared" si="3"/>
        <v>11 - 15, &amp;#32všetky možnosti</v>
      </c>
      <c r="J214" s="44" t="str">
        <f t="shared" si="7"/>
        <v>,Register partnerov VS,Náhradné plnenie</v>
      </c>
      <c r="K214" s="45">
        <f t="shared" si="5"/>
        <v>4651.575637</v>
      </c>
      <c r="L214" s="43"/>
      <c r="M214" s="43" t="str">
        <f>IFERROR(__xludf.DUMMYFUNCTION("SPLIT(O214,"","")"),"1. mája 144/31")</f>
        <v>1. mája 144/31</v>
      </c>
      <c r="N214" s="43" t="str">
        <f>IFERROR(__xludf.DUMMYFUNCTION("""COMPUTED_VALUE""")," 038 51 Turčianska Štiavnička")</f>
        <v> 038 51 Turčianska Štiavnička</v>
      </c>
      <c r="O214" s="42" t="s">
        <v>2393</v>
      </c>
      <c r="P214" s="43">
        <v>49.0887238</v>
      </c>
      <c r="Q214" s="43">
        <v>19.0244348</v>
      </c>
      <c r="R214" s="56" t="s">
        <v>2394</v>
      </c>
      <c r="S214" s="112" t="s">
        <v>2395</v>
      </c>
      <c r="T214" s="113" t="s">
        <v>86</v>
      </c>
      <c r="U214" s="49" t="s">
        <v>2396</v>
      </c>
      <c r="V214" s="66" t="s">
        <v>2397</v>
      </c>
      <c r="W214" s="54" t="s">
        <v>2398</v>
      </c>
      <c r="X214" s="54" t="s">
        <v>2399</v>
      </c>
      <c r="Y214" s="46" t="s">
        <v>2400</v>
      </c>
      <c r="Z214" s="53" t="s">
        <v>2401</v>
      </c>
      <c r="AA214" s="114" t="s">
        <v>129</v>
      </c>
      <c r="AB214" s="54" t="s">
        <v>2399</v>
      </c>
      <c r="AC214" s="56" t="s">
        <v>2400</v>
      </c>
      <c r="AD214" s="46" t="s">
        <v>2402</v>
      </c>
      <c r="AE214" s="115" t="s">
        <v>129</v>
      </c>
      <c r="AF214" s="116" t="s">
        <v>2403</v>
      </c>
      <c r="AG214" s="110" t="s">
        <v>2404</v>
      </c>
      <c r="AH214" s="46"/>
      <c r="AI214" s="54"/>
      <c r="AJ214" s="54"/>
      <c r="AK214" s="46"/>
      <c r="AL214" s="56"/>
      <c r="AM214" s="47"/>
      <c r="AN214" s="62" t="s">
        <v>39</v>
      </c>
      <c r="AO214" s="57" t="s">
        <v>40</v>
      </c>
      <c r="AP214" s="58" t="str">
        <f t="shared" si="6"/>
        <v>PEDORE, s.r.o. kultura a sport, potraviny a napoje, krasa-zdravie-relax, reklama, &amp;#32vsetky kategorie  038 51 Turcianska Stiavnicka V nasej ponuke su: reklamne predmety s firemnym logom, kalendare, novorocne pozdravy, diare, darcekove kose, frote a textil, firemna potlac, firemna vysivka, tlac vizitiek, plagatov, propagacnych materialov, zakazkova vyroba a pod.
 Dalsou cinnostou nasho registrovaneho socialneho podniku su lymfodrenaze, masaze, zostihlujuce procedury, vazenie inbody, program na redukciu hmotnosti, predaj vyrobkov na chudnutie a vyzivove poradenstvo, ako i prevadzkovanie zariadeni sluziacich na regeneraciu a rekondiciu. 80% nasich zamestnancov je na trhu prace znevyhodnenych. Ich potreby a zdravotne obmedzenia akceptujeme, vytvarame im vhodne podmienky a pracovne prostredie, pomahame im uplatnovat sa na trhu prace. Relax Martin, Pedore sro - rsp Prevadzkovanie zariadeni sluziacich na regeneraciu a rekondiciu, masaze, lymfodrenaze, formovanie postavy, vyzivove poradenstvo, predaj produktov na chudnutie Ketodiet. masaze, lymfodrenaze, formovanie postavy, solarium, ketodiet, reklamne predmety, darcekove kose, firemna potlac, firemna vysivka Relax Martin, Pedore sro - rsp Prevadzkovanie zariadeni sluziacich na regeneraciu a rekondiciu, masaze, lymfodrenaze, formovanie postavy, vyzivove poradenstvo, predaj produktov na chudnutie Ketodiet. reklamne predmety, kalendare, diare, vizitky, prace na zakazku, tlac, reklamny textil Reklamna agentura Pedore Reklamne predmety s logom spolocnosti, kalendare, diare, vizitky, tlac propagacnych materialov, zakazkova vyroba.      Register partnerov VS</v>
      </c>
      <c r="AQ214" s="37"/>
    </row>
    <row r="215" ht="15.75" customHeight="1">
      <c r="A215" s="43"/>
      <c r="B215" s="59">
        <v>227.0</v>
      </c>
      <c r="C215" s="75" t="s">
        <v>2405</v>
      </c>
      <c r="D215" s="42" t="s">
        <v>218</v>
      </c>
      <c r="E215" s="38" t="str">
        <f t="shared" si="1"/>
        <v>Košický kraj, &amp;#32celé Slovensko</v>
      </c>
      <c r="F215" s="42" t="s">
        <v>2406</v>
      </c>
      <c r="G215" s="38" t="str">
        <f t="shared" si="2"/>
        <v>čistiace a upratovacie služby, dom a záhrada, stavebníctvo, reklama, nábytok a bytové doplnky, bižutéria a darčekové predmety, &amp;#32všetky kategórie</v>
      </c>
      <c r="H215" s="42" t="s">
        <v>170</v>
      </c>
      <c r="I215" s="43" t="str">
        <f t="shared" si="3"/>
        <v>21 a viac, &amp;#32všetky možnosti</v>
      </c>
      <c r="J215" s="44" t="str">
        <f t="shared" si="7"/>
        <v>,Register partnerov VS,Náhradné plnenie</v>
      </c>
      <c r="K215" s="45">
        <f t="shared" si="5"/>
        <v>5019.337434</v>
      </c>
      <c r="L215" s="43"/>
      <c r="M215" s="43" t="str">
        <f>IFERROR(__xludf.DUMMYFUNCTION("SPLIT(O215,"","")"),"Remeselnícka 71")</f>
        <v>Remeselnícka 71</v>
      </c>
      <c r="N215" s="43" t="str">
        <f>IFERROR(__xludf.DUMMYFUNCTION("""COMPUTED_VALUE""")," 071 01 Michalovce")</f>
        <v> 071 01 Michalovce</v>
      </c>
      <c r="O215" s="42" t="s">
        <v>2407</v>
      </c>
      <c r="P215" s="43">
        <v>48.7605905</v>
      </c>
      <c r="Q215" s="43">
        <v>21.8933035</v>
      </c>
      <c r="R215" s="56" t="s">
        <v>2408</v>
      </c>
      <c r="S215" s="112" t="s">
        <v>2409</v>
      </c>
      <c r="T215" s="113" t="s">
        <v>2410</v>
      </c>
      <c r="U215" s="49" t="s">
        <v>2411</v>
      </c>
      <c r="V215" s="66" t="s">
        <v>2412</v>
      </c>
      <c r="W215" s="54" t="s">
        <v>2413</v>
      </c>
      <c r="X215" s="54" t="s">
        <v>2414</v>
      </c>
      <c r="Y215" s="110" t="s">
        <v>2415</v>
      </c>
      <c r="Z215" s="108" t="s">
        <v>2416</v>
      </c>
      <c r="AA215" s="109" t="s">
        <v>64</v>
      </c>
      <c r="AB215" s="54"/>
      <c r="AC215" s="56"/>
      <c r="AD215" s="46"/>
      <c r="AE215" s="54"/>
      <c r="AF215" s="55"/>
      <c r="AG215" s="56"/>
      <c r="AH215" s="56"/>
      <c r="AI215" s="55"/>
      <c r="AJ215" s="55"/>
      <c r="AK215" s="56"/>
      <c r="AL215" s="56"/>
      <c r="AM215" s="47"/>
      <c r="AN215" s="62" t="s">
        <v>39</v>
      </c>
      <c r="AO215" s="57" t="s">
        <v>40</v>
      </c>
      <c r="AP215" s="58" t="str">
        <f t="shared" si="6"/>
        <v>Nyos r.s.p. s.r.o. cistiace a upratovacie sluzby, dom a zahrada, stavebnictvo, reklama, nabytok a bytove doplnky, bizuteria a darcekove predmety, &amp;#32vsetky kategorie  071 01 Michalovce Nasa spolocnost realizuje baliace cinnosti, stavebnu cinnost, upratovacie prace a stolarsku vyrobu. Zamestnavame zranitelne a znevyhodnene osoby. NYOS r.s.p. s.r.o. Poskytujeme nasim obchodnym partnerom sluzby v baleni tovaru. zemne prace, stavebne prace, kosenie, upratovanie, drevovyroba,reklama           Register partnerov VS</v>
      </c>
      <c r="AQ215" s="37"/>
    </row>
    <row r="216" ht="15.75" customHeight="1">
      <c r="A216" s="43"/>
      <c r="B216" s="59">
        <v>228.0</v>
      </c>
      <c r="C216" s="75" t="s">
        <v>2417</v>
      </c>
      <c r="D216" s="42" t="s">
        <v>66</v>
      </c>
      <c r="E216" s="38" t="str">
        <f t="shared" si="1"/>
        <v>Žilinský kraj, &amp;#32celé Slovensko</v>
      </c>
      <c r="F216" s="42" t="s">
        <v>2418</v>
      </c>
      <c r="G216" s="38" t="str">
        <f t="shared" si="2"/>
        <v>čistiace a upratovacie služby, účtovníctvo a poradenstvo, elektro, dom a záhrada, &amp;#32všetky kategórie</v>
      </c>
      <c r="H216" s="42" t="s">
        <v>53</v>
      </c>
      <c r="I216" s="43" t="str">
        <f t="shared" si="3"/>
        <v>1 - 5, &amp;#32všetky možnosti</v>
      </c>
      <c r="J216" s="44" t="str">
        <f t="shared" si="7"/>
        <v>,,</v>
      </c>
      <c r="K216" s="45">
        <f t="shared" si="5"/>
        <v>33051.98354</v>
      </c>
      <c r="L216" s="43"/>
      <c r="M216" s="43" t="str">
        <f>IFERROR(__xludf.DUMMYFUNCTION("SPLIT(O216,"","")"),"Generála Fraňu 1122/1")</f>
        <v>Generála Fraňu 1122/1</v>
      </c>
      <c r="N216" s="43" t="str">
        <f>IFERROR(__xludf.DUMMYFUNCTION("""COMPUTED_VALUE""")," 038 53 Turany")</f>
        <v> 038 53 Turany</v>
      </c>
      <c r="O216" s="42" t="s">
        <v>2419</v>
      </c>
      <c r="P216" s="43">
        <v>49.1070153</v>
      </c>
      <c r="Q216" s="43">
        <v>19.0421726</v>
      </c>
      <c r="R216" s="56" t="s">
        <v>2420</v>
      </c>
      <c r="S216" s="112" t="s">
        <v>2421</v>
      </c>
      <c r="T216" s="113" t="s">
        <v>2422</v>
      </c>
      <c r="U216" s="49" t="s">
        <v>2423</v>
      </c>
      <c r="V216" s="66" t="s">
        <v>2424</v>
      </c>
      <c r="W216" s="54" t="s">
        <v>2425</v>
      </c>
      <c r="X216" s="54" t="s">
        <v>2426</v>
      </c>
      <c r="Y216" s="110" t="s">
        <v>2427</v>
      </c>
      <c r="Z216" s="108" t="s">
        <v>2428</v>
      </c>
      <c r="AA216" s="109" t="s">
        <v>64</v>
      </c>
      <c r="AB216" s="54"/>
      <c r="AC216" s="56"/>
      <c r="AD216" s="46"/>
      <c r="AE216" s="54"/>
      <c r="AF216" s="55"/>
      <c r="AG216" s="56"/>
      <c r="AH216" s="56"/>
      <c r="AI216" s="55"/>
      <c r="AJ216" s="55"/>
      <c r="AK216" s="56"/>
      <c r="AL216" s="56"/>
      <c r="AM216" s="34"/>
      <c r="AN216" s="55"/>
      <c r="AO216" s="64"/>
      <c r="AP216" s="58" t="str">
        <f t="shared" si="6"/>
        <v>P&amp;M house, s. r. o. cistiace a upratovacie sluzby, uctovnictvo a poradenstvo, elektro, dom a zahrada, &amp;#32vsetky kategorie  038 53 Turany P&amp;M house, s.r.o. ako integracny registrovany socialny podnik ma predovsetkym v zaujme vytvorit stabilne fungujucu spolocnost so zameranim na spektrum odbornych cinnosti, ktore garantuju vytvaranie pracovnych miest aj v pripade poklesu dopytu po niektorej z nich. 
 V sucasnosti sa spolocnost zameriava na tri okruhy poskytovania sluzieb, kazdu so zretelom na kvalitu a nalezite personalne obsadenie: 1. poradenska cinnost existujucim aj zacinajucim podnikatelom v oblasti personalneho manazmentu a v realitnej cinnosti,
 2. upratovacia cinnost,
 3. kompletna montaz elektroinstalacie v bytoch, domoch ci administrativnych budovach, inteligentne instalacie, kamerove systemy, revizie a i. Podmienku dosahovania pozitivneho socialneho vplyvu splname vyzvaranim pracovnych miest pre znevyhodnene osoby. P&amp;M house, s.r.o. RSP Ponukame poradensku cinnost pre zacinajucich aj existujucich podnikatelov, elektroinstalacne prace, upratovacie prace. poradenstvo, elektroinstalacia, upratovacia cinnost, podnikatelske poradenstvo, ekonomicke poradenstvo, personalne konzultacie, poradenstvo v realitnej cinnosti           </v>
      </c>
      <c r="AQ216" s="37"/>
    </row>
    <row r="217" ht="15.75" customHeight="1">
      <c r="A217" s="43"/>
      <c r="B217" s="59">
        <v>229.0</v>
      </c>
      <c r="C217" s="75" t="s">
        <v>2429</v>
      </c>
      <c r="D217" s="42" t="s">
        <v>66</v>
      </c>
      <c r="E217" s="38" t="str">
        <f t="shared" si="1"/>
        <v>Žilinský kraj, &amp;#32celé Slovensko</v>
      </c>
      <c r="F217" s="42" t="s">
        <v>2430</v>
      </c>
      <c r="G217" s="38" t="str">
        <f t="shared" si="2"/>
        <v>odevy a obuv, galantéria, &amp;#32všetky kategórie</v>
      </c>
      <c r="H217" s="42" t="s">
        <v>170</v>
      </c>
      <c r="I217" s="43" t="str">
        <f t="shared" si="3"/>
        <v>21 a viac, &amp;#32všetky možnosti</v>
      </c>
      <c r="J217" s="44" t="str">
        <f t="shared" si="7"/>
        <v>,Register partnerov VS,</v>
      </c>
      <c r="K217" s="45">
        <f t="shared" si="5"/>
        <v>15989.39499</v>
      </c>
      <c r="L217" s="43"/>
      <c r="M217" s="43" t="str">
        <f>IFERROR(__xludf.DUMMYFUNCTION("SPLIT(O217,"","")"),"Belanského 228")</f>
        <v>Belanského 228</v>
      </c>
      <c r="N217" s="43" t="str">
        <f>IFERROR(__xludf.DUMMYFUNCTION("""COMPUTED_VALUE""")," 024 01 Kysucké Nové Mesto")</f>
        <v> 024 01 Kysucké Nové Mesto</v>
      </c>
      <c r="O217" s="42" t="s">
        <v>2431</v>
      </c>
      <c r="P217" s="43">
        <v>49.3024942</v>
      </c>
      <c r="Q217" s="43">
        <v>18.7865201</v>
      </c>
      <c r="R217" s="56" t="s">
        <v>2432</v>
      </c>
      <c r="S217" s="112" t="s">
        <v>2433</v>
      </c>
      <c r="T217" s="113" t="s">
        <v>86</v>
      </c>
      <c r="U217" s="49" t="s">
        <v>2434</v>
      </c>
      <c r="V217" s="66" t="s">
        <v>2435</v>
      </c>
      <c r="W217" s="54" t="s">
        <v>2436</v>
      </c>
      <c r="X217" s="54" t="s">
        <v>2437</v>
      </c>
      <c r="Y217" s="46" t="s">
        <v>2438</v>
      </c>
      <c r="Z217" s="53" t="s">
        <v>2439</v>
      </c>
      <c r="AA217" s="114" t="s">
        <v>129</v>
      </c>
      <c r="AB217" s="54" t="s">
        <v>2440</v>
      </c>
      <c r="AC217" s="56" t="s">
        <v>2441</v>
      </c>
      <c r="AD217" s="46" t="s">
        <v>2442</v>
      </c>
      <c r="AE217" s="117" t="s">
        <v>129</v>
      </c>
      <c r="AF217" s="54" t="s">
        <v>2443</v>
      </c>
      <c r="AG217" s="46" t="s">
        <v>2444</v>
      </c>
      <c r="AH217" s="46" t="s">
        <v>2445</v>
      </c>
      <c r="AI217" s="118" t="s">
        <v>129</v>
      </c>
      <c r="AJ217" s="54" t="s">
        <v>2446</v>
      </c>
      <c r="AK217" s="46" t="s">
        <v>2441</v>
      </c>
      <c r="AL217" s="46" t="s">
        <v>2447</v>
      </c>
      <c r="AM217" s="47"/>
      <c r="AN217" s="62" t="s">
        <v>39</v>
      </c>
      <c r="AO217" s="64"/>
      <c r="AP217" s="58" t="str">
        <f t="shared" si="6"/>
        <v>LEAN EU, s.r.o. odevy a obuv, galanteria, &amp;#32vsetky kategorie  024 01 Kysucke Nove Mesto Sme obchodna spolocnost prevadzkujuca maloobchodne predajne s textilom a s obuvou. Vytvaranim pracovnych miest pre zdravotne znevyhodnene a zranitelne osoby. IKONNA Spodna Bielizen maloobchod s textilom a spodnou bieliznou pyzama, podprsenky, boxerky, zupany, plavky, domace oblecenie, tielka, spodky, nohavicky IKONNA Obuv Predajna s obuvou. znackova obuv, ponozky, opasky, penazenky, kabelky, galanteria IKONNA Predajna s textilom. teplaky, mikiny, bundy, svetre, tricka, rifle, capice, saly OBUV LEAN Predajna s obuvou. Obuv, kabelky, ponozky, pancusky, opasky, papuce, cistiace prostriedky, galanteria  Register partnerov VS</v>
      </c>
      <c r="AQ217" s="37"/>
    </row>
    <row r="218" ht="15.75" customHeight="1">
      <c r="A218" s="43"/>
      <c r="B218" s="59">
        <v>232.0</v>
      </c>
      <c r="C218" s="75" t="s">
        <v>2448</v>
      </c>
      <c r="D218" s="42" t="s">
        <v>80</v>
      </c>
      <c r="E218" s="38" t="str">
        <f t="shared" si="1"/>
        <v>Trnavský kraj, &amp;#32celé Slovensko</v>
      </c>
      <c r="F218" s="42" t="s">
        <v>2449</v>
      </c>
      <c r="G218" s="38" t="str">
        <f t="shared" si="2"/>
        <v>čistiace a upratovacie služby, vzdelávanie, účtovníctvo a poradenstvo, krása-zdravie-relax, odevy a obuv, ochrana a bezpečnosť, doprava, &amp;#32všetky kategórie</v>
      </c>
      <c r="H218" s="42" t="s">
        <v>82</v>
      </c>
      <c r="I218" s="43" t="str">
        <f t="shared" si="3"/>
        <v>11 - 15, &amp;#32všetky možnosti</v>
      </c>
      <c r="J218" s="44" t="str">
        <f t="shared" si="7"/>
        <v>,Register partnerov VS,Náhradné plnenie</v>
      </c>
      <c r="K218" s="45">
        <f t="shared" si="5"/>
        <v>17181.23967</v>
      </c>
      <c r="L218" s="43"/>
      <c r="M218" s="43" t="str">
        <f>IFERROR(__xludf.DUMMYFUNCTION("SPLIT(O218,"","")"),"Nitrianska 1837/5")</f>
        <v>Nitrianska 1837/5</v>
      </c>
      <c r="N218" s="43" t="str">
        <f>IFERROR(__xludf.DUMMYFUNCTION("""COMPUTED_VALUE""")," 921 01 Piešťany")</f>
        <v> 921 01 Piešťany</v>
      </c>
      <c r="O218" s="42" t="s">
        <v>2450</v>
      </c>
      <c r="P218" s="43">
        <v>48.5885413</v>
      </c>
      <c r="Q218" s="43">
        <v>17.8340025</v>
      </c>
      <c r="R218" s="56" t="s">
        <v>2451</v>
      </c>
      <c r="S218" s="112" t="s">
        <v>2452</v>
      </c>
      <c r="T218" s="113" t="s">
        <v>86</v>
      </c>
      <c r="U218" s="49" t="s">
        <v>2453</v>
      </c>
      <c r="V218" s="66" t="s">
        <v>2454</v>
      </c>
      <c r="W218" s="54" t="s">
        <v>2455</v>
      </c>
      <c r="X218" s="54" t="s">
        <v>2456</v>
      </c>
      <c r="Y218" s="110" t="s">
        <v>2457</v>
      </c>
      <c r="Z218" s="108" t="s">
        <v>2458</v>
      </c>
      <c r="AA218" s="109" t="s">
        <v>64</v>
      </c>
      <c r="AB218" s="54"/>
      <c r="AC218" s="56"/>
      <c r="AD218" s="46"/>
      <c r="AE218" s="54"/>
      <c r="AF218" s="55"/>
      <c r="AG218" s="56"/>
      <c r="AH218" s="56"/>
      <c r="AI218" s="55"/>
      <c r="AJ218" s="55"/>
      <c r="AK218" s="56"/>
      <c r="AL218" s="56"/>
      <c r="AM218" s="47"/>
      <c r="AN218" s="62" t="s">
        <v>39</v>
      </c>
      <c r="AO218" s="57" t="s">
        <v>40</v>
      </c>
      <c r="AP218" s="58" t="str">
        <f t="shared" si="6"/>
        <v>Helpo. s. r. o. cistiace a upratovacie sluzby, vzdelavanie, uctovnictvo a poradenstvo, krasa-zdravie-relax, odevy a obuv, ochrana a bezpecnost, doprava, &amp;#32vsetky kategorie  921 01 Piestany Nasim klientom ponukame povinne sustavne vzdelavanie zdravotnickych pracovnikov (Neodkladna podpora zivotnych funkcii), akreditovane kurzy prvej pomoci zamerane pre laicku verejnost, ako aj kurzy BOZP a poziarnej ochrany. Je mozne si u nas objednat sluzby cistenia priestorov ozonom. Poskytujeme sluzby v oblasti uctovnictva, ktore vykonavaju vyhradne zdravotne znevyhodnene osoby. A v neposlednom rade prevadzkujeme e-shop https://prvapomoc.online/, kde je mozne zakupit si rozne pomocky a vybavenie pre zachranarov, zdravotnikov i laicku verejnost a pracovne odevy - www.pracovneodevy.online. Poskytujeme poradenstvo v oblasti zdravej vyzivy. Vzdelavame asistentov/opatrovatelov zdravotne znevyhodnenych osob, zamestnavame vyhradne zdravotne a socialne znevyhodnene osoby, ktorym pomahame uplatnit sa na trhu prace bez diskriminacie. Pre nasich zamestnancov a ich rodinnych prislusnikov, nasich zakaznikov, pre dobrovolnikov a zachranne zlozky vykonavame Antigenove a PCR testy na Covid-19. Helpo. s.r.o. Povinne vzdelavanie zdravotnickych pracovnikov, akreditovane kurzy prvej pomoci zamerane pre laicku verejnost, kurzy BOZP a PO. Je mozne si u nas objednat sluzby cistenia priestorov ozonom. Poskytujeme tiez sluzby v oblasti uctovnictva, ktore vykonavaju vyhradne zdravotne znevyhodnene osoby. Prevadzkujeme e-shop https://prvapomoc.online/, kde je mozne zakupit si rozne pomocky a vybavenie pre zachranarov, zdravotnikov i laicku verejnost a pracovne odevy - www.pracovneodevy.online. Poskytujeme poradenstvo v oblasti zdravej vyzivy. Vzdelavanie, Skolenie, Prva pomoc, Ozonovanie, Uctovanie, Poradenstvo, Dezinfekcia, Brasne, Batohy, Lekarnicky, Odev, Obuv, Rukavice, Defibrilator, Fonendoskop, Teplomer, Tlakomer, Odsavacka, Figurina, Dlaha, Noznice, Ihla, Striekacka, Kanyla, Obvaz, Rukavice, BOZP, socialny taxik, covid testy           Register partnerov VS</v>
      </c>
      <c r="AQ218" s="37"/>
    </row>
    <row r="219" ht="15.75" customHeight="1">
      <c r="A219" s="43"/>
      <c r="B219" s="59">
        <v>233.0</v>
      </c>
      <c r="C219" s="75" t="s">
        <v>2459</v>
      </c>
      <c r="D219" s="42" t="s">
        <v>80</v>
      </c>
      <c r="E219" s="38" t="str">
        <f t="shared" si="1"/>
        <v>Trnavský kraj, &amp;#32celé Slovensko</v>
      </c>
      <c r="F219" s="42" t="s">
        <v>2460</v>
      </c>
      <c r="G219" s="38" t="str">
        <f t="shared" si="2"/>
        <v>vzdelávanie, reklama, obaly, iné (tovary a služby), &amp;#32všetky kategórie</v>
      </c>
      <c r="H219" s="42" t="s">
        <v>82</v>
      </c>
      <c r="I219" s="43" t="str">
        <f t="shared" si="3"/>
        <v>11 - 15, &amp;#32všetky možnosti</v>
      </c>
      <c r="J219" s="44" t="str">
        <f t="shared" si="7"/>
        <v>,Register partnerov VS,Náhradné plnenie</v>
      </c>
      <c r="K219" s="45">
        <f t="shared" si="5"/>
        <v>36558.02414</v>
      </c>
      <c r="L219" s="43"/>
      <c r="M219" s="43" t="str">
        <f>IFERROR(__xludf.DUMMYFUNCTION("SPLIT(O219,"","")"),"Štúrova 423/1")</f>
        <v>Štúrova 423/1</v>
      </c>
      <c r="N219" s="43" t="str">
        <f>IFERROR(__xludf.DUMMYFUNCTION("""COMPUTED_VALUE""")," 920 42 Červeník")</f>
        <v> 920 42 Červeník</v>
      </c>
      <c r="O219" s="42" t="s">
        <v>2461</v>
      </c>
      <c r="P219" s="43">
        <v>48.4610745</v>
      </c>
      <c r="Q219" s="43">
        <v>17.7594841</v>
      </c>
      <c r="R219" s="56" t="s">
        <v>2462</v>
      </c>
      <c r="S219" s="112" t="s">
        <v>2463</v>
      </c>
      <c r="T219" s="113" t="s">
        <v>2464</v>
      </c>
      <c r="U219" s="49" t="s">
        <v>2465</v>
      </c>
      <c r="V219" s="66" t="s">
        <v>2466</v>
      </c>
      <c r="W219" s="54" t="s">
        <v>2467</v>
      </c>
      <c r="X219" s="54" t="s">
        <v>2468</v>
      </c>
      <c r="Y219" s="110" t="s">
        <v>2469</v>
      </c>
      <c r="Z219" s="108" t="s">
        <v>2470</v>
      </c>
      <c r="AA219" s="109" t="s">
        <v>64</v>
      </c>
      <c r="AB219" s="54"/>
      <c r="AC219" s="56"/>
      <c r="AD219" s="46"/>
      <c r="AE219" s="54"/>
      <c r="AF219" s="55"/>
      <c r="AG219" s="56"/>
      <c r="AH219" s="56"/>
      <c r="AI219" s="55"/>
      <c r="AJ219" s="55"/>
      <c r="AK219" s="56"/>
      <c r="AL219" s="56"/>
      <c r="AM219" s="47"/>
      <c r="AN219" s="62" t="s">
        <v>39</v>
      </c>
      <c r="AO219" s="57" t="s">
        <v>40</v>
      </c>
      <c r="AP219" s="58" t="str">
        <f t="shared" si="6"/>
        <v>ALACARTE s. r. o. vzdelavanie, reklama, obaly, ine (tovary a sluzby), &amp;#32vsetky kategorie  920 42 Cervenik Spolocnost ALACARTE je digitalna agentura poskytujuca siroke spektrum sluzieb online a offline marketingu a reklam. Kompletne portfolio sluzieb:
 - PPC reklamy,
 - Goodle ADS,
 - kompletna sprava socialnych sieti,
 - tvorba web stranok a e-shopov (od jednoduchsich az po komplet custom riesenia),
 - graficke sluzby (tvorba grafik rozneho druhu, loga na mieru, uprava fotografii aj na reklamne ucely),
 - videotvorba (priprava reklamnych spotov, prezentacnych videi, strih, komentare),
 - poradenstvo ohladom marketingu, zakladania spolocnosti, r.s.p., spracovanie agendy,
 - tlacovy servis, digitalna tlac, razenie, frezovanie, laser, velkoformatova tlac, reklamne plachty, tabule, kamionove plachty, samolepiace folie (instalacia, lepenie), brozury, knizna vazba, laminovanie,
 - vyroba a sitie reklamnych odevov na zakazku (konfekcia aj pracovne odevy), sietotlac aj vysivky
 - tvorba aplikacii na mieru podla poziadaviek klienta, kompletna sprava, navrh, nastavenie mobilnych aj webovych aplikacii. Spolocnost si dala za hlavnu ulohu naplnanie socialneho charakteru v maximalnej moznej miere. Aktualny pocet zamestnancov so zdravotnym znevyhodnenim tvori viac ako 80%. ALACARTE s.r.o., r.s.p. Tlacovy servis, vyroba reklamnych triciek a odevov, kompletna ponuka sluzieb socialneho podniku. tlac, reklama, marketing, tvorba web stranok, sitie, polepy, socialne siete, reklamna tabula, aplikacie, poradenstvo, PPC, google ADS, digitalna agentura, online marketing, offline marketing, videotvorba, marketingove poradenstvo, graficke sluzby, reklamny textil           Register partnerov VS</v>
      </c>
      <c r="AQ219" s="37"/>
    </row>
    <row r="220" ht="15.75" customHeight="1">
      <c r="A220" s="43"/>
      <c r="B220" s="59">
        <v>234.0</v>
      </c>
      <c r="C220" s="75" t="s">
        <v>2471</v>
      </c>
      <c r="D220" s="42" t="s">
        <v>80</v>
      </c>
      <c r="E220" s="38" t="str">
        <f t="shared" si="1"/>
        <v>Trnavský kraj, &amp;#32celé Slovensko</v>
      </c>
      <c r="F220" s="42" t="s">
        <v>723</v>
      </c>
      <c r="G220" s="38" t="str">
        <f t="shared" si="2"/>
        <v>čistiace a upratovacie služby, &amp;#32všetky kategórie</v>
      </c>
      <c r="H220" s="42" t="s">
        <v>53</v>
      </c>
      <c r="I220" s="43" t="str">
        <f t="shared" si="3"/>
        <v>1 - 5, &amp;#32všetky možnosti</v>
      </c>
      <c r="J220" s="44" t="str">
        <f t="shared" si="7"/>
        <v>,,Náhradné plnenie</v>
      </c>
      <c r="K220" s="45">
        <f t="shared" si="5"/>
        <v>24014.74182</v>
      </c>
      <c r="L220" s="43"/>
      <c r="M220" s="43" t="str">
        <f>IFERROR(__xludf.DUMMYFUNCTION("SPLIT(O220,"","")"),"SNP 289/8")</f>
        <v>SNP 289/8</v>
      </c>
      <c r="N220" s="43" t="str">
        <f>IFERROR(__xludf.DUMMYFUNCTION("""COMPUTED_VALUE""")," 922 03 Vrbové")</f>
        <v> 922 03 Vrbové</v>
      </c>
      <c r="O220" s="42" t="s">
        <v>2472</v>
      </c>
      <c r="P220" s="43">
        <v>48.6222985</v>
      </c>
      <c r="Q220" s="43">
        <v>17.7239971</v>
      </c>
      <c r="R220" s="56" t="s">
        <v>2473</v>
      </c>
      <c r="S220" s="112" t="s">
        <v>2474</v>
      </c>
      <c r="T220" s="113" t="s">
        <v>2475</v>
      </c>
      <c r="U220" s="49" t="s">
        <v>2476</v>
      </c>
      <c r="V220" s="66" t="s">
        <v>2477</v>
      </c>
      <c r="W220" s="54" t="s">
        <v>2478</v>
      </c>
      <c r="X220" s="54" t="s">
        <v>2479</v>
      </c>
      <c r="Y220" s="110" t="s">
        <v>2480</v>
      </c>
      <c r="Z220" s="108" t="s">
        <v>2481</v>
      </c>
      <c r="AA220" s="109" t="s">
        <v>64</v>
      </c>
      <c r="AB220" s="54"/>
      <c r="AC220" s="56"/>
      <c r="AD220" s="46"/>
      <c r="AE220" s="54"/>
      <c r="AF220" s="55"/>
      <c r="AG220" s="56"/>
      <c r="AH220" s="56"/>
      <c r="AI220" s="55"/>
      <c r="AJ220" s="55"/>
      <c r="AK220" s="56"/>
      <c r="AL220" s="56"/>
      <c r="AM220" s="34"/>
      <c r="AN220" s="55"/>
      <c r="AO220" s="57" t="s">
        <v>40</v>
      </c>
      <c r="AP220" s="58" t="str">
        <f t="shared" si="6"/>
        <v>DH facility services, s. r. o. cistiace a upratovacie sluzby, &amp;#32vsetky kategorie  922 03 Vrbove Socialny podnik DH facility services s.r.o. je spolahlivym partnerom, ktory poskytuje komplexne sluzby. S celoslovenskou posobnostou ponukame klientom roznorode upratovacie sluzby, medzi ktore patri napriklad upratovanie kancelarii, ci spolocnych priestorov administrativnych budov. Venujeme sa vsak i upratovaniu skladovych priestorov. Ak teda hladate spolocnost, ktora Vam zabezpeci upratovanie, ste tu spravne.
 S nasimi vysoko profesionalnymi sluzbami budete nadmieru spokojni, pretoze sa postarame o vsetko, co v ramci spravy budov a ich upratovania potrebujete. V pripade zaujmu o upratovacie sluzby nas nevahajte kontaktovat. Zamestnavame osoby znevyhodne na trhu prace. DH facility services, s.r.o. Cistiace a upratovacie sluzby. Cistiace a upratovacie sluzby           </v>
      </c>
      <c r="AQ220" s="37"/>
    </row>
    <row r="221" ht="15.75" customHeight="1">
      <c r="A221" s="43"/>
      <c r="B221" s="59">
        <v>235.0</v>
      </c>
      <c r="C221" s="75" t="s">
        <v>2482</v>
      </c>
      <c r="D221" s="42" t="s">
        <v>94</v>
      </c>
      <c r="E221" s="38" t="str">
        <f t="shared" si="1"/>
        <v>Bratislavský kraj, &amp;#32celé Slovensko</v>
      </c>
      <c r="F221" s="42" t="s">
        <v>244</v>
      </c>
      <c r="G221" s="38" t="str">
        <f t="shared" si="2"/>
        <v>potraviny a nápoje, &amp;#32všetky kategórie</v>
      </c>
      <c r="H221" s="42" t="s">
        <v>53</v>
      </c>
      <c r="I221" s="43" t="str">
        <f t="shared" si="3"/>
        <v>1 - 5, &amp;#32všetky možnosti</v>
      </c>
      <c r="J221" s="44" t="str">
        <f t="shared" si="7"/>
        <v>,,</v>
      </c>
      <c r="K221" s="45">
        <f t="shared" si="5"/>
        <v>5478.215512</v>
      </c>
      <c r="L221" s="43"/>
      <c r="M221" s="43" t="str">
        <f>IFERROR(__xludf.DUMMYFUNCTION("SPLIT(O221,"","")"),"Tallerova 4")</f>
        <v>Tallerova 4</v>
      </c>
      <c r="N221" s="43" t="str">
        <f>IFERROR(__xludf.DUMMYFUNCTION("""COMPUTED_VALUE""")," 811 02 Bratislava")</f>
        <v> 811 02 Bratislava</v>
      </c>
      <c r="O221" s="42" t="s">
        <v>2483</v>
      </c>
      <c r="P221" s="43">
        <v>48.1417685</v>
      </c>
      <c r="Q221" s="43">
        <v>17.1139128</v>
      </c>
      <c r="R221" s="56" t="s">
        <v>2484</v>
      </c>
      <c r="S221" s="112" t="s">
        <v>2485</v>
      </c>
      <c r="T221" s="113" t="s">
        <v>2486</v>
      </c>
      <c r="U221" s="49" t="s">
        <v>2487</v>
      </c>
      <c r="V221" s="66" t="s">
        <v>2488</v>
      </c>
      <c r="W221" s="54" t="s">
        <v>2489</v>
      </c>
      <c r="X221" s="54" t="s">
        <v>2490</v>
      </c>
      <c r="Y221" s="110" t="s">
        <v>2491</v>
      </c>
      <c r="Z221" s="108" t="s">
        <v>2492</v>
      </c>
      <c r="AA221" s="109" t="s">
        <v>64</v>
      </c>
      <c r="AB221" s="54"/>
      <c r="AC221" s="56"/>
      <c r="AD221" s="46"/>
      <c r="AE221" s="54"/>
      <c r="AF221" s="55"/>
      <c r="AG221" s="56"/>
      <c r="AH221" s="56"/>
      <c r="AI221" s="55"/>
      <c r="AJ221" s="55"/>
      <c r="AK221" s="56"/>
      <c r="AL221" s="56"/>
      <c r="AM221" s="34"/>
      <c r="AN221" s="55"/>
      <c r="AO221" s="64"/>
      <c r="AP221" s="58" t="str">
        <f t="shared" si="6"/>
        <v>SERIOUS COFFEE s.r.o. potraviny a napoje, &amp;#32vsetky kategorie  811 02 Bratislava Praziaren vyberovej kavy. Percentom zamestnanych znevyhodnenych a zranitelnych osob. Serious Coffee s.r.o. Praziaren kavy. kava, prazenie kavy           </v>
      </c>
      <c r="AQ221" s="37"/>
    </row>
    <row r="222" ht="15.75" customHeight="1">
      <c r="A222" s="43"/>
      <c r="B222" s="59">
        <v>236.0</v>
      </c>
      <c r="C222" s="75" t="s">
        <v>2493</v>
      </c>
      <c r="D222" s="42" t="s">
        <v>181</v>
      </c>
      <c r="E222" s="38" t="str">
        <f t="shared" si="1"/>
        <v>Banskobystrický kraj, &amp;#32celé Slovensko</v>
      </c>
      <c r="F222" s="42" t="s">
        <v>2494</v>
      </c>
      <c r="G222" s="38" t="str">
        <f t="shared" si="2"/>
        <v>čistiace a upratovacie služby, ochrana a bezpečnosť, &amp;#32všetky kategórie</v>
      </c>
      <c r="H222" s="42" t="s">
        <v>170</v>
      </c>
      <c r="I222" s="43" t="str">
        <f t="shared" si="3"/>
        <v>21 a viac, &amp;#32všetky možnosti</v>
      </c>
      <c r="J222" s="44" t="str">
        <f t="shared" si="7"/>
        <v>,Register partnerov VS,Náhradné plnenie</v>
      </c>
      <c r="K222" s="45">
        <f t="shared" si="5"/>
        <v>15966.58863</v>
      </c>
      <c r="L222" s="43"/>
      <c r="M222" s="43" t="str">
        <f>IFERROR(__xludf.DUMMYFUNCTION("SPLIT(O222,"","")"),"Lieskovská cesta 6")</f>
        <v>Lieskovská cesta 6</v>
      </c>
      <c r="N222" s="43" t="str">
        <f>IFERROR(__xludf.DUMMYFUNCTION("""COMPUTED_VALUE""")," 960 01 Zvolen")</f>
        <v> 960 01 Zvolen</v>
      </c>
      <c r="O222" s="42" t="s">
        <v>2495</v>
      </c>
      <c r="P222" s="43">
        <v>48.5753458</v>
      </c>
      <c r="Q222" s="43">
        <v>19.1520412</v>
      </c>
      <c r="R222" s="56" t="s">
        <v>2496</v>
      </c>
      <c r="S222" s="112" t="s">
        <v>2497</v>
      </c>
      <c r="T222" s="113" t="s">
        <v>86</v>
      </c>
      <c r="U222" s="49" t="s">
        <v>2498</v>
      </c>
      <c r="V222" s="66" t="s">
        <v>2499</v>
      </c>
      <c r="W222" s="54" t="s">
        <v>2500</v>
      </c>
      <c r="X222" s="54" t="s">
        <v>2493</v>
      </c>
      <c r="Y222" s="110" t="s">
        <v>2496</v>
      </c>
      <c r="Z222" s="108" t="s">
        <v>2501</v>
      </c>
      <c r="AA222" s="109" t="s">
        <v>64</v>
      </c>
      <c r="AB222" s="54"/>
      <c r="AC222" s="56"/>
      <c r="AD222" s="46"/>
      <c r="AE222" s="54"/>
      <c r="AF222" s="55"/>
      <c r="AG222" s="56"/>
      <c r="AH222" s="56"/>
      <c r="AI222" s="55"/>
      <c r="AJ222" s="55"/>
      <c r="AK222" s="56"/>
      <c r="AL222" s="56"/>
      <c r="AM222" s="47"/>
      <c r="AN222" s="62" t="s">
        <v>39</v>
      </c>
      <c r="AO222" s="57" t="s">
        <v>40</v>
      </c>
      <c r="AP222" s="58" t="str">
        <f t="shared" si="6"/>
        <v>AMG Security s.r.o. cistiace a upratovacie sluzby, ochrana a bezpecnost, &amp;#32vsetky kategorie  960 01 Zvolen Bezpecnostne a upratovacie sluzby. Vytvarame pracovne podmienky pre zamestnavanie znevyhodnenych zamestnancov a ich plnohodnotne zaclenenie do pracovneho procesu. AMG Security s.r.o. Bezpecnostne a upratovacie sluzby. ochrana, bezpecnost, strazenie, SBS, strazna sluzba, upratovanie, cistenie, dezinfekcia, technicka sprava budov           Register partnerov VS</v>
      </c>
      <c r="AQ222" s="37"/>
    </row>
    <row r="223" ht="15.75" customHeight="1">
      <c r="A223" s="43"/>
      <c r="B223" s="59">
        <v>237.0</v>
      </c>
      <c r="C223" s="75" t="s">
        <v>2502</v>
      </c>
      <c r="D223" s="42" t="s">
        <v>80</v>
      </c>
      <c r="E223" s="38" t="str">
        <f t="shared" si="1"/>
        <v>Trnavský kraj, &amp;#32celé Slovensko</v>
      </c>
      <c r="F223" s="42" t="s">
        <v>258</v>
      </c>
      <c r="G223" s="38" t="str">
        <f t="shared" si="2"/>
        <v>odevy a obuv, &amp;#32všetky kategórie</v>
      </c>
      <c r="H223" s="42" t="s">
        <v>53</v>
      </c>
      <c r="I223" s="43" t="str">
        <f t="shared" si="3"/>
        <v>1 - 5, &amp;#32všetky možnosti</v>
      </c>
      <c r="J223" s="44" t="str">
        <f t="shared" si="7"/>
        <v>,,</v>
      </c>
      <c r="K223" s="45">
        <f t="shared" si="5"/>
        <v>19464.82562</v>
      </c>
      <c r="L223" s="43"/>
      <c r="M223" s="43" t="str">
        <f>IFERROR(__xludf.DUMMYFUNCTION("SPLIT(O223,"","")"),"Hospodárska 96")</f>
        <v>Hospodárska 96</v>
      </c>
      <c r="N223" s="43" t="str">
        <f>IFERROR(__xludf.DUMMYFUNCTION("""COMPUTED_VALUE""")," 917 01 Trnava")</f>
        <v> 917 01 Trnava</v>
      </c>
      <c r="O223" s="42" t="s">
        <v>2503</v>
      </c>
      <c r="P223" s="43">
        <v>48.3797936</v>
      </c>
      <c r="Q223" s="43">
        <v>17.5798899</v>
      </c>
      <c r="R223" s="56" t="s">
        <v>2504</v>
      </c>
      <c r="S223" s="112" t="s">
        <v>2505</v>
      </c>
      <c r="T223" s="113" t="s">
        <v>2506</v>
      </c>
      <c r="U223" s="49" t="s">
        <v>2507</v>
      </c>
      <c r="V223" s="66" t="s">
        <v>2508</v>
      </c>
      <c r="W223" s="54" t="s">
        <v>2509</v>
      </c>
      <c r="X223" s="54" t="s">
        <v>2510</v>
      </c>
      <c r="Y223" s="110" t="s">
        <v>2511</v>
      </c>
      <c r="Z223" s="108" t="s">
        <v>2512</v>
      </c>
      <c r="AA223" s="109" t="s">
        <v>64</v>
      </c>
      <c r="AB223" s="54"/>
      <c r="AC223" s="56"/>
      <c r="AD223" s="46"/>
      <c r="AE223" s="54"/>
      <c r="AF223" s="55"/>
      <c r="AG223" s="56"/>
      <c r="AH223" s="56"/>
      <c r="AI223" s="55"/>
      <c r="AJ223" s="55"/>
      <c r="AK223" s="56"/>
      <c r="AL223" s="56"/>
      <c r="AM223" s="34"/>
      <c r="AN223" s="55"/>
      <c r="AO223" s="64"/>
      <c r="AP223" s="58" t="str">
        <f t="shared" si="6"/>
        <v>Zandrea, s. r. o. odevy a obuv, &amp;#32vsetky kategorie  917 01 Trnava Siroka ponuka second hand textilu a obuvi. Zamestnavame zdravotne znevyhodnenych ludi. Good secatch Ponukame second hand textil a obuv pre damy i panov. Pansky a damsky textil, zimne a prechodne bundy, riflove bundy, rifle, damske a panske nohavice, flanelove kosele, saka, vesty, leginy, bluzky a sukne, letne a zimne saty i sukne, XXL tovar, zimlu, letnu a sportovu obuv, kabelky, prestieradla, navliecky, deky, spodne pradlo damske i panske, plysove hracky           </v>
      </c>
      <c r="AQ223" s="37"/>
    </row>
    <row r="224" ht="15.75" customHeight="1">
      <c r="A224" s="43"/>
      <c r="B224" s="59">
        <v>238.0</v>
      </c>
      <c r="C224" s="75" t="s">
        <v>2513</v>
      </c>
      <c r="D224" s="42" t="s">
        <v>51</v>
      </c>
      <c r="E224" s="38" t="str">
        <f t="shared" si="1"/>
        <v>Prešovský kraj, &amp;#32celé Slovensko</v>
      </c>
      <c r="F224" s="42" t="s">
        <v>2514</v>
      </c>
      <c r="G224" s="38" t="str">
        <f t="shared" si="2"/>
        <v>krása-zdravie-relax, bižutéria a darčekové predmety, iné (tovary a služby), &amp;#32všetky kategórie</v>
      </c>
      <c r="H224" s="42" t="s">
        <v>53</v>
      </c>
      <c r="I224" s="43" t="str">
        <f t="shared" si="3"/>
        <v>1 - 5, &amp;#32všetky možnosti</v>
      </c>
      <c r="J224" s="44" t="str">
        <f t="shared" si="7"/>
        <v>,Register partnerov VS,Náhradné plnenie</v>
      </c>
      <c r="K224" s="45">
        <f t="shared" si="5"/>
        <v>16826.69014</v>
      </c>
      <c r="L224" s="43"/>
      <c r="M224" s="43" t="str">
        <f>IFERROR(__xludf.DUMMYFUNCTION("SPLIT(O224,"","")"),"Topoľa 102")</f>
        <v>Topoľa 102</v>
      </c>
      <c r="N224" s="43" t="str">
        <f>IFERROR(__xludf.DUMMYFUNCTION("""COMPUTED_VALUE""")," 067 65 Topoľa")</f>
        <v> 067 65 Topoľa</v>
      </c>
      <c r="O224" s="42" t="s">
        <v>2515</v>
      </c>
      <c r="P224" s="43">
        <v>49.0432309</v>
      </c>
      <c r="Q224" s="43">
        <v>22.3560876</v>
      </c>
      <c r="R224" s="56" t="s">
        <v>2516</v>
      </c>
      <c r="S224" s="112" t="s">
        <v>2517</v>
      </c>
      <c r="T224" s="113" t="s">
        <v>2518</v>
      </c>
      <c r="U224" s="49" t="s">
        <v>2519</v>
      </c>
      <c r="V224" s="66" t="s">
        <v>2520</v>
      </c>
      <c r="W224" s="54" t="s">
        <v>2521</v>
      </c>
      <c r="X224" s="54" t="s">
        <v>2522</v>
      </c>
      <c r="Y224" s="110" t="s">
        <v>2523</v>
      </c>
      <c r="Z224" s="108" t="s">
        <v>2524</v>
      </c>
      <c r="AA224" s="109" t="s">
        <v>64</v>
      </c>
      <c r="AB224" s="54"/>
      <c r="AC224" s="56"/>
      <c r="AD224" s="46"/>
      <c r="AE224" s="54"/>
      <c r="AF224" s="55"/>
      <c r="AG224" s="56"/>
      <c r="AH224" s="56"/>
      <c r="AI224" s="55"/>
      <c r="AJ224" s="55"/>
      <c r="AK224" s="56"/>
      <c r="AL224" s="56"/>
      <c r="AM224" s="47"/>
      <c r="AN224" s="62" t="s">
        <v>39</v>
      </c>
      <c r="AO224" s="57" t="s">
        <v>40</v>
      </c>
      <c r="AP224" s="58" t="str">
        <f t="shared" si="6"/>
        <v>KALUSO s.r.o. krasa-zdravie-relax, bizuteria a darcekove predmety, ine (tovary a sluzby), &amp;#32vsetky kategorie  067 65 Topola Podnik sa zaobera predajom zdravotnickych a kompenzacnych pomocok, vyrobou sviecok, darcekovych predmetov z vosku. Nase produkty, vyrobky a tovar si moze zadovazit ktokolvek, kto dba o svoje zdravie alebo chce prekvapit darcekom svoje okolie. Pozitivny socialny vplyv dosahujeme zamestnavanim osob so zdravotnym znevyhodnenim. VZP KA-MA V prevadzkarni je k dispozicii siroka ponuka rehabilitacnych pomocok. V pripade potreby nasi konzultanti dokazu predviest iste pomocky aj u zakaznika. Zdravotnicke pomocky, pridavne pohony, invalidne voziky, sviecky, darcekove balenia           Register partnerov VS</v>
      </c>
      <c r="AQ224" s="37"/>
    </row>
    <row r="225" ht="15.75" customHeight="1">
      <c r="A225" s="43"/>
      <c r="B225" s="59">
        <v>239.0</v>
      </c>
      <c r="C225" s="75" t="s">
        <v>2525</v>
      </c>
      <c r="D225" s="42" t="s">
        <v>181</v>
      </c>
      <c r="E225" s="38" t="str">
        <f t="shared" si="1"/>
        <v>Banskobystrický kraj, &amp;#32celé Slovensko</v>
      </c>
      <c r="F225" s="42" t="s">
        <v>2526</v>
      </c>
      <c r="G225" s="38" t="str">
        <f t="shared" si="2"/>
        <v>účtovníctvo a poradenstvo, iné (tovary a služby), &amp;#32všetky kategórie</v>
      </c>
      <c r="H225" s="42" t="s">
        <v>53</v>
      </c>
      <c r="I225" s="43" t="str">
        <f t="shared" si="3"/>
        <v>1 - 5, &amp;#32všetky možnosti</v>
      </c>
      <c r="J225" s="44" t="str">
        <f t="shared" si="7"/>
        <v>,,</v>
      </c>
      <c r="K225" s="45">
        <f t="shared" si="5"/>
        <v>5695.279583</v>
      </c>
      <c r="L225" s="43"/>
      <c r="M225" s="43" t="str">
        <f>IFERROR(__xludf.DUMMYFUNCTION("SPLIT(O225,"","")"),"Medený Hámor 15")</f>
        <v>Medený Hámor 15</v>
      </c>
      <c r="N225" s="43" t="str">
        <f>IFERROR(__xludf.DUMMYFUNCTION("""COMPUTED_VALUE""")," 974 01 Banská Bystrica")</f>
        <v> 974 01 Banská Bystrica</v>
      </c>
      <c r="O225" s="42" t="s">
        <v>2527</v>
      </c>
      <c r="P225" s="43">
        <v>48.7470392</v>
      </c>
      <c r="Q225" s="43">
        <v>19.1399767</v>
      </c>
      <c r="R225" s="56" t="s">
        <v>2528</v>
      </c>
      <c r="S225" s="112" t="s">
        <v>2529</v>
      </c>
      <c r="T225" s="113" t="s">
        <v>86</v>
      </c>
      <c r="U225" s="49" t="s">
        <v>2530</v>
      </c>
      <c r="V225" s="66" t="s">
        <v>2531</v>
      </c>
      <c r="W225" s="54" t="s">
        <v>2532</v>
      </c>
      <c r="X225" s="54" t="s">
        <v>2533</v>
      </c>
      <c r="Y225" s="110" t="s">
        <v>2534</v>
      </c>
      <c r="Z225" s="108" t="s">
        <v>2535</v>
      </c>
      <c r="AA225" s="109" t="s">
        <v>64</v>
      </c>
      <c r="AB225" s="54"/>
      <c r="AC225" s="56"/>
      <c r="AD225" s="46"/>
      <c r="AE225" s="54"/>
      <c r="AF225" s="55"/>
      <c r="AG225" s="56"/>
      <c r="AH225" s="56"/>
      <c r="AI225" s="55"/>
      <c r="AJ225" s="55"/>
      <c r="AK225" s="56"/>
      <c r="AL225" s="56"/>
      <c r="AM225" s="34"/>
      <c r="AN225" s="55"/>
      <c r="AO225" s="64"/>
      <c r="AP225" s="58" t="str">
        <f t="shared" si="6"/>
        <v>BPM AREA SK s. r. o. uctovnictvo a poradenstvo, ine (tovary a sluzby), &amp;#32vsetky kategorie  974 01 Banska Bystrica Spolocnost poskytuje pocitacove sluzby a sluzby suvisiace s pocitacovym spracovanim udajov. Pod touto cinnostou podnik realizuje vyvoj, prevadzku a poskytovanie sluzieb v oblasti informacnych technologii, spracovanie ekonomickych, obchodnych, logistickych a inych dat vratane vedenia a spracovania uctovnictva. Spolocnost zamestnava vysoky podiel znevyhodnenych pracovnikov. Ide najma o integraciu osob s istym zdravotnym znevyhodnenim, ale aj inak znevyhodnene osoby. BPM AREA SK s.r.o. Spolocnost poskytuje komplexne sluzby v oblasti informacnych technologii a spracovania dat. vyvoj, programovanie, data, software, SW, grafika, web, online, uctovnictvo a poradenstvo           </v>
      </c>
      <c r="AQ225" s="37"/>
    </row>
    <row r="226" ht="15.75" customHeight="1">
      <c r="A226" s="43"/>
      <c r="B226" s="59">
        <v>240.0</v>
      </c>
      <c r="C226" s="75" t="s">
        <v>2536</v>
      </c>
      <c r="D226" s="42" t="s">
        <v>181</v>
      </c>
      <c r="E226" s="38" t="str">
        <f t="shared" si="1"/>
        <v>Banskobystrický kraj, &amp;#32celé Slovensko</v>
      </c>
      <c r="F226" s="42" t="s">
        <v>2537</v>
      </c>
      <c r="G226" s="38" t="str">
        <f t="shared" si="2"/>
        <v>vzdelávanie, pre deti, iné (tovary a služby), &amp;#32všetky kategórie</v>
      </c>
      <c r="H226" s="42" t="s">
        <v>82</v>
      </c>
      <c r="I226" s="43" t="str">
        <f t="shared" si="3"/>
        <v>11 - 15, &amp;#32všetky možnosti</v>
      </c>
      <c r="J226" s="44" t="str">
        <f t="shared" si="7"/>
        <v>,Register partnerov VS,Náhradné plnenie</v>
      </c>
      <c r="K226" s="45">
        <f t="shared" si="5"/>
        <v>5219.021749</v>
      </c>
      <c r="L226" s="43"/>
      <c r="M226" s="43" t="str">
        <f>IFERROR(__xludf.DUMMYFUNCTION("SPLIT(O226,"","")"),"Lazovná 1487/56")</f>
        <v>Lazovná 1487/56</v>
      </c>
      <c r="N226" s="43" t="str">
        <f>IFERROR(__xludf.DUMMYFUNCTION("""COMPUTED_VALUE""")," 974 01 Banská Bystrica")</f>
        <v> 974 01 Banská Bystrica</v>
      </c>
      <c r="O226" s="42" t="s">
        <v>2538</v>
      </c>
      <c r="P226" s="43">
        <v>48.7431742</v>
      </c>
      <c r="Q226" s="43">
        <v>19.1419634</v>
      </c>
      <c r="R226" s="46" t="s">
        <v>2539</v>
      </c>
      <c r="S226" s="112" t="s">
        <v>2540</v>
      </c>
      <c r="T226" s="113" t="s">
        <v>86</v>
      </c>
      <c r="U226" s="49" t="s">
        <v>2541</v>
      </c>
      <c r="V226" s="66" t="s">
        <v>2542</v>
      </c>
      <c r="W226" s="54" t="s">
        <v>2543</v>
      </c>
      <c r="X226" s="54" t="s">
        <v>2544</v>
      </c>
      <c r="Y226" s="110" t="s">
        <v>2545</v>
      </c>
      <c r="Z226" s="108" t="s">
        <v>2546</v>
      </c>
      <c r="AA226" s="109" t="s">
        <v>64</v>
      </c>
      <c r="AB226" s="54"/>
      <c r="AC226" s="56"/>
      <c r="AD226" s="46"/>
      <c r="AE226" s="54"/>
      <c r="AF226" s="55"/>
      <c r="AG226" s="56"/>
      <c r="AH226" s="56"/>
      <c r="AI226" s="55"/>
      <c r="AJ226" s="55"/>
      <c r="AK226" s="56"/>
      <c r="AL226" s="56"/>
      <c r="AM226" s="47"/>
      <c r="AN226" s="62" t="s">
        <v>39</v>
      </c>
      <c r="AO226" s="57" t="s">
        <v>40</v>
      </c>
      <c r="AP226" s="58" t="str">
        <f t="shared" si="6"/>
        <v>DC Sielnica, n.o. vzdelavanie, pre deti, ine (tovary a sluzby), &amp;#32vsetky kategorie  974 01 Banska Bystrica Ponukame: - mimoskolsku vzdelavaciu cinnost pre deti so specialnymi vychovno-vzdelavacimi potrebami,
 - vyrobu pomocok pre deti so specialnymi vychovno-vzdelavacimi potrebami,
 - upravu motorovych vozidiel pre osoby ZTP,
 - vyrobu a montaz zdvihacich zariadeni pre osoby ZTP,
 - vyrobu a montaz najazdovych plosin a ramp pre osoby ZTP,
 - starostlivost o zahradu a okolie domu osobam so socialnym znevyhodnenim (hlavne seniorom),
 - likvidaciu biologickeho odpadu - drevnej hmoty,
 - pocitacove sluzby - tvorbu web stranok,
 - pocitacove sluzby - marketing a SEO - optimalizaciu pre vyhladavace. Nas podnik je spolocensky prospesny tym, ze vytvara podmienky vzdelavania pre deti so specialnymi vychovnovzdelavacimi potrebami alebo inak znevyhodnene deti v predskolskom veku. Sekundarne tak umoznuje rodicom tychto deti uplatnit sa na trhu prace. Nasimi zamestnancami su aj osoby znevyhodnene a zranitelne. V buducnosti sa budeme snazit vytvarat pracovne miesta pre dalsie osoby so znevyhodnenim. Detske centrum Sielnica Vzdelavanie deti so specialnymi vychovno-vzdelavacimi potrebami. vzdelavanie, pocitacove sluzby, plosiny, zdvihacie zariadenia, uprava automobilu pre ZTP, zdravotnicke pomocky           Register partnerov VS</v>
      </c>
      <c r="AQ226" s="37"/>
    </row>
    <row r="227" ht="15.75" customHeight="1">
      <c r="A227" s="43"/>
      <c r="B227" s="59">
        <v>241.0</v>
      </c>
      <c r="C227" s="75" t="s">
        <v>2547</v>
      </c>
      <c r="D227" s="42" t="s">
        <v>80</v>
      </c>
      <c r="E227" s="38" t="str">
        <f t="shared" si="1"/>
        <v>Trnavský kraj, &amp;#32celé Slovensko</v>
      </c>
      <c r="F227" s="42" t="s">
        <v>1654</v>
      </c>
      <c r="G227" s="38" t="str">
        <f t="shared" si="2"/>
        <v>poľnohospodárstvo a lesníctvo, zvieratá, &amp;#32všetky kategórie</v>
      </c>
      <c r="H227" s="42" t="s">
        <v>96</v>
      </c>
      <c r="I227" s="43" t="str">
        <f t="shared" si="3"/>
        <v>6 - 10, &amp;#32všetky možnosti</v>
      </c>
      <c r="J227" s="44" t="str">
        <f t="shared" si="7"/>
        <v>,Register partnerov VS,</v>
      </c>
      <c r="K227" s="45">
        <f t="shared" si="5"/>
        <v>9253.106213</v>
      </c>
      <c r="L227" s="43"/>
      <c r="M227" s="43" t="str">
        <f>IFERROR(__xludf.DUMMYFUNCTION("SPLIT(O227,"","")"),"M.R. Štefánika 4280/30")</f>
        <v>M.R. Štefánika 4280/30</v>
      </c>
      <c r="N227" s="43" t="str">
        <f>IFERROR(__xludf.DUMMYFUNCTION("""COMPUTED_VALUE""")," 926 01 Sereď")</f>
        <v> 926 01 Sereď</v>
      </c>
      <c r="O227" s="42" t="s">
        <v>2548</v>
      </c>
      <c r="P227" s="43">
        <v>48.2860581</v>
      </c>
      <c r="Q227" s="43">
        <v>17.7391061</v>
      </c>
      <c r="R227" s="56" t="s">
        <v>2549</v>
      </c>
      <c r="S227" s="112" t="s">
        <v>2550</v>
      </c>
      <c r="T227" s="113" t="s">
        <v>86</v>
      </c>
      <c r="U227" s="49" t="s">
        <v>2551</v>
      </c>
      <c r="V227" s="66" t="s">
        <v>2552</v>
      </c>
      <c r="W227" s="54" t="s">
        <v>2553</v>
      </c>
      <c r="X227" s="54" t="s">
        <v>2547</v>
      </c>
      <c r="Y227" s="110" t="s">
        <v>2554</v>
      </c>
      <c r="Z227" s="108" t="s">
        <v>2555</v>
      </c>
      <c r="AA227" s="109" t="s">
        <v>64</v>
      </c>
      <c r="AB227" s="54"/>
      <c r="AC227" s="56"/>
      <c r="AD227" s="46"/>
      <c r="AE227" s="54"/>
      <c r="AF227" s="55"/>
      <c r="AG227" s="56"/>
      <c r="AH227" s="56"/>
      <c r="AI227" s="55"/>
      <c r="AJ227" s="55"/>
      <c r="AK227" s="56"/>
      <c r="AL227" s="56"/>
      <c r="AM227" s="47"/>
      <c r="AN227" s="62" t="s">
        <v>39</v>
      </c>
      <c r="AO227" s="64"/>
      <c r="AP227" s="58" t="str">
        <f t="shared" si="6"/>
        <v>Ramex trade, s.r.o. polnohospodarstvo a lesnictvo, zvierata, &amp;#32vsetky kategorie  926 01 Sered Nasa spolocnost Ramex trade, s.r.o. posobi na Slovenskom trhu od roku 2013. Hlavnym predmetom podnikania je nakup a predaj polnohospodarskych komodit s orientaciou na slovensky a europsky trh. V ramci nasej obchodnej cinnosti uzko spolupracujeme s renomovanymi zahranicnymi spolocnostami.
 Nasimi vyvoznymi komoditami su obilie, kukurica, olejniny, strukoviny, komponenty pre krmne zmesi pre vtakov a krmoviny. 
 Pri svojom posobeni kladieme maximalny doraz na zabezpecenie kvality, zdravotnej nezavadnosti produktov a potravinovej bezpecnosti polnohospodarskych komodit.
 Za dolezity moment vo vyvoji nasej spolocnosti povazujeme transformaciu Ramex trade, s.r.o. na registrovany socialny podnik v zmysle zakona c. 112/2018 Z. z. o socialnej ekonomike a socialnych podnikoch zamerany na podporu zamestnavania osob so zdravotnym postihnutim. Zamestnavame osoby so zdravotnym postihnutim. Ramex trade, s.r.o. Nakup a predaj polnohospodarskych a potravinarskych produktov. Nakup a predaj polnohospodarskych a potravinarskych produktov, krmne zmesi           Register partnerov VS</v>
      </c>
      <c r="AQ227" s="37"/>
    </row>
    <row r="228" ht="15.75" customHeight="1">
      <c r="A228" s="43"/>
      <c r="B228" s="59">
        <v>243.0</v>
      </c>
      <c r="C228" s="75" t="s">
        <v>2556</v>
      </c>
      <c r="D228" s="42" t="s">
        <v>66</v>
      </c>
      <c r="E228" s="38" t="str">
        <f t="shared" si="1"/>
        <v>Žilinský kraj, &amp;#32celé Slovensko</v>
      </c>
      <c r="F228" s="42" t="s">
        <v>2514</v>
      </c>
      <c r="G228" s="38" t="str">
        <f t="shared" si="2"/>
        <v>krása-zdravie-relax, bižutéria a darčekové predmety, iné (tovary a služby), &amp;#32všetky kategórie</v>
      </c>
      <c r="H228" s="42" t="s">
        <v>96</v>
      </c>
      <c r="I228" s="43" t="str">
        <f t="shared" si="3"/>
        <v>6 - 10, &amp;#32všetky možnosti</v>
      </c>
      <c r="J228" s="44" t="str">
        <f t="shared" si="7"/>
        <v>,,Náhradné plnenie</v>
      </c>
      <c r="K228" s="45">
        <f t="shared" si="5"/>
        <v>15261.68152</v>
      </c>
      <c r="L228" s="43"/>
      <c r="M228" s="43" t="str">
        <f>IFERROR(__xludf.DUMMYFUNCTION("SPLIT(O228,"","")"),"Veterná 1463/56")</f>
        <v>Veterná 1463/56</v>
      </c>
      <c r="N228" s="43" t="str">
        <f>IFERROR(__xludf.DUMMYFUNCTION("""COMPUTED_VALUE""")," 036 01 Martin")</f>
        <v> 036 01 Martin</v>
      </c>
      <c r="O228" s="42" t="s">
        <v>2557</v>
      </c>
      <c r="P228" s="43">
        <v>49.0840393</v>
      </c>
      <c r="Q228" s="43">
        <v>18.9124738</v>
      </c>
      <c r="R228" s="56" t="s">
        <v>2558</v>
      </c>
      <c r="S228" s="112" t="s">
        <v>2559</v>
      </c>
      <c r="T228" s="113" t="s">
        <v>2560</v>
      </c>
      <c r="U228" s="49" t="s">
        <v>2561</v>
      </c>
      <c r="V228" s="66" t="s">
        <v>2562</v>
      </c>
      <c r="W228" s="54" t="s">
        <v>2563</v>
      </c>
      <c r="X228" s="54" t="s">
        <v>2564</v>
      </c>
      <c r="Y228" s="110" t="s">
        <v>2565</v>
      </c>
      <c r="Z228" s="108" t="s">
        <v>2566</v>
      </c>
      <c r="AA228" s="109" t="s">
        <v>64</v>
      </c>
      <c r="AB228" s="54"/>
      <c r="AC228" s="56"/>
      <c r="AD228" s="46"/>
      <c r="AE228" s="54"/>
      <c r="AF228" s="55"/>
      <c r="AG228" s="56"/>
      <c r="AH228" s="56"/>
      <c r="AI228" s="55"/>
      <c r="AJ228" s="55"/>
      <c r="AK228" s="56"/>
      <c r="AL228" s="56"/>
      <c r="AM228" s="34"/>
      <c r="AN228" s="55"/>
      <c r="AO228" s="57" t="s">
        <v>40</v>
      </c>
      <c r="AP228" s="58" t="str">
        <f t="shared" si="6"/>
        <v>Gergis s.r.o. krasa-zdravie-relax, bizuteria a darcekove predmety, ine (tovary a sluzby), &amp;#32vsetky kategorie  036 01 Martin Nasa spolocnost je zamerana na vyrobu sviecok z parafinov, voskov a gelov. Vyrabame sviecky so zameranim na dekoracne, energeticke, prilezitostne, reklamne, ezotericke a dalsie druhy podla poziadaviek nasich zakaznikov a spolupracovnikov. Nasimi zakaznikmi su predajne s darcekovym sortimentom, kvetinarstva, zariadenia zaoberajuce sa starostlivostou o cloveka v celom rozsahu sluzieb. Zamestnavame zamestnacov ZTP, resp. s inym znevyhodnenim. Gergis s.r.o., r.s.p. - vyroba Sviecky, keramika, vyrobky z dreva, lyka, kovu, skla, mineraly a polodrahokamy. sviecky, sperky, rucne vyrabane vyrobky z dreva, lyka, skla, keramika...           </v>
      </c>
      <c r="AQ228" s="37"/>
    </row>
    <row r="229" ht="15.75" customHeight="1">
      <c r="A229" s="43"/>
      <c r="B229" s="59">
        <v>244.0</v>
      </c>
      <c r="C229" s="75" t="s">
        <v>2567</v>
      </c>
      <c r="D229" s="42" t="s">
        <v>134</v>
      </c>
      <c r="E229" s="38" t="str">
        <f t="shared" si="1"/>
        <v>Trenčiansky kraj, &amp;#32celé Slovensko</v>
      </c>
      <c r="F229" s="42" t="s">
        <v>2568</v>
      </c>
      <c r="G229" s="38" t="str">
        <f t="shared" si="2"/>
        <v>cestovný ruch, stavebníctvo, &amp;#32všetky kategórie</v>
      </c>
      <c r="H229" s="42" t="s">
        <v>96</v>
      </c>
      <c r="I229" s="43" t="str">
        <f t="shared" si="3"/>
        <v>6 - 10, &amp;#32všetky možnosti</v>
      </c>
      <c r="J229" s="44" t="str">
        <f t="shared" si="7"/>
        <v>,Register partnerov VS,</v>
      </c>
      <c r="K229" s="45">
        <f t="shared" si="5"/>
        <v>1607.982248</v>
      </c>
      <c r="L229" s="43"/>
      <c r="M229" s="43" t="str">
        <f>IFERROR(__xludf.DUMMYFUNCTION("SPLIT(O229,"","")"),"Centrum 2304")</f>
        <v>Centrum 2304</v>
      </c>
      <c r="N229" s="43" t="str">
        <f>IFERROR(__xludf.DUMMYFUNCTION("""COMPUTED_VALUE""")," 017 01 Považská Bystrica")</f>
        <v> 017 01 Považská Bystrica</v>
      </c>
      <c r="O229" s="42" t="s">
        <v>2569</v>
      </c>
      <c r="P229" s="43">
        <v>49.1154485</v>
      </c>
      <c r="Q229" s="43">
        <v>18.4469398</v>
      </c>
      <c r="R229" s="56" t="s">
        <v>2570</v>
      </c>
      <c r="S229" s="112" t="s">
        <v>2571</v>
      </c>
      <c r="T229" s="113" t="s">
        <v>86</v>
      </c>
      <c r="U229" s="49" t="s">
        <v>2572</v>
      </c>
      <c r="V229" s="66" t="s">
        <v>2573</v>
      </c>
      <c r="W229" s="54" t="s">
        <v>2574</v>
      </c>
      <c r="X229" s="54" t="s">
        <v>2575</v>
      </c>
      <c r="Y229" s="110" t="s">
        <v>2576</v>
      </c>
      <c r="Z229" s="108" t="s">
        <v>2577</v>
      </c>
      <c r="AA229" s="109" t="s">
        <v>64</v>
      </c>
      <c r="AB229" s="54"/>
      <c r="AC229" s="56"/>
      <c r="AD229" s="46"/>
      <c r="AE229" s="54"/>
      <c r="AF229" s="55"/>
      <c r="AG229" s="56"/>
      <c r="AH229" s="56"/>
      <c r="AI229" s="55"/>
      <c r="AJ229" s="55"/>
      <c r="AK229" s="56"/>
      <c r="AL229" s="56"/>
      <c r="AM229" s="47"/>
      <c r="AN229" s="62" t="s">
        <v>39</v>
      </c>
      <c r="AO229" s="64"/>
      <c r="AP229" s="58" t="str">
        <f t="shared" si="6"/>
        <v>Inziniering MH, s. r. o. cestovny ruch, stavebnictvo, &amp;#32vsetky kategorie  017 01 Povazska Bystrica Stavebne prace, vykon stavebneho dozoru, ubytovanie v ubytovacom zariadeni Camping Maninska tiesnava. Zamestnavanie zdravotne znevyhodnenych. Camping Maninska tiesnava Ubytovanie v chatkach, stanoch a karavanoch, sluzby bufetu. ubytovanie, chatova osada, stanovanie, karavany, stavebny dozor, stavebne prace           Register partnerov VS</v>
      </c>
      <c r="AQ229" s="37"/>
    </row>
    <row r="230" ht="15.75" customHeight="1">
      <c r="A230" s="43"/>
      <c r="B230" s="59">
        <v>245.0</v>
      </c>
      <c r="C230" s="75" t="s">
        <v>2578</v>
      </c>
      <c r="D230" s="42" t="s">
        <v>229</v>
      </c>
      <c r="E230" s="38" t="str">
        <f t="shared" si="1"/>
        <v>Nitriansky kraj, &amp;#32celé Slovensko</v>
      </c>
      <c r="F230" s="42" t="s">
        <v>2579</v>
      </c>
      <c r="G230" s="38" t="str">
        <f t="shared" si="2"/>
        <v>poľnohospodárstvo a lesníctvo, dom a záhrada, stavebníctvo, doprava, ubytovacie a stravovacie služby, cestovný ruch, &amp;#32všetky kategórie</v>
      </c>
      <c r="H230" s="42" t="s">
        <v>96</v>
      </c>
      <c r="I230" s="43" t="str">
        <f t="shared" si="3"/>
        <v>6 - 10, &amp;#32všetky možnosti</v>
      </c>
      <c r="J230" s="44" t="str">
        <f t="shared" si="7"/>
        <v>,Register partnerov VS,</v>
      </c>
      <c r="K230" s="45">
        <f t="shared" si="5"/>
        <v>32993.4936</v>
      </c>
      <c r="L230" s="43"/>
      <c r="M230" s="43" t="str">
        <f>IFERROR(__xludf.DUMMYFUNCTION("SPLIT(O230,"","")"),"Jelenec 701")</f>
        <v>Jelenec 701</v>
      </c>
      <c r="N230" s="43" t="str">
        <f>IFERROR(__xludf.DUMMYFUNCTION("""COMPUTED_VALUE""")," 951 73 Jelenec")</f>
        <v> 951 73 Jelenec</v>
      </c>
      <c r="O230" s="42" t="s">
        <v>2580</v>
      </c>
      <c r="P230" s="43">
        <v>48.37643</v>
      </c>
      <c r="Q230" s="43">
        <v>18.2285161</v>
      </c>
      <c r="R230" s="56" t="s">
        <v>2581</v>
      </c>
      <c r="S230" s="112" t="s">
        <v>2582</v>
      </c>
      <c r="T230" s="113" t="s">
        <v>2583</v>
      </c>
      <c r="U230" s="49" t="s">
        <v>2584</v>
      </c>
      <c r="V230" s="50" t="s">
        <v>2585</v>
      </c>
      <c r="W230" s="54" t="s">
        <v>2586</v>
      </c>
      <c r="X230" s="54" t="s">
        <v>2578</v>
      </c>
      <c r="Y230" s="110" t="s">
        <v>2587</v>
      </c>
      <c r="Z230" s="108" t="s">
        <v>2588</v>
      </c>
      <c r="AA230" s="109" t="s">
        <v>64</v>
      </c>
      <c r="AB230" s="54"/>
      <c r="AC230" s="56"/>
      <c r="AD230" s="46"/>
      <c r="AE230" s="54"/>
      <c r="AF230" s="55"/>
      <c r="AG230" s="56"/>
      <c r="AH230" s="56"/>
      <c r="AI230" s="55"/>
      <c r="AJ230" s="55"/>
      <c r="AK230" s="56"/>
      <c r="AL230" s="56"/>
      <c r="AM230" s="47"/>
      <c r="AN230" s="62" t="s">
        <v>39</v>
      </c>
      <c r="AO230" s="64"/>
      <c r="AP230" s="58" t="str">
        <f t="shared" si="6"/>
        <v>SP Jelenec, s.r.o. polnohospodarstvo a lesnictvo, dom a zahrada, stavebnictvo, doprava, ubytovacie a stravovacie sluzby, cestovny ruch, &amp;#32vsetky kategorie  951 73 Jelenec Prevadzka turistickeho zariadenia Ubytovanie u Forgacha s doplnkovymi sluzbami, komunalne sluzby, traktorove sluzby, stavebne prace. Podpora zamestnanosti miestnych obyvatelov i z radov znevyhodnenych, podpora miestnej komunity a ekonomiky. SP Jelenec, s.r.o. Ubytovanie, organizacia podujati, vydajna jedal, traktorove sluzby, stavebne prace. ubytovanie, kosenie, orba, mulcovanie, stavebne prace, rekonstrukcie, stravovanie           Register partnerov VS</v>
      </c>
      <c r="AQ230" s="37"/>
    </row>
    <row r="231" ht="15.75" customHeight="1">
      <c r="A231" s="43"/>
      <c r="B231" s="59">
        <v>246.0</v>
      </c>
      <c r="C231" s="75" t="s">
        <v>2589</v>
      </c>
      <c r="D231" s="42" t="s">
        <v>218</v>
      </c>
      <c r="E231" s="38" t="str">
        <f t="shared" si="1"/>
        <v>Košický kraj, &amp;#32celé Slovensko</v>
      </c>
      <c r="F231" s="42" t="s">
        <v>2590</v>
      </c>
      <c r="G231" s="38" t="str">
        <f t="shared" si="2"/>
        <v>ubytovacie a stravovacie služby, cestovný ruch, poľnohospodárstvo a lesníctvo, zvieratá, kultúra a šport, pre deti, &amp;#32všetky kategórie</v>
      </c>
      <c r="H231" s="42" t="s">
        <v>96</v>
      </c>
      <c r="I231" s="43" t="str">
        <f t="shared" si="3"/>
        <v>6 - 10, &amp;#32všetky možnosti</v>
      </c>
      <c r="J231" s="44" t="str">
        <f t="shared" si="7"/>
        <v>,,</v>
      </c>
      <c r="K231" s="45">
        <f t="shared" si="5"/>
        <v>7155.518555</v>
      </c>
      <c r="L231" s="43"/>
      <c r="M231" s="43" t="str">
        <f>IFERROR(__xludf.DUMMYFUNCTION("SPLIT(O231,"","")"),"Kružnianska 513")</f>
        <v>Kružnianska 513</v>
      </c>
      <c r="N231" s="43" t="str">
        <f>IFERROR(__xludf.DUMMYFUNCTION("""COMPUTED_VALUE""")," 049 51 Brzotín")</f>
        <v> 049 51 Brzotín</v>
      </c>
      <c r="O231" s="42" t="s">
        <v>2591</v>
      </c>
      <c r="P231" s="43">
        <v>48.6302631</v>
      </c>
      <c r="Q231" s="43">
        <v>20.4973517</v>
      </c>
      <c r="R231" s="56" t="s">
        <v>2592</v>
      </c>
      <c r="S231" s="112" t="s">
        <v>2593</v>
      </c>
      <c r="T231" s="113" t="s">
        <v>86</v>
      </c>
      <c r="U231" s="49" t="s">
        <v>2594</v>
      </c>
      <c r="V231" s="66" t="s">
        <v>2595</v>
      </c>
      <c r="W231" s="54" t="s">
        <v>2596</v>
      </c>
      <c r="X231" s="54" t="s">
        <v>2597</v>
      </c>
      <c r="Y231" s="110" t="s">
        <v>2598</v>
      </c>
      <c r="Z231" s="108" t="s">
        <v>2599</v>
      </c>
      <c r="AA231" s="109" t="s">
        <v>64</v>
      </c>
      <c r="AB231" s="54"/>
      <c r="AC231" s="56"/>
      <c r="AD231" s="46"/>
      <c r="AE231" s="54"/>
      <c r="AF231" s="55"/>
      <c r="AG231" s="56"/>
      <c r="AH231" s="56"/>
      <c r="AI231" s="55"/>
      <c r="AJ231" s="55"/>
      <c r="AK231" s="56"/>
      <c r="AL231" s="56"/>
      <c r="AM231" s="34"/>
      <c r="AN231" s="55"/>
      <c r="AO231" s="64"/>
      <c r="AP231" s="58" t="str">
        <f t="shared" si="6"/>
        <v>GEMGAL s.r.o. Roznava r.s.p. ubytovacie a stravovacie sluzby, cestovny ruch, polnohospodarstvo a lesnictvo, zvierata, kultura a sport, pre deti, &amp;#32vsetky kategorie  049 51 Brzotin Nasa spolocnost sa zaobera chovom nosniciek, chovom koni. Dopestujeme si vlastne krmoviny. Prevadzkujeme wellnes a bazen, jazdecky klub pre deti a mladez. Dosahujeme ho percentom zamestnanych znevyhodnenych a zranitelnych osob. Gemgal s.r.o. Roznava r.s.p Polnohospodarka cinnost - chov koni a nosniciek. wellnes, vnutorny relaxacno-plavecky bazen, jazdecke sluzby, kosenie, jazda na koni, chov koni           </v>
      </c>
      <c r="AQ231" s="37"/>
    </row>
    <row r="232" ht="15.75" customHeight="1">
      <c r="A232" s="43"/>
      <c r="B232" s="59">
        <v>249.0</v>
      </c>
      <c r="C232" s="75" t="s">
        <v>2600</v>
      </c>
      <c r="D232" s="42" t="s">
        <v>229</v>
      </c>
      <c r="E232" s="38" t="str">
        <f t="shared" si="1"/>
        <v>Nitriansky kraj, &amp;#32celé Slovensko</v>
      </c>
      <c r="F232" s="42" t="s">
        <v>2601</v>
      </c>
      <c r="G232" s="38" t="str">
        <f t="shared" si="2"/>
        <v>potraviny a nápoje, bižutéria a darčekové predmety, &amp;#32všetky kategórie</v>
      </c>
      <c r="H232" s="42" t="s">
        <v>96</v>
      </c>
      <c r="I232" s="43" t="str">
        <f t="shared" si="3"/>
        <v>6 - 10, &amp;#32všetky možnosti</v>
      </c>
      <c r="J232" s="44" t="str">
        <f t="shared" si="7"/>
        <v>,Register partnerov VS,Náhradné plnenie</v>
      </c>
      <c r="K232" s="45">
        <f t="shared" si="5"/>
        <v>27682.41441</v>
      </c>
      <c r="L232" s="43"/>
      <c r="M232" s="43" t="str">
        <f>IFERROR(__xludf.DUMMYFUNCTION("SPLIT(O232,"","")"),"Vážskeho brehu 152/17")</f>
        <v>Vážskeho brehu 152/17</v>
      </c>
      <c r="N232" s="43" t="str">
        <f>IFERROR(__xludf.DUMMYFUNCTION("""COMPUTED_VALUE""")," 945 01 Komárno")</f>
        <v> 945 01 Komárno</v>
      </c>
      <c r="O232" s="42" t="s">
        <v>2602</v>
      </c>
      <c r="P232" s="43">
        <v>47.8175953</v>
      </c>
      <c r="Q232" s="43">
        <v>18.0636382</v>
      </c>
      <c r="R232" s="56" t="s">
        <v>2603</v>
      </c>
      <c r="S232" s="112" t="s">
        <v>2604</v>
      </c>
      <c r="T232" s="113" t="s">
        <v>2605</v>
      </c>
      <c r="U232" s="49" t="s">
        <v>2606</v>
      </c>
      <c r="V232" s="66" t="s">
        <v>2607</v>
      </c>
      <c r="W232" s="54" t="s">
        <v>2608</v>
      </c>
      <c r="X232" s="54" t="s">
        <v>2600</v>
      </c>
      <c r="Y232" s="110" t="s">
        <v>2609</v>
      </c>
      <c r="Z232" s="108" t="s">
        <v>2610</v>
      </c>
      <c r="AA232" s="109" t="s">
        <v>64</v>
      </c>
      <c r="AB232" s="54"/>
      <c r="AC232" s="56"/>
      <c r="AD232" s="46"/>
      <c r="AE232" s="54"/>
      <c r="AF232" s="55"/>
      <c r="AG232" s="56"/>
      <c r="AH232" s="56"/>
      <c r="AI232" s="55"/>
      <c r="AJ232" s="55"/>
      <c r="AK232" s="56"/>
      <c r="AL232" s="56"/>
      <c r="AM232" s="47"/>
      <c r="AN232" s="62" t="s">
        <v>39</v>
      </c>
      <c r="AO232" s="57" t="s">
        <v>40</v>
      </c>
      <c r="AP232" s="58" t="str">
        <f t="shared" si="6"/>
        <v>SLUNCE s. r. o. potraviny a napoje, bizuteria a darcekove predmety, &amp;#32vsetky kategorie  945 01 Komarno Nas podnik sa venuje vyrobe tradicnych vyrobkov, napriklad zo susenych kvetin, keramiku, robime vyrobky pre firmu Ferplad Taliansko. Transformovali sme sa z chranenej dielne, ktora uspesne fungovala 11 rokov. Nase vyrobky su zname i v zahranici, ziskali sme niekolko oceneni za keramicke vyrobky. Prevadzkujeme Cajovnu U dobrej vily, kde ponukame domace zakusky, sirupy, dzemy a caje - vsetko si vyrabame sami. Dolezita je pre nas socialna a humanitarna pomoc. Prevadzkujeme socialnu vydajnu pre seniorov a matky samozivitelky; kazdy tyzden rozdame cca 6 ton potravin. SLUNCE s. r. o. Keramika, sirupy, dzemy. Keramika,caje,sirupy, zakusky, dzemy, sviecky,kozmetika, keramika, susene kvety           Register partnerov VS</v>
      </c>
      <c r="AQ232" s="37"/>
    </row>
    <row r="233" ht="15.75" customHeight="1">
      <c r="A233" s="43"/>
      <c r="B233" s="59">
        <v>250.0</v>
      </c>
      <c r="C233" s="75" t="s">
        <v>2611</v>
      </c>
      <c r="D233" s="42" t="s">
        <v>66</v>
      </c>
      <c r="E233" s="38" t="str">
        <f t="shared" si="1"/>
        <v>Žilinský kraj, &amp;#32celé Slovensko</v>
      </c>
      <c r="F233" s="42" t="s">
        <v>2612</v>
      </c>
      <c r="G233" s="38" t="str">
        <f t="shared" si="2"/>
        <v>vzdelávanie, účtovníctvo a poradenstvo, odevy a obuv, iné (tovary a služby), &amp;#32všetky kategórie</v>
      </c>
      <c r="H233" s="42" t="s">
        <v>68</v>
      </c>
      <c r="I233" s="43" t="str">
        <f t="shared" si="3"/>
        <v>16 - 20, &amp;#32všetky možnosti</v>
      </c>
      <c r="J233" s="44" t="str">
        <f t="shared" si="7"/>
        <v>,Register partnerov VS,Náhradné plnenie</v>
      </c>
      <c r="K233" s="45">
        <f t="shared" si="5"/>
        <v>23641.47253</v>
      </c>
      <c r="L233" s="43"/>
      <c r="M233" s="43" t="str">
        <f>IFERROR(__xludf.DUMMYFUNCTION("SPLIT(O233,"","")"),"Kukučínova 2599")</f>
        <v>Kukučínova 2599</v>
      </c>
      <c r="N233" s="43" t="str">
        <f>IFERROR(__xludf.DUMMYFUNCTION("""COMPUTED_VALUE""")," 024 01 Kysucké Nové Mesto")</f>
        <v> 024 01 Kysucké Nové Mesto</v>
      </c>
      <c r="O233" s="42" t="s">
        <v>2613</v>
      </c>
      <c r="P233" s="43">
        <v>49.3051868</v>
      </c>
      <c r="Q233" s="43">
        <v>18.7783864</v>
      </c>
      <c r="R233" s="56" t="s">
        <v>2614</v>
      </c>
      <c r="S233" s="112" t="s">
        <v>1602</v>
      </c>
      <c r="T233" s="113" t="s">
        <v>2615</v>
      </c>
      <c r="U233" s="49" t="s">
        <v>2616</v>
      </c>
      <c r="V233" s="66" t="s">
        <v>2617</v>
      </c>
      <c r="W233" s="54" t="s">
        <v>2618</v>
      </c>
      <c r="X233" s="54" t="s">
        <v>2619</v>
      </c>
      <c r="Y233" s="110" t="s">
        <v>2620</v>
      </c>
      <c r="Z233" s="108" t="s">
        <v>2621</v>
      </c>
      <c r="AA233" s="109" t="s">
        <v>64</v>
      </c>
      <c r="AB233" s="54"/>
      <c r="AC233" s="56"/>
      <c r="AD233" s="46"/>
      <c r="AE233" s="54"/>
      <c r="AF233" s="55"/>
      <c r="AG233" s="56"/>
      <c r="AH233" s="56"/>
      <c r="AI233" s="55"/>
      <c r="AJ233" s="55"/>
      <c r="AK233" s="56"/>
      <c r="AL233" s="56"/>
      <c r="AM233" s="47"/>
      <c r="AN233" s="62" t="s">
        <v>39</v>
      </c>
      <c r="AO233" s="57" t="s">
        <v>40</v>
      </c>
      <c r="AP233" s="58" t="str">
        <f t="shared" si="6"/>
        <v>M-PROMEX, s.r.o. vzdelavanie, uctovnictvo a poradenstvo, odevy a obuv, ine (tovary a sluzby), &amp;#32vsetky kategorie  024 01 Kysucke Nove Mesto Nasimi zakaznikmi su pravnicke a fyzicke osoby, podnikatelia.
 Nasa ponuka:
 - textilna vyroba, poskytujeme sluzby vyroby textilnych produktov na objednavku,
 - pocitacove spracovanie udajov,
 - vzdelavanie dospelych a poradenstvo (podnikatelske, personalne, oblast ochrany osobnych udajov a i.) Zamestnavanie znevyhodnenych a zranitelnych osob. M-PROMEX, s.r.o., r.s.p. Nasa ponuka:
 - textilna vyroba, poskytujeme sluzby vyroby textilnych produktov na objednavku,
 - pocitacove spracovanie udajov,
 - vzdelavanie dospelych a poradenstvo (podnikatelske, personalne, oblast ochrany osobnych udajov a i.) Nemame prevadzku. Totozne s uvedenym na predchadzajucej strane:
 Nasimi zakaznikmi su pravnicke a fyzicke osoby, podnikatelia.
 Nasa ponuka:
 Textilna vyroba, poskytujeme sluzby vyroby textilnych produktov na objednavku.
 Pocitacove spracovanie udajov.
 Vzdelavanie dospelych a poradenstvo (podnikatelske, personalne, oblast ochrany osobnych udajov ...), sitie na zakazku, odevy, tasky, vaky           Register partnerov VS</v>
      </c>
      <c r="AQ233" s="37"/>
    </row>
    <row r="234" ht="15.75" customHeight="1">
      <c r="A234" s="43"/>
      <c r="B234" s="59">
        <v>252.0</v>
      </c>
      <c r="C234" s="75" t="s">
        <v>2622</v>
      </c>
      <c r="D234" s="42" t="s">
        <v>51</v>
      </c>
      <c r="E234" s="38" t="str">
        <f t="shared" si="1"/>
        <v>Prešovský kraj, &amp;#32celé Slovensko</v>
      </c>
      <c r="F234" s="42" t="s">
        <v>1838</v>
      </c>
      <c r="G234" s="38" t="str">
        <f t="shared" si="2"/>
        <v>ubytovacie a stravovacie služby, &amp;#32všetky kategórie</v>
      </c>
      <c r="H234" s="42" t="s">
        <v>53</v>
      </c>
      <c r="I234" s="43" t="str">
        <f t="shared" si="3"/>
        <v>1 - 5, &amp;#32všetky možnosti</v>
      </c>
      <c r="J234" s="44" t="str">
        <f t="shared" si="7"/>
        <v>,,</v>
      </c>
      <c r="K234" s="45">
        <f t="shared" si="5"/>
        <v>25569.03788</v>
      </c>
      <c r="L234" s="43"/>
      <c r="M234" s="43" t="str">
        <f>IFERROR(__xludf.DUMMYFUNCTION("SPLIT(O234,"","")"),"Švábovce 535")</f>
        <v>Švábovce 535</v>
      </c>
      <c r="N234" s="43" t="str">
        <f>IFERROR(__xludf.DUMMYFUNCTION("""COMPUTED_VALUE""")," 059 12 Švábovce")</f>
        <v> 059 12 Švábovce</v>
      </c>
      <c r="O234" s="42" t="s">
        <v>2623</v>
      </c>
      <c r="P234" s="43">
        <v>49.0269564</v>
      </c>
      <c r="Q234" s="43">
        <v>20.3562825</v>
      </c>
      <c r="R234" s="56" t="s">
        <v>2624</v>
      </c>
      <c r="S234" s="112" t="s">
        <v>2625</v>
      </c>
      <c r="T234" s="113" t="s">
        <v>2626</v>
      </c>
      <c r="U234" s="49" t="s">
        <v>2627</v>
      </c>
      <c r="V234" s="66" t="s">
        <v>2628</v>
      </c>
      <c r="W234" s="54" t="s">
        <v>2629</v>
      </c>
      <c r="X234" s="54" t="s">
        <v>2622</v>
      </c>
      <c r="Y234" s="110" t="s">
        <v>2630</v>
      </c>
      <c r="Z234" s="108" t="s">
        <v>2631</v>
      </c>
      <c r="AA234" s="109" t="s">
        <v>64</v>
      </c>
      <c r="AB234" s="54"/>
      <c r="AC234" s="56"/>
      <c r="AD234" s="46"/>
      <c r="AE234" s="54"/>
      <c r="AF234" s="55"/>
      <c r="AG234" s="56"/>
      <c r="AH234" s="56"/>
      <c r="AI234" s="55"/>
      <c r="AJ234" s="55"/>
      <c r="AK234" s="56"/>
      <c r="AL234" s="56"/>
      <c r="AM234" s="34"/>
      <c r="AN234" s="55"/>
      <c r="AO234" s="64"/>
      <c r="AP234" s="58" t="str">
        <f t="shared" si="6"/>
        <v>VARTOTH s.r.o. ubytovacie a stravovacie sluzby, &amp;#32vsetky kategorie  059 12 Svabovce Spolocnost VARTOTH s.r.o. vytvorila podmienky pre realizaciu opatreni socialnej politiky a vyuziva nastroje, ktore umoznuju vytvarat podmienky pre zamestnavanie najma dlhodobo nezamestnanych a inak znevyhodnenych obyvatelov. 
 Predmetna poskytovana sluzba pozostava z pripravy jedla a jeho nasledneho rozvozu priamo na adresu zakaznika. 
 Spolocnost prevadzkuje vydajnu jedla v Spisskom Stvrtku a v ramci svojej cinnosti vykonava aj rozvoz jedla. Predmetom cinnosti spolocnosti je pohostinska cinnost a vyroba hotovych jedal urcenych na priamu spotrebu mimo prevadzkovych priestorov. Primarnou cielovou skupinou pri poskytovani sluzieb su seniori, odkazane skupiny a inak znevyhodneni obyvatelia prevazne v okruhu 20 km od prevadzky. Sekundarnou cielovou skupinou je ostatne obyvatelstvo a v case koronakrizy aj zamestnanci, ktori sa za beznych podmienok chodili stravovat do uzavretych stravovacich zariadeni. Spolocnost momentalne zamestnava iba znevyhodnene osoby v zmysle prislusnych ustanoveni zakona c. 112/2018 Z. z.. VARTOTH s.r.o. Spolocnost VARTOTH s.r.o. v prevadzke v Spisskom Stvrtku poskytuje hotovu hermeticky balenu stravu a rozvaza ju priamo na adresu spotrebitela. rozvoj jedal, priprava hotovych jedal, vydajna jedla, donaska stravy           </v>
      </c>
      <c r="AQ234" s="37"/>
    </row>
    <row r="235" ht="15.75" customHeight="1">
      <c r="A235" s="43"/>
      <c r="B235" s="59">
        <v>253.0</v>
      </c>
      <c r="C235" s="75" t="s">
        <v>2632</v>
      </c>
      <c r="D235" s="42" t="s">
        <v>80</v>
      </c>
      <c r="E235" s="38" t="str">
        <f t="shared" si="1"/>
        <v>Trnavský kraj, &amp;#32celé Slovensko</v>
      </c>
      <c r="F235" s="42" t="s">
        <v>2633</v>
      </c>
      <c r="G235" s="38" t="str">
        <f t="shared" si="2"/>
        <v>vzdelávanie, kultúra a šport, reklama, pre deti, &amp;#32všetky kategórie</v>
      </c>
      <c r="H235" s="42" t="s">
        <v>53</v>
      </c>
      <c r="I235" s="43" t="str">
        <f t="shared" si="3"/>
        <v>1 - 5, &amp;#32všetky možnosti</v>
      </c>
      <c r="J235" s="44" t="str">
        <f t="shared" si="7"/>
        <v>,,Náhradné plnenie</v>
      </c>
      <c r="K235" s="45">
        <f t="shared" si="5"/>
        <v>17485.62459</v>
      </c>
      <c r="L235" s="43"/>
      <c r="M235" s="43" t="str">
        <f>IFERROR(__xludf.DUMMYFUNCTION("SPLIT(O235,"","")"),"Budovateľská 1068")</f>
        <v>Budovateľská 1068</v>
      </c>
      <c r="N235" s="43" t="str">
        <f>IFERROR(__xludf.DUMMYFUNCTION("""COMPUTED_VALUE""")," 925 52 Šoporňa")</f>
        <v> 925 52 Šoporňa</v>
      </c>
      <c r="O235" s="42" t="s">
        <v>2634</v>
      </c>
      <c r="P235" s="43">
        <v>48.2513817</v>
      </c>
      <c r="Q235" s="43">
        <v>17.826675</v>
      </c>
      <c r="R235" s="56" t="s">
        <v>2635</v>
      </c>
      <c r="S235" s="112" t="s">
        <v>2636</v>
      </c>
      <c r="T235" s="113" t="s">
        <v>86</v>
      </c>
      <c r="U235" s="49" t="s">
        <v>2637</v>
      </c>
      <c r="V235" s="66" t="s">
        <v>2638</v>
      </c>
      <c r="W235" s="54" t="s">
        <v>2639</v>
      </c>
      <c r="X235" s="54" t="s">
        <v>2640</v>
      </c>
      <c r="Y235" s="110" t="s">
        <v>2641</v>
      </c>
      <c r="Z235" s="108" t="s">
        <v>2642</v>
      </c>
      <c r="AA235" s="109" t="s">
        <v>64</v>
      </c>
      <c r="AB235" s="54"/>
      <c r="AC235" s="56"/>
      <c r="AD235" s="46"/>
      <c r="AE235" s="54"/>
      <c r="AF235" s="55"/>
      <c r="AG235" s="56"/>
      <c r="AH235" s="56"/>
      <c r="AI235" s="55"/>
      <c r="AJ235" s="55"/>
      <c r="AK235" s="56"/>
      <c r="AL235" s="56"/>
      <c r="AM235" s="34"/>
      <c r="AN235" s="55"/>
      <c r="AO235" s="57" t="s">
        <v>40</v>
      </c>
      <c r="AP235" s="58" t="str">
        <f t="shared" si="6"/>
        <v>Fandime Slovensku, obcianske zdruzenie vzdelavanie, kultura a sport, reklama, pre deti, &amp;#32vsetky kategorie  925 52 Soporna Nase obcianske zdruzenie chce spolupracovat so sportovcami a fanusikmi. Nasim prvym produktom su tlieskacie rukavice, ktore su jedinecne a ktore mame zaroven patentovane. Pripravujeme spolupracu aj i externymi firmami na tvorbe produktov urcenych pre fanusikov a sportovcov. Ponukame tiez produkty tykajuce sa zdraveho zivotneho stylu, marketingu a brandingu pre sportove kluby. Mame ZTP a zdravotne znevyhodnenych zamestnancov, primarne obchodnych zastupcov. Mame tiez pripraveny projekt na financovanie sportovych trenerov a ine podobne projekty pre vsetky deti ci dorast. Fandime Slovensku Momentalne pracujeme na dotvoreni obsahu webovej stranky, priprave blogu, sutazi pre fanusikov. Taktiez planujeme zamestnat obchodnych zastupcov pre predaj nasich produktov a pripravujeme vyrobu vlastnych produktov. tlieskacie rukavice           </v>
      </c>
      <c r="AQ235" s="37"/>
    </row>
    <row r="236" ht="15.75" customHeight="1">
      <c r="A236" s="43"/>
      <c r="B236" s="59">
        <v>254.0</v>
      </c>
      <c r="C236" s="75" t="s">
        <v>2643</v>
      </c>
      <c r="D236" s="42" t="s">
        <v>66</v>
      </c>
      <c r="E236" s="38" t="str">
        <f t="shared" si="1"/>
        <v>Žilinský kraj, &amp;#32celé Slovensko</v>
      </c>
      <c r="F236" s="42" t="s">
        <v>1665</v>
      </c>
      <c r="G236" s="38" t="str">
        <f t="shared" si="2"/>
        <v>reklama, &amp;#32všetky kategórie</v>
      </c>
      <c r="H236" s="42" t="s">
        <v>53</v>
      </c>
      <c r="I236" s="43" t="str">
        <f t="shared" si="3"/>
        <v>1 - 5, &amp;#32všetky možnosti</v>
      </c>
      <c r="J236" s="44" t="str">
        <f t="shared" si="7"/>
        <v>,,Náhradné plnenie</v>
      </c>
      <c r="K236" s="45">
        <f t="shared" si="5"/>
        <v>41096.35443</v>
      </c>
      <c r="L236" s="43"/>
      <c r="M236" s="43" t="str">
        <f>IFERROR(__xludf.DUMMYFUNCTION("SPLIT(O236,"","")"),"Hrabinská 591/15")</f>
        <v>Hrabinská 591/15</v>
      </c>
      <c r="N236" s="43" t="str">
        <f>IFERROR(__xludf.DUMMYFUNCTION("""COMPUTED_VALUE""")," 038 52 Sučany")</f>
        <v> 038 52 Sučany</v>
      </c>
      <c r="O236" s="42" t="s">
        <v>2644</v>
      </c>
      <c r="P236" s="43">
        <v>49.11102</v>
      </c>
      <c r="Q236" s="43">
        <v>19.0005441</v>
      </c>
      <c r="R236" s="56" t="s">
        <v>2645</v>
      </c>
      <c r="S236" s="112" t="s">
        <v>2646</v>
      </c>
      <c r="T236" s="113" t="s">
        <v>86</v>
      </c>
      <c r="U236" s="49" t="s">
        <v>2647</v>
      </c>
      <c r="V236" s="66" t="s">
        <v>2648</v>
      </c>
      <c r="W236" s="54" t="s">
        <v>2649</v>
      </c>
      <c r="X236" s="54" t="s">
        <v>2643</v>
      </c>
      <c r="Y236" s="110" t="s">
        <v>2650</v>
      </c>
      <c r="Z236" s="108" t="s">
        <v>2651</v>
      </c>
      <c r="AA236" s="109" t="s">
        <v>64</v>
      </c>
      <c r="AB236" s="54"/>
      <c r="AC236" s="56"/>
      <c r="AD236" s="46"/>
      <c r="AE236" s="54"/>
      <c r="AF236" s="55"/>
      <c r="AG236" s="56"/>
      <c r="AH236" s="56"/>
      <c r="AI236" s="55"/>
      <c r="AJ236" s="55"/>
      <c r="AK236" s="56"/>
      <c r="AL236" s="56"/>
      <c r="AM236" s="34"/>
      <c r="AN236" s="55"/>
      <c r="AO236" s="57" t="s">
        <v>40</v>
      </c>
      <c r="AP236" s="58" t="str">
        <f t="shared" si="6"/>
        <v>RA design, s. r. o. reklama, &amp;#32vsetky kategorie  038 52 Sucany Sme mala, ale rychlo sa rozvijajuca firma, zaoberajuca sa reklamou. Okrem zabezpecenia tlace reklamnych letakov, vizitiek, pozvanok a ostatnych tlacovin, vam vieme zhotovit aj graficke navrhy. Dalej sa zameriavame na potlac/vysivanie textilii a inych predmetov, gravirovanie ci vyrobu etikiet. Nasou prioritou je pristupovat k zakaznikom individualne a s dorazom na kvalitu. Poskytovanim spolocensky prospesnej sluzby v oblasti podpory regionalneho rozvoja a zamestnanosti. RA design, s. r. o. Zabezpecime vyrobu reklamnych letakov, tlac vizitiek, pozvanok a ostatnych tlacovin vratane grafickych navrhov. Robime potlac/vysivanie textilii a inych predmetov, gravirovanie, vyrobu etikiet. tlac, reklama, graficke prace, potlac, vysivanie, gravirovanie, tlac etikiet, vizitky           </v>
      </c>
      <c r="AQ236" s="37"/>
    </row>
    <row r="237" ht="15.75" customHeight="1">
      <c r="A237" s="43"/>
      <c r="B237" s="59">
        <v>255.0</v>
      </c>
      <c r="C237" s="75" t="s">
        <v>2652</v>
      </c>
      <c r="D237" s="42" t="s">
        <v>134</v>
      </c>
      <c r="E237" s="38" t="str">
        <f t="shared" si="1"/>
        <v>Trenčiansky kraj, &amp;#32celé Slovensko</v>
      </c>
      <c r="F237" s="42" t="s">
        <v>1967</v>
      </c>
      <c r="G237" s="38" t="str">
        <f t="shared" si="2"/>
        <v>účtovníctvo a poradenstvo, &amp;#32všetky kategórie</v>
      </c>
      <c r="H237" s="42" t="s">
        <v>96</v>
      </c>
      <c r="I237" s="43" t="str">
        <f t="shared" si="3"/>
        <v>6 - 10, &amp;#32všetky možnosti</v>
      </c>
      <c r="J237" s="44" t="str">
        <f t="shared" si="7"/>
        <v>,,</v>
      </c>
      <c r="K237" s="45">
        <f t="shared" si="5"/>
        <v>18051.92794</v>
      </c>
      <c r="L237" s="43"/>
      <c r="M237" s="43" t="str">
        <f>IFERROR(__xludf.DUMMYFUNCTION("SPLIT(O237,"","")"),"M. Falešníka 10")</f>
        <v>M. Falešníka 10</v>
      </c>
      <c r="N237" s="43" t="str">
        <f>IFERROR(__xludf.DUMMYFUNCTION("""COMPUTED_VALUE""")," 971 01 Prievidza")</f>
        <v> 971 01 Prievidza</v>
      </c>
      <c r="O237" s="42" t="s">
        <v>2653</v>
      </c>
      <c r="P237" s="43">
        <v>48.7770392</v>
      </c>
      <c r="Q237" s="43">
        <v>18.608783</v>
      </c>
      <c r="R237" s="56" t="s">
        <v>2654</v>
      </c>
      <c r="S237" s="112" t="s">
        <v>2655</v>
      </c>
      <c r="T237" s="113" t="s">
        <v>2656</v>
      </c>
      <c r="U237" s="49" t="s">
        <v>2657</v>
      </c>
      <c r="V237" s="66" t="s">
        <v>2658</v>
      </c>
      <c r="W237" s="54" t="s">
        <v>2659</v>
      </c>
      <c r="X237" s="54" t="s">
        <v>2660</v>
      </c>
      <c r="Y237" s="110" t="s">
        <v>2661</v>
      </c>
      <c r="Z237" s="108" t="s">
        <v>2662</v>
      </c>
      <c r="AA237" s="109" t="s">
        <v>64</v>
      </c>
      <c r="AB237" s="54"/>
      <c r="AC237" s="56"/>
      <c r="AD237" s="46"/>
      <c r="AE237" s="54"/>
      <c r="AF237" s="55"/>
      <c r="AG237" s="56"/>
      <c r="AH237" s="56"/>
      <c r="AI237" s="55"/>
      <c r="AJ237" s="55"/>
      <c r="AK237" s="56"/>
      <c r="AL237" s="56"/>
      <c r="AM237" s="34"/>
      <c r="AN237" s="55"/>
      <c r="AO237" s="64"/>
      <c r="AP237" s="58" t="str">
        <f t="shared" si="6"/>
        <v>Ekopom s. r. o. uctovnictvo a poradenstvo, &amp;#32vsetky kategorie  971 01 Prievidza Spolocnost Ekopom s.r.o., vznikla 20.05.2010. Od svojho zalozenia sa venujeme hlavne vedeniu uctovnictva v programe Money, spracovaniu danovych priznani, evidencii majetku, zakladaniu spolocnosti, administrativnej cinnosti, vedeniu mzdovej a personalnej agendy, pocitacovej cinnosti, cinnosti podnikatelskych, organizacnych a ekonomickych poradcov, prenajmu hnutelnych veci, vzdelavacej cinnosti, atd. Dna 27.01.2021 nam bol priznany statut registrovaneho integracneho socialneho podniku. Zakladnym predpokladom pre bezproblemovy chod kazdeho podnikania je spravne a nacas spracovane uctovnictvo a administrativa pod kontrolou, poskytovanim nasich sluzieb pomahame, aby tento ciel dokazali splnit vsetci nasi aktualni, ako aj buduci klienti. Nas slogan je: "Administrativu nechajte na nas, VY OBCHODUJTE!" Zamestnavanim znevyhodnenych a/alebo zranitelnych osob. Ekopom s. r. o., r. s. p. Venujeme sa hlavne vedeniu uctovnictva, mzdovej a personalnej agendy, spracovaniu danovych priznani, evidencii majetku, zalozeniu spolocnosti a nasledne ich zaniku, poskytujeme podnikatelske, organizacne a ekonomicke poradenstvo, spracovavame vykazy a statistiky, poskytujeme ostatne administrativne sluzby, pocitacove sluzby, prenajimame hnutelne veci, atd. Uctovnictvo spracovavame aj online, v programe Money s moznostou vyuzitia zdielania dat. Vedenie uctovnictva, danove priznania, poradenstvo, administrativa, mzdova agenda, personalna agenda, evidencia majetku, vykazy, statistiky, konzultacie           </v>
      </c>
      <c r="AQ237" s="37"/>
    </row>
    <row r="238" ht="15.75" customHeight="1">
      <c r="A238" s="43"/>
      <c r="B238" s="59">
        <v>256.0</v>
      </c>
      <c r="C238" s="75" t="s">
        <v>2663</v>
      </c>
      <c r="D238" s="42" t="s">
        <v>51</v>
      </c>
      <c r="E238" s="38" t="str">
        <f t="shared" si="1"/>
        <v>Prešovský kraj, &amp;#32celé Slovensko</v>
      </c>
      <c r="F238" s="42" t="s">
        <v>2664</v>
      </c>
      <c r="G238" s="38" t="str">
        <f t="shared" si="2"/>
        <v>stavebníctvo, potraviny a nápoje, reklama, bižutéria a darčekové predmety, &amp;#32všetky kategórie</v>
      </c>
      <c r="H238" s="42" t="s">
        <v>82</v>
      </c>
      <c r="I238" s="43" t="str">
        <f t="shared" si="3"/>
        <v>11 - 15, &amp;#32všetky možnosti</v>
      </c>
      <c r="J238" s="44" t="str">
        <f t="shared" si="7"/>
        <v>,Register partnerov VS,</v>
      </c>
      <c r="K238" s="45">
        <f t="shared" si="5"/>
        <v>20175.43747</v>
      </c>
      <c r="L238" s="43"/>
      <c r="M238" s="43" t="str">
        <f>IFERROR(__xludf.DUMMYFUNCTION("SPLIT(O238,"","")"),"SNP 10")</f>
        <v>SNP 10</v>
      </c>
      <c r="N238" s="43" t="str">
        <f>IFERROR(__xludf.DUMMYFUNCTION("""COMPUTED_VALUE""")," 053 02 Spišský Hrhov")</f>
        <v> 053 02 Spišský Hrhov</v>
      </c>
      <c r="O238" s="42" t="s">
        <v>2665</v>
      </c>
      <c r="P238" s="43">
        <v>49.0013629</v>
      </c>
      <c r="Q238" s="43">
        <v>20.6390566</v>
      </c>
      <c r="R238" s="56" t="s">
        <v>2666</v>
      </c>
      <c r="S238" s="112" t="s">
        <v>2667</v>
      </c>
      <c r="T238" s="113" t="s">
        <v>86</v>
      </c>
      <c r="U238" s="49" t="s">
        <v>2668</v>
      </c>
      <c r="V238" s="66" t="s">
        <v>2669</v>
      </c>
      <c r="W238" s="54" t="s">
        <v>2670</v>
      </c>
      <c r="X238" s="54" t="s">
        <v>2671</v>
      </c>
      <c r="Y238" s="110" t="s">
        <v>2672</v>
      </c>
      <c r="Z238" s="108" t="s">
        <v>2673</v>
      </c>
      <c r="AA238" s="109" t="s">
        <v>64</v>
      </c>
      <c r="AB238" s="54"/>
      <c r="AC238" s="56"/>
      <c r="AD238" s="46"/>
      <c r="AE238" s="54"/>
      <c r="AF238" s="55"/>
      <c r="AG238" s="56"/>
      <c r="AH238" s="56"/>
      <c r="AI238" s="55"/>
      <c r="AJ238" s="55"/>
      <c r="AK238" s="56"/>
      <c r="AL238" s="56"/>
      <c r="AM238" s="47"/>
      <c r="AN238" s="62" t="s">
        <v>39</v>
      </c>
      <c r="AO238" s="64"/>
      <c r="AP238" s="58" t="str">
        <f t="shared" si="6"/>
        <v>Hrhovske sluzby, s. r. o., r. s. p. stavebnictvo, potraviny a napoje, reklama, bizuteria a darcekove predmety, &amp;#32vsetky kategorie  053 02 Spissky Hrhov V ponuke mame viacero cinnosti: - - stavebne prace - vystavba rodinnych domov, bytovych domov, chodnikov, rekonstrukcia budov, rekonstrukcia ciest, pretlakove prace, 
 - gravirovanie do dreva - ponukame rozne darcekove predmety s gravirovanym motivom, varesky, denka, klucenky a cokolvek podla vlastneho vyberu,
 - Kredenc - poctive potraviny, kde predavame najma regionalne produkty (stavy, syry, klobasy, caje, korenie, dzemy, bezobalove potraviny - mak, susene ovocie a podobne.)
 - pestovatelska palenica - ponukame palenie domacej palenky z doma pripraveneho kvasu. Je prospesny v prvom rade v oblasti zamestnavania. Hrhovske sluzby s.r.o., r.s.p. Stavebna cinnost - vystavba, rekonstrukcie, kamenarske prace;
 Drevospracujuca vyroba - vyroba komponentov z dreva, vcelie ule, vyvysene zahony;
 Kredenc - poctive potraviny z regionu;
 Gravirovanie - gravirovacie prace do dreva, varesky, klucenky s textom a ine;
 Pestovatelska palenica - palenica pre pestovatelov, vypalime Vam z doma pripraveneho kvasu kvalitny alkohol. kamenarske prace, gravirovanie do dreva, potraviny, bezobalovo, vyvysene zahony, drevovyroba, palenica, lokalne potraviny           Register partnerov VS</v>
      </c>
      <c r="AQ238" s="37"/>
    </row>
    <row r="239" ht="15.75" customHeight="1">
      <c r="A239" s="43"/>
      <c r="B239" s="59">
        <v>257.0</v>
      </c>
      <c r="C239" s="75" t="s">
        <v>2674</v>
      </c>
      <c r="D239" s="42" t="s">
        <v>181</v>
      </c>
      <c r="E239" s="38" t="str">
        <f t="shared" si="1"/>
        <v>Banskobystrický kraj, &amp;#32celé Slovensko</v>
      </c>
      <c r="F239" s="42" t="s">
        <v>2675</v>
      </c>
      <c r="G239" s="38" t="str">
        <f t="shared" si="2"/>
        <v>stavebníctvo, odpady a recyklácia, &amp;#32všetky kategórie</v>
      </c>
      <c r="H239" s="42" t="s">
        <v>53</v>
      </c>
      <c r="I239" s="43" t="str">
        <f t="shared" si="3"/>
        <v>1 - 5, &amp;#32všetky možnosti</v>
      </c>
      <c r="J239" s="44" t="str">
        <f t="shared" si="7"/>
        <v>,Register partnerov VS,</v>
      </c>
      <c r="K239" s="45">
        <f t="shared" si="5"/>
        <v>28718.02293</v>
      </c>
      <c r="L239" s="43"/>
      <c r="M239" s="43" t="str">
        <f>IFERROR(__xludf.DUMMYFUNCTION("SPLIT(O239,"","")"),"Lučenecká cesta 2266/6")</f>
        <v>Lučenecká cesta 2266/6</v>
      </c>
      <c r="N239" s="43" t="str">
        <f>IFERROR(__xludf.DUMMYFUNCTION("""COMPUTED_VALUE""")," 960 96 Zvolen")</f>
        <v> 960 96 Zvolen</v>
      </c>
      <c r="O239" s="42" t="s">
        <v>2676</v>
      </c>
      <c r="P239" s="43">
        <v>48.5665549</v>
      </c>
      <c r="Q239" s="43">
        <v>19.1575459</v>
      </c>
      <c r="R239" s="56" t="s">
        <v>2677</v>
      </c>
      <c r="S239" s="112" t="s">
        <v>2678</v>
      </c>
      <c r="T239" s="48" t="s">
        <v>2679</v>
      </c>
      <c r="U239" s="49" t="s">
        <v>2680</v>
      </c>
      <c r="V239" s="66" t="s">
        <v>2681</v>
      </c>
      <c r="W239" s="54" t="s">
        <v>2682</v>
      </c>
      <c r="X239" s="54" t="s">
        <v>2674</v>
      </c>
      <c r="Y239" s="110" t="s">
        <v>2683</v>
      </c>
      <c r="Z239" s="108" t="s">
        <v>2684</v>
      </c>
      <c r="AA239" s="109" t="s">
        <v>64</v>
      </c>
      <c r="AB239" s="54"/>
      <c r="AC239" s="56"/>
      <c r="AD239" s="46"/>
      <c r="AE239" s="54"/>
      <c r="AF239" s="55"/>
      <c r="AG239" s="56"/>
      <c r="AH239" s="56"/>
      <c r="AI239" s="55"/>
      <c r="AJ239" s="55"/>
      <c r="AK239" s="56"/>
      <c r="AL239" s="56"/>
      <c r="AM239" s="47"/>
      <c r="AN239" s="62" t="s">
        <v>39</v>
      </c>
      <c r="AO239" s="64"/>
      <c r="AP239" s="58" t="str">
        <f t="shared" si="6"/>
        <v>POH, s.r.o. "registrovany socialny podnik" stavebnictvo, odpady a recyklacia, &amp;#32vsetky kategorie  960 96 Zvolen Sme stavebno-obchodna spolocnost. Ponukame komplexne stavby na kluc, ci ide o rekonstrukcie, novostavby alebo priemyselne stavby. Zameriavame sa na budovanie prvkov zelenej infrastruktury v intravilane a extravilane obci. Ide o realizaciu vegetacnych "zelenych" striech, stien, ekologickych priepustnych spevnenych ploch, dazdovych zahrad. Ponukame na predaj aj samostatny ekologicky stavebny material, ktory je 100% vyrobeny z recyklovanych materialov. Vzdelavame nasich zakaznikov na prechod na obehove hospodarstvo. Medzi nasich zakaznikov patria od velkych developerskych spolocnosti, stavebnych firiem az po drobnych stavebnikov, fyzicke osoby. Zameriavame sa na mesta a obce a ponukame im nase stavebne sluzby. Uskutocnovanim stavieb a ich zmien so zameranim sa na prvky zelenej infrastruktury, ako su uprava beznych striech na vegetacne strechy, sadove upravy k znizeniu asfaltovych ploch, ako napriklad retencnych ploch parkovisk s cielom zvysenia zelene v zastavanych plochach, realizacia protihlukovych opatreni realizovanych vystavbou, ako aj tepelne a akusticke izolacie budov. V oblasti vzdelavania a zvysovania povedomia sa spolocnost venuje vzdelavacim aktivitam prispievajucim k pozitivnym zmenam v oblasti klimatickych zmien so zameranim na obehove hospodarstvo. Obehove hospodarstvo spociva v inteligentnom rieseni spotreby obyvatelov s naslednou opravou pouzitelnych zdrojov, ich repasaciu a zaroven nakladanie s odpadom az po navrat surovin naspat do hospodarstva a ich opatovne vyuzitie vo vyrobnom cykle uz v podobe druhotnych surovin. POH, s.r.o. "registrovany socialny podnik" Ponuka sluzieb v ramci stavebnictva, predaj ekologickych aj klasickych stavebnych maerialov. komplexne dodavky stavieb, predaj recyklovanych materialov, zelene strechy, dazdove zahrady, ekologicke stavby, obehove hospodarstvo, ekologicky material, poradenstvo pre obehove hospodarstvo           Register partnerov VS</v>
      </c>
      <c r="AQ239" s="37"/>
    </row>
    <row r="240" ht="15.75" customHeight="1">
      <c r="A240" s="43"/>
      <c r="B240" s="59">
        <v>258.0</v>
      </c>
      <c r="C240" s="75" t="s">
        <v>2685</v>
      </c>
      <c r="D240" s="42" t="s">
        <v>218</v>
      </c>
      <c r="E240" s="38" t="str">
        <f t="shared" si="1"/>
        <v>Košický kraj, &amp;#32celé Slovensko</v>
      </c>
      <c r="F240" s="42" t="s">
        <v>1154</v>
      </c>
      <c r="G240" s="38" t="str">
        <f t="shared" si="2"/>
        <v>dom a záhrada, &amp;#32všetky kategórie</v>
      </c>
      <c r="H240" s="42" t="s">
        <v>53</v>
      </c>
      <c r="I240" s="43" t="str">
        <f t="shared" si="3"/>
        <v>1 - 5, &amp;#32všetky možnosti</v>
      </c>
      <c r="J240" s="44" t="str">
        <f t="shared" si="7"/>
        <v>Servisné poukážky,,Náhradné plnenie</v>
      </c>
      <c r="K240" s="45">
        <f t="shared" si="5"/>
        <v>40462.85324</v>
      </c>
      <c r="L240" s="43"/>
      <c r="M240" s="43" t="str">
        <f>IFERROR(__xludf.DUMMYFUNCTION("SPLIT(O240,"","")"),"Letná 930")</f>
        <v>Letná 930</v>
      </c>
      <c r="N240" s="43" t="str">
        <f>IFERROR(__xludf.DUMMYFUNCTION("""COMPUTED_VALUE""")," 053 33 Nálepkovo")</f>
        <v> 053 33 Nálepkovo</v>
      </c>
      <c r="O240" s="42" t="s">
        <v>2686</v>
      </c>
      <c r="P240" s="43">
        <v>48.8478601</v>
      </c>
      <c r="Q240" s="43">
        <v>20.6121982</v>
      </c>
      <c r="R240" s="56" t="s">
        <v>2687</v>
      </c>
      <c r="S240" s="112" t="s">
        <v>2688</v>
      </c>
      <c r="T240" s="113" t="s">
        <v>2689</v>
      </c>
      <c r="U240" s="49" t="s">
        <v>2690</v>
      </c>
      <c r="V240" s="66" t="s">
        <v>2691</v>
      </c>
      <c r="W240" s="54" t="s">
        <v>2692</v>
      </c>
      <c r="X240" s="54" t="s">
        <v>2685</v>
      </c>
      <c r="Y240" s="110" t="s">
        <v>2693</v>
      </c>
      <c r="Z240" s="108" t="s">
        <v>2694</v>
      </c>
      <c r="AA240" s="109" t="s">
        <v>64</v>
      </c>
      <c r="AB240" s="54"/>
      <c r="AC240" s="56"/>
      <c r="AD240" s="46"/>
      <c r="AE240" s="54"/>
      <c r="AF240" s="55"/>
      <c r="AG240" s="56"/>
      <c r="AH240" s="56"/>
      <c r="AI240" s="55"/>
      <c r="AJ240" s="55"/>
      <c r="AK240" s="56"/>
      <c r="AL240" s="56"/>
      <c r="AM240" s="18" t="s">
        <v>321</v>
      </c>
      <c r="AN240" s="55"/>
      <c r="AO240" s="57" t="s">
        <v>40</v>
      </c>
      <c r="AP240" s="58" t="str">
        <f t="shared" si="6"/>
        <v>Girmonn, s.r.o. dom a zahrada, &amp;#32vsetky kategorie  053 33 Nalepkovo Registrovany socialny podnik Girmonn, s. r. o. posobi na trhu so stiepanym palivovym drevom od jula 2021. Jeho cinnost sa primarne orientuje na sluzbu stiepania palivoveho dreva mobilnym stiepacim poloautomatom s vlastnym pohonom v domacnostiach u zakaznikov - doma alebo na chalupe. Touto sluzbou chce socialny podnik pomoct vsetkym obyvatelom, ktori na vykurovanie pouzivaju drevo a odbremenit ich od narocneho a zdlhaveho rucneho stiepania. Podnik taktiez zabezpecuje vyrobu stiepaneho palivoveho dreva, ktore je volne sypane a dodavane v standardnych dlzkach od 25 cm do 50 cm podla zelania zakaznika. Doprava dreva je pre zakaznikov zabezpecena vozidlom do 3,5 tony v ramci okresov Spisska Nova Ves a Gelnica. V roku 2022 planujeme vyuzivat servisne poukazky, ktorymi bude mozne za sluzbu stiepania dreva platit. Pre odkazanu osobu to predstavuje polovicne naklady vynalozene na zabezpecenie dolezitej zivotnej potreby, najma v oblastiach, kde sa stale kuri tuhym palivom. Tvorbou pracovnych miest a zvysovanim zamestnanosti znevyhodnenych a zranitelnych osob. Girmonn, s.r.o. Sluzba stiepania palivoveho dreva, stiepane palivove drevo s moznostou dopravy stiepanie palivoveho dreva, stiepane palivove drevo          Servisne poukazky </v>
      </c>
      <c r="AQ240" s="37"/>
    </row>
    <row r="241" ht="15.75" customHeight="1">
      <c r="A241" s="43"/>
      <c r="B241" s="59">
        <v>259.0</v>
      </c>
      <c r="C241" s="75" t="s">
        <v>2695</v>
      </c>
      <c r="D241" s="42" t="s">
        <v>181</v>
      </c>
      <c r="E241" s="38" t="str">
        <f t="shared" si="1"/>
        <v>Banskobystrický kraj, &amp;#32celé Slovensko</v>
      </c>
      <c r="F241" s="80" t="s">
        <v>2696</v>
      </c>
      <c r="G241" s="38" t="str">
        <f t="shared" si="2"/>
        <v>reklama, obaly, iné (tovary a služby), &amp;#32všetky kategórie</v>
      </c>
      <c r="H241" s="42" t="s">
        <v>170</v>
      </c>
      <c r="I241" s="43" t="str">
        <f t="shared" si="3"/>
        <v>21 a viac, &amp;#32všetky možnosti</v>
      </c>
      <c r="J241" s="44" t="str">
        <f t="shared" si="7"/>
        <v>,Register partnerov VS,Náhradné plnenie</v>
      </c>
      <c r="K241" s="45">
        <f t="shared" si="5"/>
        <v>27532.82744</v>
      </c>
      <c r="L241" s="43"/>
      <c r="M241" s="43" t="str">
        <f>IFERROR(__xludf.DUMMYFUNCTION("SPLIT(O241,"","")"),"Kyjevské námestie 2")</f>
        <v>Kyjevské námestie 2</v>
      </c>
      <c r="N241" s="43" t="str">
        <f>IFERROR(__xludf.DUMMYFUNCTION("""COMPUTED_VALUE""")," 974 04 Banská Bystrica")</f>
        <v> 974 04 Banská Bystrica</v>
      </c>
      <c r="O241" s="42" t="s">
        <v>2697</v>
      </c>
      <c r="P241" s="43">
        <v>48.7273372999999</v>
      </c>
      <c r="Q241" s="43">
        <v>19.1191104</v>
      </c>
      <c r="R241" s="56" t="s">
        <v>2698</v>
      </c>
      <c r="S241" s="112" t="s">
        <v>2699</v>
      </c>
      <c r="T241" s="113" t="s">
        <v>2700</v>
      </c>
      <c r="U241" s="49" t="s">
        <v>2701</v>
      </c>
      <c r="V241" s="66" t="s">
        <v>2702</v>
      </c>
      <c r="W241" s="54" t="s">
        <v>2703</v>
      </c>
      <c r="X241" s="54" t="s">
        <v>2704</v>
      </c>
      <c r="Y241" s="110" t="s">
        <v>2705</v>
      </c>
      <c r="Z241" s="108" t="s">
        <v>2706</v>
      </c>
      <c r="AA241" s="109" t="s">
        <v>64</v>
      </c>
      <c r="AB241" s="54"/>
      <c r="AC241" s="56"/>
      <c r="AD241" s="46"/>
      <c r="AE241" s="54"/>
      <c r="AF241" s="55"/>
      <c r="AG241" s="56"/>
      <c r="AH241" s="56"/>
      <c r="AI241" s="55"/>
      <c r="AJ241" s="55"/>
      <c r="AK241" s="56"/>
      <c r="AL241" s="56"/>
      <c r="AM241" s="47"/>
      <c r="AN241" s="62" t="s">
        <v>39</v>
      </c>
      <c r="AO241" s="57" t="s">
        <v>40</v>
      </c>
      <c r="AP241" s="58" t="str">
        <f t="shared" si="6"/>
        <v>Registrovany socialny podnik Alfa s.r.o. reklama, obaly, ine (tovary a sluzby), &amp;#32vsetky kategorie  974 04 Banska Bystrica Ponukame polygraficke sluzby doplnene o kniharske spracovanie, kalendare, diare, kancelarske potreby, reklamne predmety, dalej vyrobu pre automotive a elektroinstalaciu, umyvanie KLT boxov a prepraviek, digitalne sluzby a spravu online priestoru. V integracii vacsieho poctu osob so znizenou pracovnou schopnostou do zamestnania. Registrovany socialny podnik ALFA s.r.o. Polygraficke sluzby doplnene o kniharske spracovanie, kalendare diare, kancelarske potreby, reklamne predmety, dalej vyroba pre automotive a elektroinstalaciu, umyvanie KLT boxov a prepraviek, digitalne sluzby a spravu online priestoru. Polygraficke sluzby doplnene o kniharske spracovanie, kalendare diare, kancelarske potreby, reklamne predmety, vyroba pre automotive a elektroinstalaciu, umyvanie KLT, digitalne sluzby a sprava online priestoru, katalog, vizitky, plagaty           Register partnerov VS</v>
      </c>
      <c r="AQ241" s="37"/>
    </row>
    <row r="242" ht="15.75" customHeight="1">
      <c r="A242" s="43"/>
      <c r="B242" s="59">
        <v>260.0</v>
      </c>
      <c r="C242" s="75" t="s">
        <v>2707</v>
      </c>
      <c r="D242" s="42" t="s">
        <v>181</v>
      </c>
      <c r="E242" s="38" t="str">
        <f t="shared" si="1"/>
        <v>Banskobystrický kraj, &amp;#32celé Slovensko</v>
      </c>
      <c r="F242" s="42" t="s">
        <v>2708</v>
      </c>
      <c r="G242" s="38" t="str">
        <f t="shared" si="2"/>
        <v>čistiace a upratovacie služby, dom a záhrada, ubytovacie a stravovacie služby, reklama, obaly, počítačová a kancelárska technika, &amp;#32všetky kategórie</v>
      </c>
      <c r="H242" s="42" t="s">
        <v>82</v>
      </c>
      <c r="I242" s="43" t="str">
        <f t="shared" si="3"/>
        <v>11 - 15, &amp;#32všetky možnosti</v>
      </c>
      <c r="J242" s="44" t="str">
        <f t="shared" si="7"/>
        <v>,Register partnerov VS,</v>
      </c>
      <c r="K242" s="45">
        <f t="shared" si="5"/>
        <v>8199.83001</v>
      </c>
      <c r="L242" s="43"/>
      <c r="M242" s="43" t="str">
        <f>IFERROR(__xludf.DUMMYFUNCTION("SPLIT(O242,"","")"),"Pletiarska 10/A")</f>
        <v>Pletiarska 10/A</v>
      </c>
      <c r="N242" s="43" t="str">
        <f>IFERROR(__xludf.DUMMYFUNCTION("""COMPUTED_VALUE""")," 969 01 Banská Štiavnica")</f>
        <v> 969 01 Banská Štiavnica</v>
      </c>
      <c r="O242" s="42" t="s">
        <v>2709</v>
      </c>
      <c r="P242" s="43">
        <v>48.4527198</v>
      </c>
      <c r="Q242" s="43">
        <v>18.9070774</v>
      </c>
      <c r="R242" s="56" t="s">
        <v>2710</v>
      </c>
      <c r="S242" s="112" t="s">
        <v>2711</v>
      </c>
      <c r="T242" s="113" t="s">
        <v>2712</v>
      </c>
      <c r="U242" s="49" t="s">
        <v>2713</v>
      </c>
      <c r="V242" s="66" t="s">
        <v>2714</v>
      </c>
      <c r="W242" s="54" t="s">
        <v>2715</v>
      </c>
      <c r="X242" s="54" t="s">
        <v>2716</v>
      </c>
      <c r="Y242" s="110" t="s">
        <v>2717</v>
      </c>
      <c r="Z242" s="108" t="s">
        <v>2718</v>
      </c>
      <c r="AA242" s="109" t="s">
        <v>64</v>
      </c>
      <c r="AB242" s="54"/>
      <c r="AC242" s="56"/>
      <c r="AD242" s="46"/>
      <c r="AE242" s="54"/>
      <c r="AF242" s="55"/>
      <c r="AG242" s="56"/>
      <c r="AH242" s="56"/>
      <c r="AI242" s="55"/>
      <c r="AJ242" s="55"/>
      <c r="AK242" s="56"/>
      <c r="AL242" s="56"/>
      <c r="AM242" s="47"/>
      <c r="AN242" s="62" t="s">
        <v>39</v>
      </c>
      <c r="AO242" s="64"/>
      <c r="AP242" s="58" t="str">
        <f t="shared" si="6"/>
        <v>JA life s.r.o., r. s. p. cistiace a upratovacie sluzby, dom a zahrada, ubytovacie a stravovacie sluzby, reklama, obaly, pocitacova a kancelarska technika, &amp;#32vsetky kategorie  969 01 Banska Stiavnica Pomoc odkazanym a zranitelnym obcanom, socialne slabsim, seniorom v zakladnych ludskych potrebach, ako su upratovanie, stravovanie, doprovod do zdravotnych zariadeni.
 Zamestnavame obcanov, ktori maju zdravotny alebo iny socialny postih, cim ich zaclenujeme do spolocenskeho zivota a prispievame nielen k financnej nezavislosti, ale aj psychickej pomoci. Nasim hlavnym cielom je pozitivny socialny vplyv zamestnavanim socialne slabsich, zranitelnych a znevyhodnenych obcanov, co prispieva k znizovaniu nezamestnanosti. JA Life s.r.o., r.s.p. stolarska vyroba, prevadzka kuchyne, vyvarovna,
poskytovanie socialnej pomoci,sluzby cistiarne a pracovne menu
kuchyna
ponuka jedla
pranie
upratovanie
umyvanie
praca v zahrade
pomoc seniorom
senior
doprovod
vyroba kuchyne
nabytok
olepovanie
 malovanie
spracovanie
 sublimacna tlac
 gravirovanie           Register partnerov VS</v>
      </c>
      <c r="AQ242" s="37"/>
    </row>
    <row r="243" ht="15.75" customHeight="1">
      <c r="A243" s="43"/>
      <c r="B243" s="59">
        <v>261.0</v>
      </c>
      <c r="C243" s="75" t="s">
        <v>2719</v>
      </c>
      <c r="D243" s="42" t="s">
        <v>181</v>
      </c>
      <c r="E243" s="38" t="str">
        <f t="shared" si="1"/>
        <v>Banskobystrický kraj, &amp;#32celé Slovensko</v>
      </c>
      <c r="F243" s="42" t="s">
        <v>2720</v>
      </c>
      <c r="G243" s="38" t="str">
        <f t="shared" si="2"/>
        <v>čistiace a upratovacie služby, odpady a recyklácia, dom a záhrada, &amp;#32všetky kategórie</v>
      </c>
      <c r="H243" s="42" t="s">
        <v>53</v>
      </c>
      <c r="I243" s="43" t="str">
        <f t="shared" si="3"/>
        <v>1 - 5, &amp;#32všetky možnosti</v>
      </c>
      <c r="J243" s="44" t="str">
        <f t="shared" si="7"/>
        <v>,,</v>
      </c>
      <c r="K243" s="45">
        <f t="shared" si="5"/>
        <v>40517.06848</v>
      </c>
      <c r="L243" s="43"/>
      <c r="M243" s="43" t="str">
        <f>IFERROR(__xludf.DUMMYFUNCTION("SPLIT(O243,"","")"),"Cerovo 259")</f>
        <v>Cerovo 259</v>
      </c>
      <c r="N243" s="43" t="str">
        <f>IFERROR(__xludf.DUMMYFUNCTION("""COMPUTED_VALUE""")," 962 52 Cerovo")</f>
        <v> 962 52 Cerovo</v>
      </c>
      <c r="O243" s="42" t="s">
        <v>2721</v>
      </c>
      <c r="P243" s="43">
        <v>48.2531879</v>
      </c>
      <c r="Q243" s="43">
        <v>19.1553401</v>
      </c>
      <c r="R243" s="56" t="s">
        <v>2722</v>
      </c>
      <c r="S243" s="112" t="s">
        <v>2723</v>
      </c>
      <c r="T243" s="113" t="s">
        <v>86</v>
      </c>
      <c r="U243" s="49" t="s">
        <v>2724</v>
      </c>
      <c r="V243" s="66" t="s">
        <v>2725</v>
      </c>
      <c r="W243" s="54" t="s">
        <v>2726</v>
      </c>
      <c r="X243" s="54" t="s">
        <v>2719</v>
      </c>
      <c r="Y243" s="110" t="s">
        <v>2727</v>
      </c>
      <c r="Z243" s="108" t="s">
        <v>2728</v>
      </c>
      <c r="AA243" s="109" t="s">
        <v>64</v>
      </c>
      <c r="AB243" s="54"/>
      <c r="AC243" s="56"/>
      <c r="AD243" s="46"/>
      <c r="AE243" s="54"/>
      <c r="AF243" s="55"/>
      <c r="AG243" s="56"/>
      <c r="AH243" s="56"/>
      <c r="AI243" s="55"/>
      <c r="AJ243" s="55"/>
      <c r="AK243" s="56"/>
      <c r="AL243" s="56"/>
      <c r="AM243" s="34"/>
      <c r="AN243" s="55"/>
      <c r="AO243" s="64"/>
      <c r="AP243" s="58" t="str">
        <f t="shared" si="6"/>
        <v>Obecny podnik Cerovo, s.r.o. cistiace a upratovacie sluzby, odpady a recyklacia, dom a zahrada, &amp;#32vsetky kategorie  962 52 Cerovo Komunalne sluzby a sluzby spojene s udrzbou a spravou majetku obce. Zamestnanie znevyhodnenych skupin. Obecny podnik Cerovo, s.r.o. Komunalne sluzby a sluzby osobneho charakteru sluzby pre obec, komunalne sluzby, udrzba zelene           </v>
      </c>
      <c r="AQ243" s="37"/>
    </row>
    <row r="244" ht="15.75" customHeight="1">
      <c r="A244" s="43"/>
      <c r="B244" s="59">
        <v>262.0</v>
      </c>
      <c r="C244" s="75" t="s">
        <v>2729</v>
      </c>
      <c r="D244" s="42" t="s">
        <v>218</v>
      </c>
      <c r="E244" s="38" t="str">
        <f t="shared" si="1"/>
        <v>Košický kraj, &amp;#32celé Slovensko</v>
      </c>
      <c r="F244" s="42" t="s">
        <v>870</v>
      </c>
      <c r="G244" s="38" t="str">
        <f t="shared" si="2"/>
        <v>čistiace a upratovacie služby, poľnohospodárstvo a lesníctvo, dom a záhrada, stavebníctvo, &amp;#32všetky kategórie</v>
      </c>
      <c r="H244" s="42" t="s">
        <v>170</v>
      </c>
      <c r="I244" s="43" t="str">
        <f t="shared" si="3"/>
        <v>21 a viac, &amp;#32všetky možnosti</v>
      </c>
      <c r="J244" s="44" t="str">
        <f t="shared" si="7"/>
        <v>Servisné poukážky,Register partnerov VS,Náhradné plnenie</v>
      </c>
      <c r="K244" s="45">
        <f t="shared" si="5"/>
        <v>38977.28047</v>
      </c>
      <c r="L244" s="43"/>
      <c r="M244" s="43" t="str">
        <f>IFERROR(__xludf.DUMMYFUNCTION("SPLIT(O244,"","")"),"Námestie Maratónu mieru 1")</f>
        <v>Námestie Maratónu mieru 1</v>
      </c>
      <c r="N244" s="43" t="str">
        <f>IFERROR(__xludf.DUMMYFUNCTION("""COMPUTED_VALUE""")," 042 66 Košice")</f>
        <v> 042 66 Košice</v>
      </c>
      <c r="O244" s="42" t="s">
        <v>2730</v>
      </c>
      <c r="P244" s="43">
        <v>48.7275968</v>
      </c>
      <c r="Q244" s="43">
        <v>21.2544529</v>
      </c>
      <c r="R244" s="56" t="s">
        <v>2731</v>
      </c>
      <c r="S244" s="112" t="s">
        <v>2732</v>
      </c>
      <c r="T244" s="113" t="s">
        <v>2733</v>
      </c>
      <c r="U244" s="49" t="s">
        <v>2734</v>
      </c>
      <c r="V244" s="103" t="s">
        <v>2735</v>
      </c>
      <c r="W244" s="54" t="s">
        <v>2736</v>
      </c>
      <c r="X244" s="54" t="s">
        <v>2737</v>
      </c>
      <c r="Y244" s="110" t="s">
        <v>2738</v>
      </c>
      <c r="Z244" s="108" t="s">
        <v>2739</v>
      </c>
      <c r="AA244" s="109" t="s">
        <v>64</v>
      </c>
      <c r="AB244" s="54"/>
      <c r="AC244" s="56"/>
      <c r="AD244" s="46"/>
      <c r="AE244" s="54"/>
      <c r="AF244" s="55"/>
      <c r="AG244" s="56"/>
      <c r="AH244" s="56"/>
      <c r="AI244" s="55"/>
      <c r="AJ244" s="55"/>
      <c r="AK244" s="56"/>
      <c r="AL244" s="56"/>
      <c r="AM244" s="77" t="s">
        <v>321</v>
      </c>
      <c r="AN244" s="62" t="s">
        <v>39</v>
      </c>
      <c r="AO244" s="57" t="s">
        <v>40</v>
      </c>
      <c r="AP244" s="58" t="str">
        <f t="shared" si="6"/>
        <v>Socialny podnik Kosickeho samospravneho kraja, s.r.o., r. s. p. cistiace a upratovacie sluzby, polnohospodarstvo a lesnictvo, dom a zahrada, stavebnictvo, &amp;#32vsetky kategorie  042 66 Kosice Stavebne prace, prace v zahrade, prace v domacnosti, upratovanie. Pozitivny socialny vplyv spolocnost dosahuje predovsetkym zamestnavanim marginalizovanych skupin obyvatelstva, napr. zamestnavanim zdravotne postihnutych, znevyhodnenych a zranitelnych osob. Osvojenie pracovnych navykov, vytvorenie pracovneho kolektivu a zaclenenie takychto osob do pracovnej cinnosti a tym aj do spolocenskeho zivota, ich socializacia, ma na ne pozitivny socialny vplyv. Zaclenenim takychto osob do pracovnej cinnosti dochadza k rozvijaniu ich osobnostnych predpokladov, k odstraneniu ich vylucenia na okraj spolocnosti a k ich zacleneniu do realneho zivota. Socialny podnik Kosickeho samospravneho kraja, s.r.o., r.s.p. Stavebne prace, prace v zahradnictve, sadovnictve, v domacnosti, upratovanie. stavebne prace, stavba, rekonstrukcia, zahrada, kosenie, pilenie, upratovanie, domacnost          Servisne poukazky Register partnerov VS</v>
      </c>
      <c r="AQ244" s="37"/>
    </row>
    <row r="245" ht="15.75" customHeight="1">
      <c r="A245" s="43"/>
      <c r="B245" s="59">
        <v>263.0</v>
      </c>
      <c r="C245" s="75" t="s">
        <v>2740</v>
      </c>
      <c r="D245" s="42" t="s">
        <v>218</v>
      </c>
      <c r="E245" s="38" t="str">
        <f t="shared" si="1"/>
        <v>Košický kraj, &amp;#32celé Slovensko</v>
      </c>
      <c r="F245" s="42" t="s">
        <v>2741</v>
      </c>
      <c r="G245" s="38" t="str">
        <f t="shared" si="2"/>
        <v>poľnohospodárstvo a lesníctvo, stavebníctvo, &amp;#32všetky kategórie</v>
      </c>
      <c r="H245" s="42" t="s">
        <v>53</v>
      </c>
      <c r="I245" s="43" t="str">
        <f t="shared" si="3"/>
        <v>1 - 5, &amp;#32všetky možnosti</v>
      </c>
      <c r="J245" s="44" t="str">
        <f t="shared" si="7"/>
        <v>,Register partnerov VS,Náhradné plnenie</v>
      </c>
      <c r="K245" s="45">
        <f t="shared" si="5"/>
        <v>13614.55388</v>
      </c>
      <c r="L245" s="43"/>
      <c r="M245" s="43" t="str">
        <f>IFERROR(__xludf.DUMMYFUNCTION("SPLIT(O245,"","")"),"Slavošovce 113")</f>
        <v>Slavošovce 113</v>
      </c>
      <c r="N245" s="43" t="str">
        <f>IFERROR(__xludf.DUMMYFUNCTION("""COMPUTED_VALUE""")," 049 36 Slavošovce")</f>
        <v> 049 36 Slavošovce</v>
      </c>
      <c r="O245" s="42" t="s">
        <v>2742</v>
      </c>
      <c r="P245" s="43">
        <v>48.7126938</v>
      </c>
      <c r="Q245" s="43">
        <v>20.2808866</v>
      </c>
      <c r="R245" s="56" t="s">
        <v>2743</v>
      </c>
      <c r="S245" s="112" t="s">
        <v>2744</v>
      </c>
      <c r="T245" s="113" t="s">
        <v>86</v>
      </c>
      <c r="U245" s="49" t="s">
        <v>2745</v>
      </c>
      <c r="V245" s="66" t="s">
        <v>2746</v>
      </c>
      <c r="W245" s="54" t="s">
        <v>2747</v>
      </c>
      <c r="X245" s="54" t="s">
        <v>2748</v>
      </c>
      <c r="Y245" s="110" t="s">
        <v>2749</v>
      </c>
      <c r="Z245" s="108" t="s">
        <v>2750</v>
      </c>
      <c r="AA245" s="109" t="s">
        <v>64</v>
      </c>
      <c r="AB245" s="54"/>
      <c r="AC245" s="56"/>
      <c r="AD245" s="46"/>
      <c r="AE245" s="54"/>
      <c r="AF245" s="55"/>
      <c r="AG245" s="56"/>
      <c r="AH245" s="56"/>
      <c r="AI245" s="55"/>
      <c r="AJ245" s="55"/>
      <c r="AK245" s="56"/>
      <c r="AL245" s="56"/>
      <c r="AM245" s="47"/>
      <c r="AN245" s="62" t="s">
        <v>39</v>
      </c>
      <c r="AO245" s="57" t="s">
        <v>40</v>
      </c>
      <c r="AP245" s="58" t="str">
        <f t="shared" si="6"/>
        <v>Socialny podnik obce Slavosovce s.r.o., r.s.p. polnohospodarstvo a lesnictvo, stavebnictvo, &amp;#32vsetky kategorie  049 36 Slavosovce Pripravne prace k realizacii stavieb, usktutocnovanie stavieb a ich zmien, dokoncovacie stavebne prace. Zamestnanim znevyhodnenych uchadzacov o pracu vo vyske 30% z celkoveho poctu zamestnancov. Socialny podnik obce Slavosovce, s.r.o., r.s.p. Stavebne prace k realizacii stavieb, uskutocnovanie stavieb a ich zmien, dokoncovacie stavebne prace pri realizacii exterierov a interierov, poskytovanie sluzieb v polnohospodarstve a zahradnictve. zemne prace, buracie prace, dokoncovacie stavebne prace v interieri a exterieri           Register partnerov VS</v>
      </c>
      <c r="AQ245" s="37"/>
    </row>
    <row r="246" ht="15.75" customHeight="1">
      <c r="A246" s="43"/>
      <c r="B246" s="59">
        <v>265.0</v>
      </c>
      <c r="C246" s="75" t="s">
        <v>2751</v>
      </c>
      <c r="D246" s="42" t="s">
        <v>229</v>
      </c>
      <c r="E246" s="38" t="str">
        <f t="shared" si="1"/>
        <v>Nitriansky kraj, &amp;#32celé Slovensko</v>
      </c>
      <c r="F246" s="42" t="s">
        <v>2008</v>
      </c>
      <c r="G246" s="38" t="str">
        <f t="shared" si="2"/>
        <v>stavebníctvo, dom a záhrada, &amp;#32všetky kategórie</v>
      </c>
      <c r="H246" s="42" t="s">
        <v>96</v>
      </c>
      <c r="I246" s="43" t="str">
        <f t="shared" si="3"/>
        <v>6 - 10, &amp;#32všetky možnosti</v>
      </c>
      <c r="J246" s="44" t="str">
        <f t="shared" si="7"/>
        <v>,,Náhradné plnenie</v>
      </c>
      <c r="K246" s="45">
        <f t="shared" si="5"/>
        <v>39684.76186</v>
      </c>
      <c r="L246" s="43"/>
      <c r="M246" s="43" t="str">
        <f>IFERROR(__xludf.DUMMYFUNCTION("SPLIT(O246,"","")"),"Zámoryho ul. 107/14")</f>
        <v>Zámoryho ul. 107/14</v>
      </c>
      <c r="N246" s="43" t="str">
        <f>IFERROR(__xludf.DUMMYFUNCTION("""COMPUTED_VALUE""")," 945 01 Komárno")</f>
        <v> 945 01 Komárno</v>
      </c>
      <c r="O246" s="42" t="s">
        <v>2752</v>
      </c>
      <c r="P246" s="43">
        <v>47.759087</v>
      </c>
      <c r="Q246" s="43">
        <v>18.1341604</v>
      </c>
      <c r="R246" s="56" t="s">
        <v>2753</v>
      </c>
      <c r="S246" s="112" t="s">
        <v>2754</v>
      </c>
      <c r="T246" s="113" t="s">
        <v>86</v>
      </c>
      <c r="U246" s="49" t="s">
        <v>2755</v>
      </c>
      <c r="V246" s="66" t="s">
        <v>2756</v>
      </c>
      <c r="W246" s="54" t="s">
        <v>2757</v>
      </c>
      <c r="X246" s="54" t="s">
        <v>2758</v>
      </c>
      <c r="Y246" s="110" t="s">
        <v>2759</v>
      </c>
      <c r="Z246" s="108" t="s">
        <v>2760</v>
      </c>
      <c r="AA246" s="109" t="s">
        <v>64</v>
      </c>
      <c r="AB246" s="54"/>
      <c r="AC246" s="56"/>
      <c r="AD246" s="46"/>
      <c r="AE246" s="54"/>
      <c r="AF246" s="55"/>
      <c r="AG246" s="56"/>
      <c r="AH246" s="56"/>
      <c r="AI246" s="55"/>
      <c r="AJ246" s="55"/>
      <c r="AK246" s="56"/>
      <c r="AL246" s="56"/>
      <c r="AM246" s="34"/>
      <c r="AN246" s="55"/>
      <c r="AO246" s="57" t="s">
        <v>40</v>
      </c>
      <c r="AP246" s="58" t="str">
        <f t="shared" si="6"/>
        <v>MoToDoor s.r.o. stavebnictvo, dom a zahrada, &amp;#32vsetky kategorie  945 01 Komarno Sietky proti hmyzu, parapety, ohybanie plechov, zaluzie na okna. Pomahame zdravotne postihnutym ludom zaclenit sa do plnohodnotneho zivota. Motodoor s.r.o. Vyrabame rozne druhy sieti proti hmyzu, okenne parapety, zaluzie na okna a dvere. vyroba okennych, dvernych sietok proti hmyzu, parapety, zaluzie           </v>
      </c>
      <c r="AQ246" s="37"/>
    </row>
    <row r="247" ht="15.75" customHeight="1">
      <c r="A247" s="43"/>
      <c r="B247" s="59">
        <v>266.0</v>
      </c>
      <c r="C247" s="75" t="s">
        <v>2761</v>
      </c>
      <c r="D247" s="42" t="s">
        <v>80</v>
      </c>
      <c r="E247" s="38" t="str">
        <f t="shared" si="1"/>
        <v>Trnavský kraj, &amp;#32celé Slovensko</v>
      </c>
      <c r="F247" s="42" t="s">
        <v>2762</v>
      </c>
      <c r="G247" s="38" t="str">
        <f t="shared" si="2"/>
        <v>dom a záhrada, zvieratá, &amp;#32všetky kategórie</v>
      </c>
      <c r="H247" s="42" t="s">
        <v>53</v>
      </c>
      <c r="I247" s="43" t="str">
        <f t="shared" si="3"/>
        <v>1 - 5, &amp;#32všetky možnosti</v>
      </c>
      <c r="J247" s="44" t="str">
        <f t="shared" si="7"/>
        <v>,,</v>
      </c>
      <c r="K247" s="45">
        <f t="shared" si="5"/>
        <v>23700.28208</v>
      </c>
      <c r="L247" s="43"/>
      <c r="M247" s="43" t="str">
        <f>IFERROR(__xludf.DUMMYFUNCTION("SPLIT(O247,"","")"),"Dolná Streda 834")</f>
        <v>Dolná Streda 834</v>
      </c>
      <c r="N247" s="43" t="str">
        <f>IFERROR(__xludf.DUMMYFUNCTION("""COMPUTED_VALUE""")," 925 63 Dolná Streda")</f>
        <v> 925 63 Dolná Streda</v>
      </c>
      <c r="O247" s="42" t="s">
        <v>2763</v>
      </c>
      <c r="P247" s="43">
        <v>48.2678336</v>
      </c>
      <c r="Q247" s="43">
        <v>17.7500814</v>
      </c>
      <c r="R247" s="56" t="s">
        <v>2764</v>
      </c>
      <c r="S247" s="112" t="s">
        <v>2765</v>
      </c>
      <c r="T247" s="113" t="s">
        <v>86</v>
      </c>
      <c r="U247" s="49" t="s">
        <v>2766</v>
      </c>
      <c r="V247" s="66" t="s">
        <v>2767</v>
      </c>
      <c r="W247" s="54" t="s">
        <v>2768</v>
      </c>
      <c r="X247" s="54" t="s">
        <v>2769</v>
      </c>
      <c r="Y247" s="110" t="s">
        <v>2770</v>
      </c>
      <c r="Z247" s="108" t="s">
        <v>2771</v>
      </c>
      <c r="AA247" s="109" t="s">
        <v>64</v>
      </c>
      <c r="AB247" s="54"/>
      <c r="AC247" s="56"/>
      <c r="AD247" s="46"/>
      <c r="AE247" s="54"/>
      <c r="AF247" s="55"/>
      <c r="AG247" s="56"/>
      <c r="AH247" s="56"/>
      <c r="AI247" s="55"/>
      <c r="AJ247" s="55"/>
      <c r="AK247" s="56"/>
      <c r="AL247" s="56"/>
      <c r="AM247" s="34"/>
      <c r="AN247" s="55"/>
      <c r="AO247" s="64"/>
      <c r="AP247" s="58" t="str">
        <f t="shared" si="6"/>
        <v>Hanako Slovakia s. r. o. dom a zahrada, zvierata, &amp;#32vsetky kategorie  925 63 Dolna Streda Nas socialny podnik poskytuje:
 1. sluzby v zahradnictve - jednoduche upravy zahrad, kosenie, uprava zelene, udrzba zavlahoveho systemu, vystavba zahradnych jazier a biobazenov, realizacie zavlah, udrzba a jednoducha oprava elektrickych zariadeni pouzivanych v zahradnictve, lahke stavebne prace, upravy terenov, technicka sprava arealu a pod.
 2. vyroba krmiv pre sportovy rybolov a krmiv pre chov ryb. V nasom podniku zamestnavame 50% zdravotne postihnutych pracovnikov a nasim zamerom je ich pocet zvysovat. Zamestnanci u nas pracuju na roznych cinnostiach v exterieri ci interieri. Okrem realizacii a vyroby ich budeme zapajat aj do oblasti administrativy, marketingu, ci predaja. Hanako Slovakia s.r.o. Momentalne poskytujeme sluzby mimo nasej prevadzky priamo u zakaznikov. zahradnicke prace, zahrane jazierka, biobazen, zavlahy, predaj a vyroba krmiv pre sportovy rybolov a chov ryb           </v>
      </c>
      <c r="AQ247" s="37"/>
    </row>
    <row r="248" ht="15.75" customHeight="1">
      <c r="A248" s="43"/>
      <c r="B248" s="59">
        <v>267.0</v>
      </c>
      <c r="C248" s="75" t="s">
        <v>2772</v>
      </c>
      <c r="D248" s="42" t="s">
        <v>94</v>
      </c>
      <c r="E248" s="38" t="str">
        <f t="shared" si="1"/>
        <v>Bratislavský kraj, &amp;#32celé Slovensko</v>
      </c>
      <c r="F248" s="42" t="s">
        <v>1199</v>
      </c>
      <c r="G248" s="38" t="str">
        <f t="shared" si="2"/>
        <v>ochrana a bezpečnosť, &amp;#32všetky kategórie</v>
      </c>
      <c r="H248" s="42" t="s">
        <v>170</v>
      </c>
      <c r="I248" s="43" t="str">
        <f t="shared" si="3"/>
        <v>21 a viac, &amp;#32všetky možnosti</v>
      </c>
      <c r="J248" s="44" t="str">
        <f t="shared" si="7"/>
        <v>,Register partnerov VS,</v>
      </c>
      <c r="K248" s="45">
        <f t="shared" si="5"/>
        <v>15161.80786</v>
      </c>
      <c r="L248" s="43"/>
      <c r="M248" s="43" t="str">
        <f>IFERROR(__xludf.DUMMYFUNCTION("SPLIT(O248,"","")"),"Dúbravská 2")</f>
        <v>Dúbravská 2</v>
      </c>
      <c r="N248" s="43" t="str">
        <f>IFERROR(__xludf.DUMMYFUNCTION("""COMPUTED_VALUE""")," 841 04 Bratislava")</f>
        <v> 841 04 Bratislava</v>
      </c>
      <c r="O248" s="80" t="s">
        <v>2773</v>
      </c>
      <c r="P248" s="43">
        <v>48.1708789</v>
      </c>
      <c r="Q248" s="43">
        <v>17.0726176</v>
      </c>
      <c r="R248" s="56" t="s">
        <v>2774</v>
      </c>
      <c r="S248" s="112" t="s">
        <v>2775</v>
      </c>
      <c r="T248" s="113" t="s">
        <v>2776</v>
      </c>
      <c r="U248" s="49" t="s">
        <v>2777</v>
      </c>
      <c r="V248" s="66" t="s">
        <v>2778</v>
      </c>
      <c r="W248" s="85" t="s">
        <v>2779</v>
      </c>
      <c r="X248" s="54" t="s">
        <v>2772</v>
      </c>
      <c r="Y248" s="110" t="s">
        <v>2780</v>
      </c>
      <c r="Z248" s="108" t="s">
        <v>2781</v>
      </c>
      <c r="AA248" s="109" t="s">
        <v>64</v>
      </c>
      <c r="AB248" s="54"/>
      <c r="AC248" s="56"/>
      <c r="AD248" s="46"/>
      <c r="AE248" s="54"/>
      <c r="AF248" s="55"/>
      <c r="AG248" s="56"/>
      <c r="AH248" s="56"/>
      <c r="AI248" s="55"/>
      <c r="AJ248" s="55"/>
      <c r="AK248" s="56"/>
      <c r="AL248" s="56"/>
      <c r="AM248" s="47"/>
      <c r="AN248" s="62" t="s">
        <v>39</v>
      </c>
      <c r="AO248" s="64"/>
      <c r="AP248" s="58" t="str">
        <f t="shared" si="6"/>
        <v>COUPE INVEST, s. r. o. ochrana a bezpecnost, &amp;#32vsetky kategorie  841 04 Bratislava Protipoziarna ochrana, poskytovanie sluzieb v oblasti BOZP a PO. Predaj tovarov z oblasti ochrannych osobnych pracovnych prostriedkov. Zamestnavame znevyhodnene a zranitelne osoby v pocte viac ako 30% celkoveho poctu zamestnancov. COUPE INVEST, s. r. o. Protipoziarna ochrana. Poskytovanie sluzieb v oblasti BOZP a PO. Predaj tovaru - OOPP. Sluzby v oblasti BOZP a PO. Predaj tovaru: OOPP, ochranne pracovne prostriedky           Register partnerov VS</v>
      </c>
      <c r="AQ248" s="37"/>
    </row>
    <row r="249" ht="15.75" customHeight="1">
      <c r="A249" s="43"/>
      <c r="B249" s="59">
        <v>268.0</v>
      </c>
      <c r="C249" s="75" t="s">
        <v>2782</v>
      </c>
      <c r="D249" s="42" t="s">
        <v>80</v>
      </c>
      <c r="E249" s="38" t="str">
        <f t="shared" si="1"/>
        <v>Trnavský kraj, &amp;#32celé Slovensko</v>
      </c>
      <c r="F249" s="42" t="s">
        <v>1231</v>
      </c>
      <c r="G249" s="38" t="str">
        <f t="shared" si="2"/>
        <v>obaly, &amp;#32všetky kategórie</v>
      </c>
      <c r="H249" s="42" t="s">
        <v>53</v>
      </c>
      <c r="I249" s="43" t="str">
        <f t="shared" si="3"/>
        <v>1 - 5, &amp;#32všetky možnosti</v>
      </c>
      <c r="J249" s="44" t="str">
        <f t="shared" si="7"/>
        <v>,Register partnerov VS,Náhradné plnenie</v>
      </c>
      <c r="K249" s="45">
        <f t="shared" si="5"/>
        <v>13263.55159</v>
      </c>
      <c r="L249" s="43"/>
      <c r="M249" s="43" t="str">
        <f>IFERROR(__xludf.DUMMYFUNCTION("SPLIT(O249,"","")"),"Trstice 1418")</f>
        <v>Trstice 1418</v>
      </c>
      <c r="N249" s="43" t="str">
        <f>IFERROR(__xludf.DUMMYFUNCTION("""COMPUTED_VALUE""")," 925 42 Trstice")</f>
        <v> 925 42 Trstice</v>
      </c>
      <c r="O249" s="42" t="s">
        <v>2783</v>
      </c>
      <c r="P249" s="43">
        <v>48.0169535</v>
      </c>
      <c r="Q249" s="43">
        <v>17.8057116</v>
      </c>
      <c r="R249" s="56" t="s">
        <v>2784</v>
      </c>
      <c r="S249" s="112" t="s">
        <v>1602</v>
      </c>
      <c r="T249" s="113" t="s">
        <v>86</v>
      </c>
      <c r="U249" s="49" t="s">
        <v>2785</v>
      </c>
      <c r="V249" s="66" t="s">
        <v>2786</v>
      </c>
      <c r="W249" s="54" t="s">
        <v>2787</v>
      </c>
      <c r="X249" s="54" t="s">
        <v>2788</v>
      </c>
      <c r="Y249" s="110" t="s">
        <v>2784</v>
      </c>
      <c r="Z249" s="108" t="s">
        <v>2789</v>
      </c>
      <c r="AA249" s="109" t="s">
        <v>64</v>
      </c>
      <c r="AB249" s="54"/>
      <c r="AC249" s="56"/>
      <c r="AD249" s="46"/>
      <c r="AE249" s="54"/>
      <c r="AF249" s="55"/>
      <c r="AG249" s="56"/>
      <c r="AH249" s="56"/>
      <c r="AI249" s="55"/>
      <c r="AJ249" s="55"/>
      <c r="AK249" s="56"/>
      <c r="AL249" s="56"/>
      <c r="AM249" s="47"/>
      <c r="AN249" s="62" t="s">
        <v>39</v>
      </c>
      <c r="AO249" s="57" t="s">
        <v>40</v>
      </c>
      <c r="AP249" s="58" t="str">
        <f t="shared" si="6"/>
        <v>L-METAL, s.r.o. obaly, &amp;#32vsetky kategorie  925 42 Trstice Vyroba vyrobkov z plastov. Zamestnavanie znevyhodnenych a zranitelnych osob. L-METAL s.r.o. Vyroba vyrobkov z plastov. plasty           Register partnerov VS</v>
      </c>
      <c r="AQ249" s="37"/>
    </row>
    <row r="250" ht="15.75" customHeight="1">
      <c r="A250" s="43"/>
      <c r="B250" s="59">
        <v>269.0</v>
      </c>
      <c r="C250" s="75" t="s">
        <v>2790</v>
      </c>
      <c r="D250" s="42" t="s">
        <v>181</v>
      </c>
      <c r="E250" s="38" t="str">
        <f t="shared" si="1"/>
        <v>Banskobystrický kraj, &amp;#32celé Slovensko</v>
      </c>
      <c r="F250" s="42" t="s">
        <v>639</v>
      </c>
      <c r="G250" s="38" t="str">
        <f t="shared" si="2"/>
        <v>čistiace a upratovacie služby, dom a záhrada, &amp;#32všetky kategórie</v>
      </c>
      <c r="H250" s="42" t="s">
        <v>53</v>
      </c>
      <c r="I250" s="43" t="str">
        <f t="shared" si="3"/>
        <v>1 - 5, &amp;#32všetky možnosti</v>
      </c>
      <c r="J250" s="44" t="str">
        <f t="shared" si="7"/>
        <v>,,</v>
      </c>
      <c r="K250" s="45">
        <f t="shared" si="5"/>
        <v>40216.63514</v>
      </c>
      <c r="L250" s="43"/>
      <c r="M250" s="43" t="str">
        <f>IFERROR(__xludf.DUMMYFUNCTION("SPLIT(O250,"","")"),"Železničná 7")</f>
        <v>Železničná 7</v>
      </c>
      <c r="N250" s="43" t="str">
        <f>IFERROR(__xludf.DUMMYFUNCTION("""COMPUTED_VALUE""")," 966 81 Žarnovica")</f>
        <v> 966 81 Žarnovica</v>
      </c>
      <c r="O250" s="42" t="s">
        <v>2791</v>
      </c>
      <c r="P250" s="43">
        <v>48.4846168</v>
      </c>
      <c r="Q250" s="43">
        <v>18.7247644</v>
      </c>
      <c r="R250" s="56" t="s">
        <v>2792</v>
      </c>
      <c r="S250" s="112" t="s">
        <v>2793</v>
      </c>
      <c r="T250" s="113" t="s">
        <v>86</v>
      </c>
      <c r="U250" s="49" t="s">
        <v>2794</v>
      </c>
      <c r="V250" s="66" t="s">
        <v>2795</v>
      </c>
      <c r="W250" s="54" t="s">
        <v>2796</v>
      </c>
      <c r="X250" s="54" t="s">
        <v>2797</v>
      </c>
      <c r="Y250" s="110" t="s">
        <v>2798</v>
      </c>
      <c r="Z250" s="108" t="s">
        <v>2799</v>
      </c>
      <c r="AA250" s="109" t="s">
        <v>64</v>
      </c>
      <c r="AB250" s="54"/>
      <c r="AC250" s="56"/>
      <c r="AD250" s="46"/>
      <c r="AE250" s="54"/>
      <c r="AF250" s="55"/>
      <c r="AG250" s="56"/>
      <c r="AH250" s="56"/>
      <c r="AI250" s="55"/>
      <c r="AJ250" s="55"/>
      <c r="AK250" s="56"/>
      <c r="AL250" s="56"/>
      <c r="AM250" s="34"/>
      <c r="AN250" s="55"/>
      <c r="AO250" s="64"/>
      <c r="AP250" s="58" t="str">
        <f t="shared" si="6"/>
        <v>J J M T, s.r.o. cistiace a upratovacie sluzby, dom a zahrada, &amp;#32vsetky kategorie  966 81 Zarnovica Zakaznikom ponukame pranie, cistenie bielizne, cistenie zariadenia bytov a domov, jednoduchu udrzbu zariadeni domov a bytov, osobne sluzby. Opravujeme osobne potreby a potreby pre domacnost. Robime predaj drogerie na pranie a cistenie. Uvedene sluzby ponukame s dovozom zakaznikovi. Podporujeme regionalny rozvoj a zamestnanost, socialnu pomoc obyvatelstvu, sluzby poskytujeme so zretelom na ochranu zivotneho prostredia a zdravia obyvatelstva. Cistiaren, pracovna a predaj drogerie Perunka Zarnovica. Ponukame sluzby obyvatelstvu a firmam - cistenie a pranie bielizne, cistenie zariadenia bytov a domov, poskytovanie sluzieb osobneho charakteru obyvatelstvu so zretelom na ochranu zivotneho prostredia a zdravia. pracovna, cistiaren, predaj drogerie na pranie a cistenie. Kosenie a drobna udrzba domov a bytov.           </v>
      </c>
      <c r="AQ250" s="37"/>
    </row>
    <row r="251" ht="15.75" customHeight="1">
      <c r="A251" s="43"/>
      <c r="B251" s="59">
        <v>271.0</v>
      </c>
      <c r="C251" s="75" t="s">
        <v>2800</v>
      </c>
      <c r="D251" s="42" t="s">
        <v>80</v>
      </c>
      <c r="E251" s="38" t="str">
        <f t="shared" si="1"/>
        <v>Trnavský kraj, &amp;#32celé Slovensko</v>
      </c>
      <c r="F251" s="42" t="s">
        <v>2801</v>
      </c>
      <c r="G251" s="38" t="str">
        <f t="shared" si="2"/>
        <v>vzdelávanie, &amp;#32všetky kategórie</v>
      </c>
      <c r="H251" s="42" t="s">
        <v>53</v>
      </c>
      <c r="I251" s="43" t="str">
        <f t="shared" si="3"/>
        <v>1 - 5, &amp;#32všetky možnosti</v>
      </c>
      <c r="J251" s="44" t="str">
        <f t="shared" si="7"/>
        <v>,,</v>
      </c>
      <c r="K251" s="45">
        <f t="shared" si="5"/>
        <v>5755.887529</v>
      </c>
      <c r="L251" s="43"/>
      <c r="M251" s="43" t="str">
        <f>IFERROR(__xludf.DUMMYFUNCTION("SPLIT(O251,"","")"),"Nám. SNP 197/45")</f>
        <v>Nám. SNP 197/45</v>
      </c>
      <c r="N251" s="43" t="str">
        <f>IFERROR(__xludf.DUMMYFUNCTION("""COMPUTED_VALUE""")," 929 01 Dunajská Streda")</f>
        <v> 929 01 Dunajská Streda</v>
      </c>
      <c r="O251" s="42" t="s">
        <v>2802</v>
      </c>
      <c r="P251" s="43">
        <v>48.0061855</v>
      </c>
      <c r="Q251" s="43">
        <v>17.6228177</v>
      </c>
      <c r="R251" s="56" t="s">
        <v>2803</v>
      </c>
      <c r="S251" s="112" t="s">
        <v>2804</v>
      </c>
      <c r="T251" s="113" t="s">
        <v>86</v>
      </c>
      <c r="U251" s="49" t="s">
        <v>2805</v>
      </c>
      <c r="V251" s="66" t="s">
        <v>2806</v>
      </c>
      <c r="W251" s="54" t="s">
        <v>2807</v>
      </c>
      <c r="X251" s="54" t="s">
        <v>2800</v>
      </c>
      <c r="Y251" s="110" t="s">
        <v>2808</v>
      </c>
      <c r="Z251" s="108" t="s">
        <v>2809</v>
      </c>
      <c r="AA251" s="109" t="s">
        <v>64</v>
      </c>
      <c r="AB251" s="54"/>
      <c r="AC251" s="56"/>
      <c r="AD251" s="46"/>
      <c r="AE251" s="54"/>
      <c r="AF251" s="55"/>
      <c r="AG251" s="56"/>
      <c r="AH251" s="56"/>
      <c r="AI251" s="55"/>
      <c r="AJ251" s="55"/>
      <c r="AK251" s="56"/>
      <c r="AL251" s="56"/>
      <c r="AM251" s="34"/>
      <c r="AN251" s="55"/>
      <c r="AO251" s="64"/>
      <c r="AP251" s="58" t="str">
        <f t="shared" si="6"/>
        <v>ADVENTIM n.o. vzdelavanie, &amp;#32vsetky kategorie  929 01 Dunajska Streda Nas socialny podnik sa zaobera vzdelavacou cinnostou a poskytovanim volnocasovych aktivit. Pozitivny socialny vplyv dosahujeme zamestnavanim zdravotne znevyhodnenych zamestnancov a doplnkovym vzdelavanim ziakov s roznymi druhmi znevyhodnenia. ADVENTIM n.o. Vzdelavanie, mimoskolske aktivity, hand made dielne. poradenstvo pri zalozeni podniku, jazykove korektury textov v slovenskom jazyku, kurzy hand made z odpadovych materialov, kurzy pre makke zrucnosti podnikatelov, soft skills, editacia textov           </v>
      </c>
      <c r="AQ251" s="37"/>
    </row>
    <row r="252" ht="15.75" customHeight="1">
      <c r="A252" s="43"/>
      <c r="B252" s="59">
        <v>272.0</v>
      </c>
      <c r="C252" s="75" t="s">
        <v>2810</v>
      </c>
      <c r="D252" s="42" t="s">
        <v>66</v>
      </c>
      <c r="E252" s="38" t="str">
        <f t="shared" si="1"/>
        <v>Žilinský kraj, &amp;#32celé Slovensko</v>
      </c>
      <c r="F252" s="42" t="s">
        <v>947</v>
      </c>
      <c r="G252" s="38" t="str">
        <f t="shared" si="2"/>
        <v>čistiace a upratovacie služby, dom a záhrada, stavebníctvo, &amp;#32všetky kategórie</v>
      </c>
      <c r="H252" s="42" t="s">
        <v>82</v>
      </c>
      <c r="I252" s="43" t="str">
        <f t="shared" si="3"/>
        <v>11 - 15, &amp;#32všetky možnosti</v>
      </c>
      <c r="J252" s="44" t="str">
        <f t="shared" si="7"/>
        <v>,Register partnerov VS,</v>
      </c>
      <c r="K252" s="45">
        <f t="shared" si="5"/>
        <v>43230.99114</v>
      </c>
      <c r="L252" s="43"/>
      <c r="M252" s="43" t="str">
        <f>IFERROR(__xludf.DUMMYFUNCTION("SPLIT(O252,"","")"),"Zborov nad Bystricou 223")</f>
        <v>Zborov nad Bystricou 223</v>
      </c>
      <c r="N252" s="43" t="str">
        <f>IFERROR(__xludf.DUMMYFUNCTION("""COMPUTED_VALUE""")," 023 03 Zborov nad Bystricou")</f>
        <v> 023 03 Zborov nad Bystricou</v>
      </c>
      <c r="O252" s="42" t="s">
        <v>2811</v>
      </c>
      <c r="P252" s="43">
        <v>49.3807075</v>
      </c>
      <c r="Q252" s="43">
        <v>18.8844955</v>
      </c>
      <c r="R252" s="56" t="s">
        <v>2812</v>
      </c>
      <c r="S252" s="112" t="s">
        <v>2813</v>
      </c>
      <c r="T252" s="113" t="s">
        <v>2814</v>
      </c>
      <c r="U252" s="49" t="s">
        <v>2815</v>
      </c>
      <c r="V252" s="66" t="s">
        <v>2816</v>
      </c>
      <c r="W252" s="54" t="s">
        <v>2817</v>
      </c>
      <c r="X252" s="54" t="s">
        <v>2810</v>
      </c>
      <c r="Y252" s="110" t="s">
        <v>2818</v>
      </c>
      <c r="Z252" s="108" t="s">
        <v>2819</v>
      </c>
      <c r="AA252" s="109" t="s">
        <v>64</v>
      </c>
      <c r="AB252" s="54"/>
      <c r="AC252" s="56"/>
      <c r="AD252" s="46"/>
      <c r="AE252" s="54"/>
      <c r="AF252" s="55"/>
      <c r="AG252" s="56"/>
      <c r="AH252" s="56"/>
      <c r="AI252" s="55"/>
      <c r="AJ252" s="55"/>
      <c r="AK252" s="56"/>
      <c r="AL252" s="56"/>
      <c r="AM252" s="47"/>
      <c r="AN252" s="62" t="s">
        <v>39</v>
      </c>
      <c r="AO252" s="64"/>
      <c r="AP252" s="58" t="str">
        <f t="shared" si="6"/>
        <v>Obecny podnik Zborov nad Bystricou s. r. o. cistiace a upratovacie sluzby, dom a zahrada, stavebnictvo, &amp;#32vsetky kategorie  023 03 Zborov nad Bystricou Obecny podnik Zborov nad Bystricou s. r. o., r. s. p, ktoreho zriadovatelom je Obec Zborov nad Bystricou, sa venuje najma drobnym stavebnym cinnostiam, maliarskym pracam, zahradkarskym pracam, ako napr. kosenie, vyrobe drevenych vyrobkov, stahovacim a upratovacim sluzbam. Tymito cinnostami sleduje svoj hlavny ciel, ktorym je dosahovanie meratelneho pozitivneho socialneho vplyvu. Vznik Obecneho podniku Zborov nad Bystricou s. r. o., r. s. p. je naplnenim snahy znizit mieru nezamestnanosti v obci, zvysit zivotnu uroven obyvatelstva a podnietit u nezamestnanych zaujem o ziskanie novych vedomosti a zrucnosti. K rozvoju zamestnanosti vyznamnou mierou prispieva najma vytvorenie a udrzanie pracovnych miest pre znevyhodnenych uchadzacov o zamestnanie. Od roku 2020 zamestnal Obecny podnik Zborov nad Bystricou s. r. o., r. s. p. 11 zamestnancov, z toho 9 znevyhodnenych uchadzacov o zamestnanie z Uradu prace, socialnych veci a rodiny v Cadci. Obecny podnik Zborov nad Bystricou s. r. o. Stavebne, maliarske a zahradkarske cinnosti - kosenie, vyroba drevenych doplnkov, stahovacie sluzby, upratovacie sluzby. zemne prace, zahradne prace, drevovyroba, stahovanie           Register partnerov VS</v>
      </c>
      <c r="AQ252" s="37"/>
    </row>
    <row r="253" ht="15.75" customHeight="1">
      <c r="A253" s="43"/>
      <c r="B253" s="59">
        <v>273.0</v>
      </c>
      <c r="C253" s="75" t="s">
        <v>2820</v>
      </c>
      <c r="D253" s="42" t="s">
        <v>181</v>
      </c>
      <c r="E253" s="38" t="str">
        <f t="shared" si="1"/>
        <v>Banskobystrický kraj, &amp;#32celé Slovensko</v>
      </c>
      <c r="F253" s="42" t="s">
        <v>2821</v>
      </c>
      <c r="G253" s="38" t="str">
        <f t="shared" si="2"/>
        <v>stavebníctvo, elektro, doprava, iné (tovary a služby), &amp;#32všetky kategórie</v>
      </c>
      <c r="H253" s="42" t="s">
        <v>53</v>
      </c>
      <c r="I253" s="43" t="str">
        <f t="shared" si="3"/>
        <v>1 - 5, &amp;#32všetky možnosti</v>
      </c>
      <c r="J253" s="44" t="str">
        <f t="shared" si="7"/>
        <v>,,Náhradné plnenie</v>
      </c>
      <c r="K253" s="45">
        <f t="shared" si="5"/>
        <v>33065.42649</v>
      </c>
      <c r="L253" s="43"/>
      <c r="M253" s="43" t="str">
        <f>IFERROR(__xludf.DUMMYFUNCTION("SPLIT(O253,"","")"),"Štúrova 1612/86")</f>
        <v>Štúrova 1612/86</v>
      </c>
      <c r="N253" s="43" t="str">
        <f>IFERROR(__xludf.DUMMYFUNCTION("""COMPUTED_VALUE""")," 962 12 Detva")</f>
        <v> 962 12 Detva</v>
      </c>
      <c r="O253" s="42" t="s">
        <v>2822</v>
      </c>
      <c r="P253" s="43">
        <v>48.5441734</v>
      </c>
      <c r="Q253" s="43">
        <v>19.3951866</v>
      </c>
      <c r="R253" s="56" t="s">
        <v>2823</v>
      </c>
      <c r="S253" s="112" t="s">
        <v>2824</v>
      </c>
      <c r="T253" s="113" t="s">
        <v>86</v>
      </c>
      <c r="U253" s="49" t="s">
        <v>2825</v>
      </c>
      <c r="V253" s="66" t="s">
        <v>2826</v>
      </c>
      <c r="W253" s="54" t="s">
        <v>2827</v>
      </c>
      <c r="X253" s="54" t="s">
        <v>2828</v>
      </c>
      <c r="Y253" s="110" t="s">
        <v>2829</v>
      </c>
      <c r="Z253" s="108" t="s">
        <v>297</v>
      </c>
      <c r="AA253" s="109" t="s">
        <v>64</v>
      </c>
      <c r="AB253" s="54"/>
      <c r="AC253" s="56"/>
      <c r="AD253" s="46"/>
      <c r="AE253" s="54"/>
      <c r="AF253" s="55"/>
      <c r="AG253" s="56"/>
      <c r="AH253" s="56"/>
      <c r="AI253" s="55"/>
      <c r="AJ253" s="55"/>
      <c r="AK253" s="56"/>
      <c r="AL253" s="56"/>
      <c r="AM253" s="34"/>
      <c r="AN253" s="55"/>
      <c r="AO253" s="57" t="s">
        <v>40</v>
      </c>
      <c r="AP253" s="58" t="str">
        <f t="shared" si="6"/>
        <v>SP Detva s.r.o. stavebnictvo, elektro, doprava, ine (tovary a sluzby), &amp;#32vsetky kategorie  962 12 Detva Predaj komunalnej techniky s elektrickym pohonom, stavebna cinnost, spracovanie textilu. Poskytovanim sluzieb, tovarov a zamestnavanim znevyhodnenych osob. RS Detva s.r.o. Predaj komunalnej techniky na elektricky pohon, stavebnictvo, spracovanie textilu. Stavebne prace           </v>
      </c>
      <c r="AQ253" s="37"/>
    </row>
    <row r="254" ht="15.75" customHeight="1">
      <c r="A254" s="43"/>
      <c r="B254" s="59">
        <v>274.0</v>
      </c>
      <c r="C254" s="75" t="s">
        <v>2830</v>
      </c>
      <c r="D254" s="42" t="s">
        <v>218</v>
      </c>
      <c r="E254" s="38" t="str">
        <f t="shared" si="1"/>
        <v>Košický kraj, &amp;#32celé Slovensko</v>
      </c>
      <c r="F254" s="42" t="s">
        <v>258</v>
      </c>
      <c r="G254" s="38" t="str">
        <f t="shared" si="2"/>
        <v>odevy a obuv, &amp;#32všetky kategórie</v>
      </c>
      <c r="H254" s="42" t="s">
        <v>82</v>
      </c>
      <c r="I254" s="43" t="str">
        <f t="shared" si="3"/>
        <v>11 - 15, &amp;#32všetky možnosti</v>
      </c>
      <c r="J254" s="44" t="str">
        <f t="shared" si="7"/>
        <v>Servisné poukážky,Register partnerov VS,</v>
      </c>
      <c r="K254" s="45">
        <f t="shared" si="5"/>
        <v>3300.562919</v>
      </c>
      <c r="L254" s="43"/>
      <c r="M254" s="43" t="str">
        <f>IFERROR(__xludf.DUMMYFUNCTION("SPLIT(O254,"","")"),"Košické Oľšany 145")</f>
        <v>Košické Oľšany 145</v>
      </c>
      <c r="N254" s="43" t="str">
        <f>IFERROR(__xludf.DUMMYFUNCTION("""COMPUTED_VALUE""")," 044 42 Košické Oľšany")</f>
        <v> 044 42 Košické Oľšany</v>
      </c>
      <c r="O254" s="42" t="s">
        <v>2831</v>
      </c>
      <c r="P254" s="43">
        <v>48.7268607</v>
      </c>
      <c r="Q254" s="43">
        <v>21.3435373</v>
      </c>
      <c r="R254" s="56" t="s">
        <v>2832</v>
      </c>
      <c r="S254" s="112" t="s">
        <v>2833</v>
      </c>
      <c r="T254" s="113" t="s">
        <v>2834</v>
      </c>
      <c r="U254" s="49" t="s">
        <v>2835</v>
      </c>
      <c r="V254" s="66" t="s">
        <v>2836</v>
      </c>
      <c r="W254" s="54" t="s">
        <v>2837</v>
      </c>
      <c r="X254" s="54" t="s">
        <v>2838</v>
      </c>
      <c r="Y254" s="110" t="s">
        <v>2839</v>
      </c>
      <c r="Z254" s="108" t="s">
        <v>2840</v>
      </c>
      <c r="AA254" s="109" t="s">
        <v>64</v>
      </c>
      <c r="AB254" s="54"/>
      <c r="AC254" s="56"/>
      <c r="AD254" s="46"/>
      <c r="AE254" s="54"/>
      <c r="AF254" s="55"/>
      <c r="AG254" s="56"/>
      <c r="AH254" s="56"/>
      <c r="AI254" s="55"/>
      <c r="AJ254" s="55"/>
      <c r="AK254" s="56"/>
      <c r="AL254" s="56"/>
      <c r="AM254" s="77" t="s">
        <v>321</v>
      </c>
      <c r="AN254" s="62" t="s">
        <v>39</v>
      </c>
      <c r="AO254" s="64"/>
      <c r="AP254" s="58" t="str">
        <f t="shared" si="6"/>
        <v>SWEET REVELATION s.r.o., r.s.p. odevy a obuv, &amp;#32vsetky kategorie  044 42 Kosicke Olsany V nasej ponuke su: - kupa tovaru na ucely jeho predaja konecnemu spotrebitelovi (maloobchod) alebo inym prevadzkovatelom zivnosti (velkoobchod), 
 - sprostredkovatelska cinnost v oblasti obchodu a sluzieb,
 - priprava a predaj na priamu konzumaciu zmrzliny, ak sa na jej pripravu pouziju priemyselne vyrabane koncentraty a mrazene kremy,
 - priprava a predaj na priamu konzumaciu nealkoholickych a priemyselne vyrabanych mliecnych napojov, koktailov, piva, vina a destilatov,
 - predaj cukrarenskych vyrobkov na priamu konzumaciu,
 - vedenie uctovnictva, 
 - cinnost podnikatelskych, organizacnych a ekonomickych poradcov,
 - prieskum trhu a verejnej mienky,
 - donaskova sluzba,
 - oprava odevov, textilu a bytoveho textilu, 
 - reklamne a marketingove sluzby,
 - textilna a odevna vyroba, vyroba kozenych a kozusinovych vyrobkov 
 - cistiace a upratovacie sluzby. Hlavnym cielom RSP je dosahovanie meratelneho pozitivneho socialneho vplyvu poskytovanim spolocensky prospesnej sluzby v oblasti zamestnanosti znevyhodnenych a zranitelnych osob, aby zamestnanci ziskali predajne a obchodne zrucnosti, zvladli komunikaciu a psychologiu predaja, telefonicke zrucnosti a internetovy predaj. Integracny socialny podnik bude vytvarat pracovne prilezitosti pre znevyhodnene a zranitelne osoby s cielom dat im prilezitost na otvorenom trhu prace. Predmet cinnosti, ktorym je predaj damskej mody a zamestnavanie pracovnikov so zdravotnym postihnutim (OZPS), prispieva k dosahovaniu pozitivneho socialneho vplyvu. SWEETREVELATION r.s.p., s.r.o. Kupa tovaru na ucely jeho predaja konecnemu spotrebitelovi (maloobchod) alebo inym prevadzkovatelom zivnosti (velkoobchod). Damske odevy          Servisne poukazky Register partnerov VS</v>
      </c>
      <c r="AQ254" s="37"/>
    </row>
    <row r="255" ht="15.75" customHeight="1">
      <c r="A255" s="43"/>
      <c r="B255" s="59">
        <v>275.0</v>
      </c>
      <c r="C255" s="75" t="s">
        <v>2841</v>
      </c>
      <c r="D255" s="42" t="s">
        <v>229</v>
      </c>
      <c r="E255" s="38" t="str">
        <f t="shared" si="1"/>
        <v>Nitriansky kraj, &amp;#32celé Slovensko</v>
      </c>
      <c r="F255" s="42" t="s">
        <v>639</v>
      </c>
      <c r="G255" s="38" t="str">
        <f t="shared" si="2"/>
        <v>čistiace a upratovacie služby, dom a záhrada, &amp;#32všetky kategórie</v>
      </c>
      <c r="H255" s="42" t="s">
        <v>53</v>
      </c>
      <c r="I255" s="43" t="str">
        <f t="shared" si="3"/>
        <v>1 - 5, &amp;#32všetky možnosti</v>
      </c>
      <c r="J255" s="44" t="str">
        <f t="shared" si="7"/>
        <v>,,</v>
      </c>
      <c r="K255" s="45">
        <f t="shared" si="5"/>
        <v>35564.31887</v>
      </c>
      <c r="L255" s="43"/>
      <c r="M255" s="43" t="str">
        <f>IFERROR(__xludf.DUMMYFUNCTION("SPLIT(O255,"","")"),"Čaka 398")</f>
        <v>Čaka 398</v>
      </c>
      <c r="N255" s="43" t="str">
        <f>IFERROR(__xludf.DUMMYFUNCTION("""COMPUTED_VALUE""")," 935 68 Čaka")</f>
        <v> 935 68 Čaka</v>
      </c>
      <c r="O255" s="42" t="s">
        <v>2842</v>
      </c>
      <c r="P255" s="43">
        <v>48.0397553</v>
      </c>
      <c r="Q255" s="43">
        <v>18.4693547</v>
      </c>
      <c r="R255" s="56" t="s">
        <v>2843</v>
      </c>
      <c r="S255" s="112" t="s">
        <v>2844</v>
      </c>
      <c r="T255" s="113" t="s">
        <v>86</v>
      </c>
      <c r="U255" s="49" t="s">
        <v>2845</v>
      </c>
      <c r="V255" s="66" t="s">
        <v>2846</v>
      </c>
      <c r="W255" s="54" t="s">
        <v>2847</v>
      </c>
      <c r="X255" s="54" t="s">
        <v>2848</v>
      </c>
      <c r="Y255" s="110" t="s">
        <v>2849</v>
      </c>
      <c r="Z255" s="108" t="s">
        <v>2850</v>
      </c>
      <c r="AA255" s="109" t="s">
        <v>64</v>
      </c>
      <c r="AB255" s="54"/>
      <c r="AC255" s="56"/>
      <c r="AD255" s="46"/>
      <c r="AE255" s="54"/>
      <c r="AF255" s="55"/>
      <c r="AG255" s="56"/>
      <c r="AH255" s="56"/>
      <c r="AI255" s="55"/>
      <c r="AJ255" s="55"/>
      <c r="AK255" s="56"/>
      <c r="AL255" s="56"/>
      <c r="AM255" s="34"/>
      <c r="AN255" s="55"/>
      <c r="AO255" s="64"/>
      <c r="AP255" s="58" t="str">
        <f t="shared" si="6"/>
        <v>Edenal, s. r. o. cistiace a upratovacie sluzby, dom a zahrada, &amp;#32vsetky kategorie  935 68 Caka Poskytovanie sluzieb v polnohospodarstve a zahradnictve, cistiace a upratovacie sluzby. Vytvaranim pracovnych miest pre znevyhodnene osoby i pre marginalizovane skupiny v spolocnosti, ich pracovnych navykov, cim umoznujeme ich zaradenie do spolocenskeho zivota na dedine. Budujeme eko farmu, chceme produkovat a verejnosti poskytovat kvalitne ovocne a zeleninove potraviny.  Rozvozom potravin a liekov chceme zvysit zivotny komfort predovsetkym imobilnej, pripadne odkazanej skupiny osob, ulahcit tazky zivot na vidieku starsim osobam, predovsetkym zenam nad 70 rokov s pracami v zahrade, vinohrade, ci ovocnom sade, pripravit palivove drevo od jeho napilenia, nastiepkovania az po ulozenie. Realizujeme male opravy na stavbach, drobne vykopove prace, cistenie odkvapov, opravu striech pri zatekani, atd. Edenal, s.r.o. Upratovanie a cistiace prace. upratovanie, cistenie, kosenie, zahrada           </v>
      </c>
      <c r="AQ255" s="37"/>
    </row>
    <row r="256" ht="15.75" customHeight="1">
      <c r="A256" s="43"/>
      <c r="B256" s="59">
        <v>276.0</v>
      </c>
      <c r="C256" s="75" t="s">
        <v>2851</v>
      </c>
      <c r="D256" s="42" t="s">
        <v>181</v>
      </c>
      <c r="E256" s="38" t="str">
        <f t="shared" si="1"/>
        <v>Banskobystrický kraj, &amp;#32celé Slovensko</v>
      </c>
      <c r="F256" s="42" t="s">
        <v>1009</v>
      </c>
      <c r="G256" s="38" t="str">
        <f t="shared" si="2"/>
        <v>stavebníctvo, &amp;#32všetky kategórie</v>
      </c>
      <c r="H256" s="42" t="s">
        <v>53</v>
      </c>
      <c r="I256" s="43" t="str">
        <f t="shared" si="3"/>
        <v>1 - 5, &amp;#32všetky možnosti</v>
      </c>
      <c r="J256" s="44" t="str">
        <f t="shared" si="7"/>
        <v>,Register partnerov VS,</v>
      </c>
      <c r="K256" s="45">
        <f t="shared" si="5"/>
        <v>9793.48588</v>
      </c>
      <c r="L256" s="43"/>
      <c r="M256" s="43" t="s">
        <v>2852</v>
      </c>
      <c r="N256" s="43" t="s">
        <v>2853</v>
      </c>
      <c r="O256" s="80" t="s">
        <v>2854</v>
      </c>
      <c r="P256" s="43">
        <v>48.278728</v>
      </c>
      <c r="Q256" s="43">
        <v>20.21423</v>
      </c>
      <c r="R256" s="56" t="s">
        <v>2855</v>
      </c>
      <c r="S256" s="112" t="s">
        <v>2856</v>
      </c>
      <c r="T256" s="113" t="s">
        <v>86</v>
      </c>
      <c r="U256" s="49" t="s">
        <v>2857</v>
      </c>
      <c r="V256" s="66" t="s">
        <v>2858</v>
      </c>
      <c r="W256" s="54" t="s">
        <v>2859</v>
      </c>
      <c r="X256" s="54" t="s">
        <v>2860</v>
      </c>
      <c r="Y256" s="110" t="s">
        <v>2861</v>
      </c>
      <c r="Z256" s="108" t="s">
        <v>2862</v>
      </c>
      <c r="AA256" s="109" t="s">
        <v>64</v>
      </c>
      <c r="AB256" s="54"/>
      <c r="AC256" s="56"/>
      <c r="AD256" s="46"/>
      <c r="AE256" s="54"/>
      <c r="AF256" s="55"/>
      <c r="AG256" s="56"/>
      <c r="AH256" s="56"/>
      <c r="AI256" s="55"/>
      <c r="AJ256" s="55"/>
      <c r="AK256" s="56"/>
      <c r="AL256" s="56"/>
      <c r="AM256" s="47"/>
      <c r="AN256" s="62" t="s">
        <v>39</v>
      </c>
      <c r="AO256" s="64"/>
      <c r="AP256" s="58" t="str">
        <f t="shared" si="6"/>
        <v>Regio plus s.r.o. stavebnictvo, &amp;#32vsetky kategorie  980 42 Janice Poskytovanie komplexnych sluzieb v oblasti stavebnictva so zameranim na vystavbu zemnych a vzdusnych sieti v oblasti telekomunikacii, realizacia mensich stavieb a udrziavacich prac pre lokalne samospravy. Zamestnavanie socialne znevyhodnych skupin. Regio plus s.r.o Mensie stavebne prace, vystavba zemnych a vzdusnych telekomunikacnych sieti, stavebne prace, vystavba zemnych a vzdusnych telekomunikacnych sieti           Register partnerov VS</v>
      </c>
      <c r="AQ256" s="37"/>
    </row>
    <row r="257" ht="15.75" customHeight="1">
      <c r="A257" s="43"/>
      <c r="B257" s="59">
        <v>277.0</v>
      </c>
      <c r="C257" s="75" t="s">
        <v>2863</v>
      </c>
      <c r="D257" s="42" t="s">
        <v>181</v>
      </c>
      <c r="E257" s="38" t="str">
        <f t="shared" si="1"/>
        <v>Banskobystrický kraj, &amp;#32celé Slovensko</v>
      </c>
      <c r="F257" s="42" t="s">
        <v>2864</v>
      </c>
      <c r="G257" s="38" t="str">
        <f t="shared" si="2"/>
        <v>účtovníctvo a poradenstvo, potraviny a nápoje, &amp;#32všetky kategórie</v>
      </c>
      <c r="H257" s="42" t="s">
        <v>53</v>
      </c>
      <c r="I257" s="43" t="str">
        <f t="shared" si="3"/>
        <v>1 - 5, &amp;#32všetky možnosti</v>
      </c>
      <c r="J257" s="44" t="str">
        <f t="shared" si="7"/>
        <v>,,</v>
      </c>
      <c r="K257" s="45">
        <f t="shared" si="5"/>
        <v>11946.6397</v>
      </c>
      <c r="L257" s="43"/>
      <c r="M257" s="43" t="str">
        <f>IFERROR(__xludf.DUMMYFUNCTION("SPLIT(O257,"","")"),"Slovenské Ďarmoty 141")</f>
        <v>Slovenské Ďarmoty 141</v>
      </c>
      <c r="N257" s="43" t="str">
        <f>IFERROR(__xludf.DUMMYFUNCTION("""COMPUTED_VALUE""")," 991 07 Slovenské Ďarmoty")</f>
        <v> 991 07 Slovenské Ďarmoty</v>
      </c>
      <c r="O257" s="42" t="s">
        <v>2865</v>
      </c>
      <c r="P257" s="43">
        <v>48.0938976</v>
      </c>
      <c r="Q257" s="43">
        <v>19.2877884</v>
      </c>
      <c r="R257" s="56" t="s">
        <v>2866</v>
      </c>
      <c r="S257" s="112" t="s">
        <v>2867</v>
      </c>
      <c r="T257" s="113" t="s">
        <v>86</v>
      </c>
      <c r="U257" s="49" t="s">
        <v>2868</v>
      </c>
      <c r="V257" s="66" t="s">
        <v>2869</v>
      </c>
      <c r="W257" s="54" t="s">
        <v>2870</v>
      </c>
      <c r="X257" s="54" t="s">
        <v>2871</v>
      </c>
      <c r="Y257" s="110" t="s">
        <v>2872</v>
      </c>
      <c r="Z257" s="108" t="s">
        <v>2873</v>
      </c>
      <c r="AA257" s="109" t="s">
        <v>64</v>
      </c>
      <c r="AB257" s="54"/>
      <c r="AC257" s="56"/>
      <c r="AD257" s="46"/>
      <c r="AE257" s="54"/>
      <c r="AF257" s="55"/>
      <c r="AG257" s="56"/>
      <c r="AH257" s="56"/>
      <c r="AI257" s="54"/>
      <c r="AJ257" s="55"/>
      <c r="AK257" s="56"/>
      <c r="AL257" s="56"/>
      <c r="AM257" s="34"/>
      <c r="AN257" s="55"/>
      <c r="AO257" s="64"/>
      <c r="AP257" s="58" t="str">
        <f t="shared" si="6"/>
        <v>PAPUCA VK s. r. o. uctovnictvo a poradenstvo, potraviny a napoje, &amp;#32vsetky kategorie  991 07 Slovenske Darmoty Sluzby pohostinstiev, administrativne sluzby a vedenie uctovnictva. Hlavnou cinnostou je poskytovanie sluzieb rychleho obcerstvenia, administrativne sluzby a vedenie uctovnictva. Zamestnavame znevyhodnene a/alebo zranitelne osoby. PAPUCA VK s.r.o. Sluzby pohostinstiev, administrativne sluzby, vedenie uctovnictva. sluzby pohostinstiev, administrativne sluzby, uctovnictvo, rychle obcerstvenie, bufet, krcma           </v>
      </c>
      <c r="AQ257" s="37"/>
    </row>
    <row r="258" ht="15.75" customHeight="1">
      <c r="A258" s="43"/>
      <c r="B258" s="59">
        <v>278.0</v>
      </c>
      <c r="C258" s="75" t="s">
        <v>2874</v>
      </c>
      <c r="D258" s="42" t="s">
        <v>94</v>
      </c>
      <c r="E258" s="38" t="str">
        <f t="shared" si="1"/>
        <v>Bratislavský kraj, &amp;#32celé Slovensko</v>
      </c>
      <c r="F258" s="42" t="s">
        <v>385</v>
      </c>
      <c r="G258" s="38" t="str">
        <f t="shared" si="2"/>
        <v>iné (tovary a služby), &amp;#32všetky kategórie</v>
      </c>
      <c r="H258" s="42" t="s">
        <v>53</v>
      </c>
      <c r="I258" s="43" t="str">
        <f t="shared" si="3"/>
        <v>1 - 5, &amp;#32všetky možnosti</v>
      </c>
      <c r="J258" s="44" t="str">
        <f t="shared" si="7"/>
        <v>,Register partnerov VS,Náhradné plnenie</v>
      </c>
      <c r="K258" s="45">
        <f t="shared" si="5"/>
        <v>24474.45848</v>
      </c>
      <c r="L258" s="43"/>
      <c r="M258" s="43" t="str">
        <f>IFERROR(__xludf.DUMMYFUNCTION("SPLIT(O258,"","")"),"Rovniankova 12")</f>
        <v>Rovniankova 12</v>
      </c>
      <c r="N258" s="43" t="str">
        <f>IFERROR(__xludf.DUMMYFUNCTION("""COMPUTED_VALUE""")," 85102 Bratislava-Petržalka")</f>
        <v> 85102 Bratislava-Petržalka</v>
      </c>
      <c r="O258" s="42" t="s">
        <v>2875</v>
      </c>
      <c r="P258" s="43">
        <v>48.1151162</v>
      </c>
      <c r="Q258" s="43">
        <v>17.1099004</v>
      </c>
      <c r="R258" s="56" t="s">
        <v>2876</v>
      </c>
      <c r="S258" s="112" t="s">
        <v>2877</v>
      </c>
      <c r="T258" s="113" t="s">
        <v>86</v>
      </c>
      <c r="U258" s="49" t="s">
        <v>2878</v>
      </c>
      <c r="V258" s="66" t="s">
        <v>2879</v>
      </c>
      <c r="W258" s="54" t="s">
        <v>2880</v>
      </c>
      <c r="X258" s="54" t="s">
        <v>2881</v>
      </c>
      <c r="Y258" s="110" t="s">
        <v>2882</v>
      </c>
      <c r="Z258" s="108" t="s">
        <v>2883</v>
      </c>
      <c r="AA258" s="109" t="s">
        <v>64</v>
      </c>
      <c r="AB258" s="54"/>
      <c r="AC258" s="56"/>
      <c r="AD258" s="46"/>
      <c r="AE258" s="54"/>
      <c r="AF258" s="55"/>
      <c r="AG258" s="56"/>
      <c r="AH258" s="56"/>
      <c r="AI258" s="54"/>
      <c r="AJ258" s="55"/>
      <c r="AK258" s="56"/>
      <c r="AL258" s="56"/>
      <c r="AM258" s="47"/>
      <c r="AN258" s="62" t="s">
        <v>39</v>
      </c>
      <c r="AO258" s="57" t="s">
        <v>40</v>
      </c>
      <c r="AP258" s="58" t="str">
        <f t="shared" si="6"/>
        <v>Solcom Media s. r. o. ine (tovary a sluzby), &amp;#32vsetky kategorie  85102 Bratislava-Petrzalka Vyroba parfumovych osviezovacov vzduchu do automobilov a inych priestorov. Vytvarame pracovne miesta pre zdravotne ci inak znevyhodnenych ludi. Fresh and Funny Vyroba parfumovych osviezovacov. Parfumove osviezovace, vonacky,           Register partnerov VS</v>
      </c>
      <c r="AQ258" s="37"/>
    </row>
    <row r="259" ht="15.75" customHeight="1">
      <c r="A259" s="43"/>
      <c r="B259" s="59">
        <v>279.0</v>
      </c>
      <c r="C259" s="75" t="s">
        <v>2884</v>
      </c>
      <c r="D259" s="42" t="s">
        <v>134</v>
      </c>
      <c r="E259" s="38" t="str">
        <f t="shared" si="1"/>
        <v>Trenčiansky kraj, &amp;#32celé Slovensko</v>
      </c>
      <c r="F259" s="42" t="s">
        <v>2885</v>
      </c>
      <c r="G259" s="38" t="str">
        <f t="shared" si="2"/>
        <v>doprava, elektro, auto-moto, kovovýroba, &amp;#32všetky kategórie</v>
      </c>
      <c r="H259" s="42" t="s">
        <v>170</v>
      </c>
      <c r="I259" s="43" t="str">
        <f t="shared" si="3"/>
        <v>21 a viac, &amp;#32všetky možnosti</v>
      </c>
      <c r="J259" s="44" t="str">
        <f t="shared" si="7"/>
        <v>,Register partnerov VS,Náhradné plnenie</v>
      </c>
      <c r="K259" s="45">
        <f t="shared" si="5"/>
        <v>20611.22829</v>
      </c>
      <c r="L259" s="43"/>
      <c r="M259" s="43" t="str">
        <f>IFERROR(__xludf.DUMMYFUNCTION("SPLIT(O259,"","")"),"Piešťanská 31/A")</f>
        <v>Piešťanská 31/A</v>
      </c>
      <c r="N259" s="43" t="str">
        <f>IFERROR(__xludf.DUMMYFUNCTION("""COMPUTED_VALUE""")," 915 01 Nové Mesto nad Váhom")</f>
        <v> 915 01 Nové Mesto nad Váhom</v>
      </c>
      <c r="O259" s="42" t="s">
        <v>2886</v>
      </c>
      <c r="P259" s="43">
        <v>48.734823</v>
      </c>
      <c r="Q259" s="43">
        <v>17.8382022</v>
      </c>
      <c r="R259" s="56" t="s">
        <v>2887</v>
      </c>
      <c r="S259" s="112" t="s">
        <v>2888</v>
      </c>
      <c r="T259" s="113" t="s">
        <v>86</v>
      </c>
      <c r="U259" s="49" t="s">
        <v>2889</v>
      </c>
      <c r="V259" s="66" t="s">
        <v>2890</v>
      </c>
      <c r="W259" s="54" t="s">
        <v>2891</v>
      </c>
      <c r="X259" s="54" t="s">
        <v>2892</v>
      </c>
      <c r="Y259" s="46" t="s">
        <v>2893</v>
      </c>
      <c r="Z259" s="53" t="s">
        <v>2894</v>
      </c>
      <c r="AA259" s="114" t="s">
        <v>129</v>
      </c>
      <c r="AB259" s="116" t="s">
        <v>2895</v>
      </c>
      <c r="AC259" s="56" t="s">
        <v>2896</v>
      </c>
      <c r="AD259" s="46" t="s">
        <v>2897</v>
      </c>
      <c r="AE259" s="54" t="s">
        <v>64</v>
      </c>
      <c r="AF259" s="54"/>
      <c r="AG259" s="46"/>
      <c r="AH259" s="46"/>
      <c r="AI259" s="54"/>
      <c r="AJ259" s="55"/>
      <c r="AK259" s="56"/>
      <c r="AL259" s="56"/>
      <c r="AM259" s="47"/>
      <c r="AN259" s="62" t="s">
        <v>39</v>
      </c>
      <c r="AO259" s="57" t="s">
        <v>40</v>
      </c>
      <c r="AP259" s="58" t="str">
        <f t="shared" si="6"/>
        <v>Dekora Group, s.r.o doprava, elektro, auto-moto, kovovyroba, &amp;#32vsetky kategorie  915 01 Nove Mesto nad Vahom Nasa spolocnost ma v sucasnosti uz dve prevadzky. V Novom Meste nad Vahom ponukame sluzby subdodavatelom pre automobilovy priemysel (montaz podskupin pozostavajuca z plastovych a kovovych vyrobkov, kontrola a kalibracia vyrobkov, mechanicke upravy kovovych a plastovych vyrobkov, ...), energeticky priemysel (montaz hlinikovych drziakov pre vysokonapatove kable, ...) a lahky priemysel (montaz podskupin pre bicykle, rozne baliace a triediace cinnosti) . Prevadzka v Puchove je momentalne zamerana na spolupracu s firmou vyrabajucou kablove zvazky. Nasim dodavkovym vozidlom do 3,5 tony zabezpecujeme dovoz tovarov na prevadzky a odvoz hotovych vyrobkov zakaznikovi podla jeho potrieb. Z 28 zamestnancov je 27 zdravotne znevyhodnenych, jeden zamestnanec poskytuje asistenciu zdravotne znevyhodnenym osobam. Dekora Group, Nove Mesto nad Vahom Montazne prace na kovovych a plastovych vyrobkoch, baliace cinnosti, kontrola a kalibracia vyrobkov. montazna dielna, kalibracia, balenie Dekora Group, Puchov Montazna dielna. montaz kablovych zvazkov a komponentov        Register partnerov VS</v>
      </c>
      <c r="AQ259" s="37"/>
    </row>
    <row r="260" ht="15.75" customHeight="1">
      <c r="A260" s="43"/>
      <c r="B260" s="59">
        <v>280.0</v>
      </c>
      <c r="C260" s="75" t="s">
        <v>2898</v>
      </c>
      <c r="D260" s="42" t="s">
        <v>181</v>
      </c>
      <c r="E260" s="38" t="str">
        <f t="shared" si="1"/>
        <v>Banskobystrický kraj, &amp;#32celé Slovensko</v>
      </c>
      <c r="F260" s="42" t="s">
        <v>2899</v>
      </c>
      <c r="G260" s="38" t="str">
        <f t="shared" si="2"/>
        <v>poľnohospodárstvo a lesníctvo, dom a záhrada, stavebníctvo, &amp;#32všetky kategórie</v>
      </c>
      <c r="H260" s="42" t="s">
        <v>96</v>
      </c>
      <c r="I260" s="43" t="str">
        <f t="shared" si="3"/>
        <v>6 - 10, &amp;#32všetky možnosti</v>
      </c>
      <c r="J260" s="44" t="str">
        <f t="shared" si="7"/>
        <v>,Register partnerov VS,</v>
      </c>
      <c r="K260" s="45">
        <f t="shared" si="5"/>
        <v>34849.11772</v>
      </c>
      <c r="L260" s="43"/>
      <c r="M260" s="43" t="str">
        <f>IFERROR(__xludf.DUMMYFUNCTION("SPLIT(O260,"","")"),"Námestie SNP 47/9")</f>
        <v>Námestie SNP 47/9</v>
      </c>
      <c r="N260" s="43" t="str">
        <f>IFERROR(__xludf.DUMMYFUNCTION("""COMPUTED_VALUE""")," 962 61 Dobrá Niva")</f>
        <v> 962 61 Dobrá Niva</v>
      </c>
      <c r="O260" s="42" t="s">
        <v>2900</v>
      </c>
      <c r="P260" s="43">
        <v>48.4701801999999</v>
      </c>
      <c r="Q260" s="43">
        <v>19.1057291</v>
      </c>
      <c r="R260" s="56" t="s">
        <v>2901</v>
      </c>
      <c r="S260" s="112" t="s">
        <v>2902</v>
      </c>
      <c r="T260" s="113" t="s">
        <v>2903</v>
      </c>
      <c r="U260" s="49" t="s">
        <v>2904</v>
      </c>
      <c r="V260" s="66" t="s">
        <v>2905</v>
      </c>
      <c r="W260" s="54" t="s">
        <v>2906</v>
      </c>
      <c r="X260" s="54" t="s">
        <v>2907</v>
      </c>
      <c r="Y260" s="110" t="s">
        <v>2908</v>
      </c>
      <c r="Z260" s="108" t="s">
        <v>2909</v>
      </c>
      <c r="AA260" s="109" t="s">
        <v>64</v>
      </c>
      <c r="AB260" s="54"/>
      <c r="AC260" s="56"/>
      <c r="AD260" s="46"/>
      <c r="AE260" s="54"/>
      <c r="AF260" s="55"/>
      <c r="AG260" s="56"/>
      <c r="AH260" s="56"/>
      <c r="AI260" s="54"/>
      <c r="AJ260" s="55"/>
      <c r="AK260" s="56"/>
      <c r="AL260" s="56"/>
      <c r="AM260" s="47"/>
      <c r="AN260" s="62" t="s">
        <v>39</v>
      </c>
      <c r="AO260" s="64"/>
      <c r="AP260" s="58" t="str">
        <f t="shared" si="6"/>
        <v>Obecne sluzby Dobra Niva, s.r.o. polnohospodarstvo a lesnictvo, dom a zahrada, stavebnictvo, &amp;#32vsetky kategorie  962 61 Dobra Niva V sucasnosti nas podnik Obecne sluzby Dobra Niva s.r.o., r.s.p. posobi v nasledovnych oblastiach: stavebne a buracie prace, rekonstrukcie obecneho majetku, oprava chodnikov a ciest, pokladka zamkovej dlazby, udrzba zelene a rozne ine pomocne prace. Vacsinu prac vykonavame pre svojho zriadovatela - obec. Svoje sluzby vsak vieme poskytovat aj inym obciam a mestam, fyzickym i pravnickym osobam. Percentom zamestnanych znevyhodnenych osob a/alebo zranitelnych osob z celkoveho poctu zamestnancov spolocnosti v zmysle prislusnych ustanoveni zakona c. 112/2018 Z. z. Obecne sluzby Dobra Niva s.r.o. Stavebne a buracie prace, rekonstrukcie obecneho majetku, oprava chodnikov a ciest, pokladka zamkovej dlazby, udrzba zelene a rozne ine pomocne prace. stavebne prace, stavba, buracie prace, buranie, dlazba, zamkova dlazba, obklady, rekonstrukcia, oprava chodnikov, kosenie, lesnictvo, lesne hospodarstvo, zahradne prace           Register partnerov VS</v>
      </c>
      <c r="AQ260" s="37"/>
    </row>
    <row r="261" ht="15.75" customHeight="1">
      <c r="A261" s="43"/>
      <c r="B261" s="59">
        <v>281.0</v>
      </c>
      <c r="C261" s="75" t="s">
        <v>2910</v>
      </c>
      <c r="D261" s="42" t="s">
        <v>229</v>
      </c>
      <c r="E261" s="38" t="str">
        <f t="shared" si="1"/>
        <v>Nitriansky kraj, &amp;#32celé Slovensko</v>
      </c>
      <c r="F261" s="42" t="s">
        <v>2054</v>
      </c>
      <c r="G261" s="38" t="str">
        <f t="shared" si="2"/>
        <v>čistiace a upratovacie služby, dom a záhrada, stavebníctvo, odpady a recyklácia, &amp;#32všetky kategórie</v>
      </c>
      <c r="H261" s="42" t="s">
        <v>53</v>
      </c>
      <c r="I261" s="43" t="str">
        <f t="shared" si="3"/>
        <v>1 - 5, &amp;#32všetky možnosti</v>
      </c>
      <c r="J261" s="44" t="str">
        <f t="shared" si="7"/>
        <v>Servisné poukážky,,Náhradné plnenie</v>
      </c>
      <c r="K261" s="45">
        <f t="shared" si="5"/>
        <v>22031.95114</v>
      </c>
      <c r="L261" s="43"/>
      <c r="M261" s="43" t="str">
        <f>IFERROR(__xludf.DUMMYFUNCTION("SPLIT(O261,"","")"),"Hlavná 51")</f>
        <v>Hlavná 51</v>
      </c>
      <c r="N261" s="43" t="str">
        <f>IFERROR(__xludf.DUMMYFUNCTION("""COMPUTED_VALUE""")," 941 03 Úľany nad Žitavou")</f>
        <v> 941 03 Úľany nad Žitavou</v>
      </c>
      <c r="O261" s="42" t="s">
        <v>2911</v>
      </c>
      <c r="P261" s="43">
        <v>48.1071675</v>
      </c>
      <c r="Q261" s="43">
        <v>18.2388918</v>
      </c>
      <c r="R261" s="56" t="s">
        <v>2912</v>
      </c>
      <c r="S261" s="112" t="s">
        <v>2913</v>
      </c>
      <c r="T261" s="113" t="s">
        <v>86</v>
      </c>
      <c r="U261" s="49" t="s">
        <v>2914</v>
      </c>
      <c r="V261" s="66" t="s">
        <v>2915</v>
      </c>
      <c r="W261" s="54" t="s">
        <v>2916</v>
      </c>
      <c r="X261" s="54" t="s">
        <v>2917</v>
      </c>
      <c r="Y261" s="110" t="s">
        <v>2918</v>
      </c>
      <c r="Z261" s="108" t="s">
        <v>2919</v>
      </c>
      <c r="AA261" s="109" t="s">
        <v>64</v>
      </c>
      <c r="AB261" s="54"/>
      <c r="AC261" s="56"/>
      <c r="AD261" s="46"/>
      <c r="AE261" s="54"/>
      <c r="AF261" s="55"/>
      <c r="AG261" s="56"/>
      <c r="AH261" s="56"/>
      <c r="AI261" s="54"/>
      <c r="AJ261" s="55"/>
      <c r="AK261" s="56"/>
      <c r="AL261" s="56"/>
      <c r="AM261" s="18" t="s">
        <v>321</v>
      </c>
      <c r="AN261" s="55"/>
      <c r="AO261" s="57" t="s">
        <v>40</v>
      </c>
      <c r="AP261" s="58" t="str">
        <f t="shared" si="6"/>
        <v>Obecny podnik obchodu a sluzieb Ulany nad Zitavou s. r. o. cistiace a upratovacie sluzby, dom a zahrada, stavebnictvo, odpady a recyklacia, &amp;#32vsetky kategorie  941 03 Ulany nad Zitavou Podnik aktualne ponuka svoje sluzby komunalneho charakteru obci Ulany nad Zitavou a jej obcanom. Spravuje obecne budovy, cintorin, obcanom poskytuje prace v zahrade, domacnosti, pilcicke prace. Aktualne zamestnava obcanov obce Ulany nad Zitavou, ktori su zdravotne znevyhodneni alebo mali dlhodobejsi problem s uplatnenim sa na trhu prace. Obecny podnik obchodu a sluzieb Ulany nad Zitavou s.r.o. Komunalne sluzby v obci, sprava obecnych budov, cintorina, docasneho uloziska odpadov. Prace v zahrade, domacnosti, interierove maliarske prace, pilcicke prace, drobne neodborne stavebne prace. kosenie, opilovanie, vykopove rucne prace, interierove maliarske prace, zahradne prace          Servisne poukazky </v>
      </c>
      <c r="AQ261" s="37"/>
    </row>
    <row r="262" ht="15.75" customHeight="1">
      <c r="A262" s="43"/>
      <c r="B262" s="59">
        <v>282.0</v>
      </c>
      <c r="C262" s="75" t="s">
        <v>2920</v>
      </c>
      <c r="D262" s="42" t="s">
        <v>80</v>
      </c>
      <c r="E262" s="38" t="str">
        <f t="shared" si="1"/>
        <v>Trnavský kraj, &amp;#32celé Slovensko</v>
      </c>
      <c r="F262" s="42" t="s">
        <v>2921</v>
      </c>
      <c r="G262" s="38" t="str">
        <f t="shared" si="2"/>
        <v>čistiace a upratovacie služby, poľnohospodárstvo a lesníctvo, dom a záhrada, stavebníctvo, kovovýroba, &amp;#32všetky kategórie</v>
      </c>
      <c r="H262" s="42" t="s">
        <v>82</v>
      </c>
      <c r="I262" s="43" t="str">
        <f t="shared" si="3"/>
        <v>11 - 15, &amp;#32všetky možnosti</v>
      </c>
      <c r="J262" s="44" t="str">
        <f t="shared" si="7"/>
        <v>Servisné poukážky,Register partnerov VS,Náhradné plnenie</v>
      </c>
      <c r="K262" s="45">
        <f t="shared" si="5"/>
        <v>31901.64156</v>
      </c>
      <c r="L262" s="43"/>
      <c r="M262" s="43" t="str">
        <f>IFERROR(__xludf.DUMMYFUNCTION("SPLIT(O262,"","")"),"Sap 48")</f>
        <v>Sap 48</v>
      </c>
      <c r="N262" s="43" t="str">
        <f>IFERROR(__xludf.DUMMYFUNCTION("""COMPUTED_VALUE""")," 930 06 Sap")</f>
        <v> 930 06 Sap</v>
      </c>
      <c r="O262" s="42" t="s">
        <v>2922</v>
      </c>
      <c r="P262" s="43">
        <v>47.8208069</v>
      </c>
      <c r="Q262" s="43">
        <v>17.6150258</v>
      </c>
      <c r="R262" s="56" t="s">
        <v>2923</v>
      </c>
      <c r="S262" s="112" t="s">
        <v>2924</v>
      </c>
      <c r="T262" s="113" t="s">
        <v>2925</v>
      </c>
      <c r="U262" s="49" t="s">
        <v>2926</v>
      </c>
      <c r="V262" s="66" t="s">
        <v>2927</v>
      </c>
      <c r="W262" s="54" t="s">
        <v>2928</v>
      </c>
      <c r="X262" s="54" t="s">
        <v>2929</v>
      </c>
      <c r="Y262" s="110" t="s">
        <v>2923</v>
      </c>
      <c r="Z262" s="108" t="s">
        <v>2930</v>
      </c>
      <c r="AA262" s="109" t="s">
        <v>64</v>
      </c>
      <c r="AB262" s="54"/>
      <c r="AC262" s="56"/>
      <c r="AD262" s="46"/>
      <c r="AE262" s="54"/>
      <c r="AF262" s="55"/>
      <c r="AG262" s="56"/>
      <c r="AH262" s="56"/>
      <c r="AI262" s="54"/>
      <c r="AJ262" s="55"/>
      <c r="AK262" s="56"/>
      <c r="AL262" s="56"/>
      <c r="AM262" s="77" t="s">
        <v>321</v>
      </c>
      <c r="AN262" s="62" t="s">
        <v>39</v>
      </c>
      <c r="AO262" s="57" t="s">
        <v>40</v>
      </c>
      <c r="AP262" s="58" t="str">
        <f t="shared" si="6"/>
        <v>Obecny podnik Sap, s. r. o. cistiace a upratovacie sluzby, polnohospodarstvo a lesnictvo, dom a zahrada, stavebnictvo, kovovyroba, &amp;#32vsetky kategorie  930 06 Sap Kosenie travy pre domacnost a zahradu, cistiace a upratovacie sluzby, poskytovanie sluzieb v polnohospodarstve a zahradnictve, uskutocnovanie stavieb a ich zmien. Spolocnost zamestnava prislusne percento zranitelnych a/alebo znevyhodnenych osob v zmysle prislusnych ustanoveni zakona c. 112/2018 Z. z.. Obecny podnik Sap, s.r.o. Kosenie travy pre domacnost a zahradu, cistiace a upratovacie sluzby, poskytovanie sluzieb v polnohospodarstve a zahradnictve, uskutocnovanie stavieb a ich zmien. Kosenie, kovovyroba, cistenie, zahrada, zemne prace, stavebne prace          Servisne poukazky Register partnerov VS</v>
      </c>
      <c r="AQ262" s="37"/>
    </row>
    <row r="263" ht="15.75" customHeight="1">
      <c r="A263" s="43"/>
      <c r="B263" s="59">
        <v>283.0</v>
      </c>
      <c r="C263" s="75" t="s">
        <v>2931</v>
      </c>
      <c r="D263" s="42" t="s">
        <v>80</v>
      </c>
      <c r="E263" s="38" t="str">
        <f t="shared" si="1"/>
        <v>Trnavský kraj, &amp;#32celé Slovensko</v>
      </c>
      <c r="F263" s="42" t="s">
        <v>2932</v>
      </c>
      <c r="G263" s="38" t="str">
        <f t="shared" si="2"/>
        <v>čistiace a upratovacie služby, dom a záhrada, doprava, &amp;#32všetky kategórie</v>
      </c>
      <c r="H263" s="42" t="s">
        <v>53</v>
      </c>
      <c r="I263" s="43" t="str">
        <f t="shared" si="3"/>
        <v>1 - 5, &amp;#32všetky možnosti</v>
      </c>
      <c r="J263" s="44" t="str">
        <f t="shared" si="7"/>
        <v>,,</v>
      </c>
      <c r="K263" s="45">
        <f t="shared" si="5"/>
        <v>26854.32277</v>
      </c>
      <c r="L263" s="43"/>
      <c r="M263" s="43" t="str">
        <f>IFERROR(__xludf.DUMMYFUNCTION("SPLIT(O263,"","")"),"Dojč 125")</f>
        <v>Dojč 125</v>
      </c>
      <c r="N263" s="43" t="str">
        <f>IFERROR(__xludf.DUMMYFUNCTION("""COMPUTED_VALUE""")," 906 02 Dojč")</f>
        <v> 906 02 Dojč</v>
      </c>
      <c r="O263" s="42" t="s">
        <v>2933</v>
      </c>
      <c r="P263" s="43">
        <v>48.6763726999999</v>
      </c>
      <c r="Q263" s="43">
        <v>17.2546352</v>
      </c>
      <c r="R263" s="56" t="s">
        <v>2934</v>
      </c>
      <c r="S263" s="112" t="s">
        <v>2935</v>
      </c>
      <c r="T263" s="113" t="s">
        <v>2936</v>
      </c>
      <c r="U263" s="49" t="s">
        <v>2937</v>
      </c>
      <c r="V263" s="66" t="s">
        <v>2938</v>
      </c>
      <c r="W263" s="54" t="s">
        <v>2939</v>
      </c>
      <c r="X263" s="54" t="s">
        <v>2940</v>
      </c>
      <c r="Y263" s="110" t="s">
        <v>2941</v>
      </c>
      <c r="Z263" s="108" t="s">
        <v>2942</v>
      </c>
      <c r="AA263" s="109" t="s">
        <v>64</v>
      </c>
      <c r="AB263" s="54"/>
      <c r="AC263" s="56"/>
      <c r="AD263" s="46"/>
      <c r="AE263" s="54"/>
      <c r="AF263" s="55"/>
      <c r="AG263" s="56"/>
      <c r="AH263" s="56"/>
      <c r="AI263" s="54"/>
      <c r="AJ263" s="55"/>
      <c r="AK263" s="56"/>
      <c r="AL263" s="56"/>
      <c r="AM263" s="34"/>
      <c r="AN263" s="55"/>
      <c r="AO263" s="64"/>
      <c r="AP263" s="58" t="str">
        <f t="shared" si="6"/>
        <v>Dojc - OPS, s.r.o. cistiace a upratovacie sluzby, dom a zahrada, doprava, &amp;#32vsetky kategorie  906 02 Dojc Nas socialny podnik ponuka sluzby najma obyvatelom obce Dojc vo forme kosenia a mulcovania, odvozu bioodpadu, stiepkovania konarov, cistenia verejnych priestranstiev a potoka, realizuje zimnu udrzbu miestnych komunikacii a chodnikov. Ponukame aj upratovacie sluzby. Najma starsim obcanom podava podnik pomocnu ruku pri udrzbe nehnutelnosti a prilahlych pozemkov, zamestnava socialne znevyhodnenych, ktorym umoznuje pracovat v medziach ich zdravotneho znevyhodnenia. Dojc-OPS, s.r.o., RSP Aktualne ponukame odvoz bioodpadu, orez konarov a ich stiepkovanie, zimnu udrzbu chodnikov. bioodpad, kosenie, hrabanie, stiepkovanie, mulcovanie, zametanie, odhrnanie, odvoz           </v>
      </c>
      <c r="AQ263" s="37"/>
    </row>
    <row r="264" ht="15.75" customHeight="1">
      <c r="A264" s="43"/>
      <c r="B264" s="59">
        <v>284.0</v>
      </c>
      <c r="C264" s="75" t="s">
        <v>2943</v>
      </c>
      <c r="D264" s="42" t="s">
        <v>134</v>
      </c>
      <c r="E264" s="38" t="str">
        <f t="shared" si="1"/>
        <v>Trenčiansky kraj, &amp;#32celé Slovensko</v>
      </c>
      <c r="F264" s="42" t="s">
        <v>1503</v>
      </c>
      <c r="G264" s="38" t="str">
        <f t="shared" si="2"/>
        <v>čistiace a upratovacie služby, ubytovacie a stravovacie služby, &amp;#32všetky kategórie</v>
      </c>
      <c r="H264" s="42" t="s">
        <v>82</v>
      </c>
      <c r="I264" s="43" t="str">
        <f t="shared" si="3"/>
        <v>11 - 15, &amp;#32všetky možnosti</v>
      </c>
      <c r="J264" s="44" t="str">
        <f t="shared" si="7"/>
        <v>,Register partnerov VS,Náhradné plnenie</v>
      </c>
      <c r="K264" s="45">
        <f t="shared" si="5"/>
        <v>34013.08955</v>
      </c>
      <c r="L264" s="43"/>
      <c r="M264" s="43" t="str">
        <f>IFERROR(__xludf.DUMMYFUNCTION("SPLIT(O264,"","")"),"Pod hájom 1095/76")</f>
        <v>Pod hájom 1095/76</v>
      </c>
      <c r="N264" s="43" t="str">
        <f>IFERROR(__xludf.DUMMYFUNCTION("""COMPUTED_VALUE""")," 018 41 Dubnica nad Váhom")</f>
        <v> 018 41 Dubnica nad Váhom</v>
      </c>
      <c r="O264" s="42" t="s">
        <v>2944</v>
      </c>
      <c r="P264" s="43">
        <v>48.9540377</v>
      </c>
      <c r="Q264" s="43">
        <v>18.1715514</v>
      </c>
      <c r="R264" s="56" t="s">
        <v>2945</v>
      </c>
      <c r="S264" s="112" t="s">
        <v>2946</v>
      </c>
      <c r="T264" s="113" t="s">
        <v>86</v>
      </c>
      <c r="U264" s="49" t="s">
        <v>2947</v>
      </c>
      <c r="V264" s="66" t="s">
        <v>2948</v>
      </c>
      <c r="W264" s="54" t="s">
        <v>2949</v>
      </c>
      <c r="X264" s="54" t="s">
        <v>2950</v>
      </c>
      <c r="Y264" s="110" t="s">
        <v>2951</v>
      </c>
      <c r="Z264" s="108" t="s">
        <v>2952</v>
      </c>
      <c r="AA264" s="109" t="s">
        <v>64</v>
      </c>
      <c r="AB264" s="54"/>
      <c r="AC264" s="56"/>
      <c r="AD264" s="46"/>
      <c r="AE264" s="54"/>
      <c r="AF264" s="55"/>
      <c r="AG264" s="56"/>
      <c r="AH264" s="56"/>
      <c r="AI264" s="54"/>
      <c r="AJ264" s="55"/>
      <c r="AK264" s="56"/>
      <c r="AL264" s="56"/>
      <c r="AM264" s="47"/>
      <c r="AN264" s="62" t="s">
        <v>39</v>
      </c>
      <c r="AO264" s="57" t="s">
        <v>40</v>
      </c>
      <c r="AP264" s="58" t="str">
        <f t="shared" si="6"/>
        <v>Palatinos, s.r.o. cistiace a upratovacie sluzby, ubytovacie a stravovacie sluzby, &amp;#32vsetky kategorie  018 41 Dubnica nad Vahom Poskytujeme sluzby v oblasti pripravy studenej a teplej kuchyne a upratovacie sluzby. Integrujeme socialne a zdravotne znevyhodnenych spoluobcanov na pracovny trh. Palatinos Studena kuchyna, tepla kuchyna, upratovacie sluzby. kanapky, oblozene chlebicky, oblozene misy           Register partnerov VS</v>
      </c>
      <c r="AQ264" s="37"/>
    </row>
    <row r="265" ht="15.75" customHeight="1">
      <c r="A265" s="43"/>
      <c r="B265" s="59">
        <v>285.0</v>
      </c>
      <c r="C265" s="75" t="s">
        <v>2953</v>
      </c>
      <c r="D265" s="42" t="s">
        <v>181</v>
      </c>
      <c r="E265" s="38" t="str">
        <f t="shared" si="1"/>
        <v>Banskobystrický kraj, &amp;#32celé Slovensko</v>
      </c>
      <c r="F265" s="42" t="s">
        <v>2954</v>
      </c>
      <c r="G265" s="38" t="str">
        <f t="shared" si="2"/>
        <v>odevy a obuv, nábytok a bytové doplnky, kultúra a šport, &amp;#32všetky kategórie</v>
      </c>
      <c r="H265" s="42" t="s">
        <v>53</v>
      </c>
      <c r="I265" s="43" t="str">
        <f t="shared" si="3"/>
        <v>1 - 5, &amp;#32všetky možnosti</v>
      </c>
      <c r="J265" s="44" t="str">
        <f t="shared" si="7"/>
        <v>,Register partnerov VS,Náhradné plnenie</v>
      </c>
      <c r="K265" s="45">
        <f t="shared" si="5"/>
        <v>40139.44759</v>
      </c>
      <c r="L265" s="43"/>
      <c r="M265" s="43" t="str">
        <f>IFERROR(__xludf.DUMMYFUNCTION("SPLIT(O265,"","")"),"Rovňany 18")</f>
        <v>Rovňany 18</v>
      </c>
      <c r="N265" s="43" t="str">
        <f>IFERROR(__xludf.DUMMYFUNCTION("""COMPUTED_VALUE""")," 985 24 Rovňany")</f>
        <v> 985 24 Rovňany</v>
      </c>
      <c r="O265" s="42" t="s">
        <v>2955</v>
      </c>
      <c r="P265" s="43">
        <v>48.4463531</v>
      </c>
      <c r="Q265" s="43">
        <v>19.744676</v>
      </c>
      <c r="R265" s="56" t="s">
        <v>2956</v>
      </c>
      <c r="S265" s="112" t="s">
        <v>2957</v>
      </c>
      <c r="T265" s="113" t="s">
        <v>86</v>
      </c>
      <c r="U265" s="49" t="s">
        <v>2958</v>
      </c>
      <c r="V265" s="66" t="s">
        <v>2959</v>
      </c>
      <c r="W265" s="54" t="s">
        <v>2960</v>
      </c>
      <c r="X265" s="54" t="s">
        <v>2961</v>
      </c>
      <c r="Y265" s="110" t="s">
        <v>2962</v>
      </c>
      <c r="Z265" s="108" t="s">
        <v>2963</v>
      </c>
      <c r="AA265" s="109" t="s">
        <v>64</v>
      </c>
      <c r="AB265" s="54"/>
      <c r="AC265" s="56"/>
      <c r="AD265" s="46"/>
      <c r="AE265" s="54"/>
      <c r="AF265" s="55"/>
      <c r="AG265" s="56"/>
      <c r="AH265" s="56"/>
      <c r="AI265" s="54"/>
      <c r="AJ265" s="55"/>
      <c r="AK265" s="56"/>
      <c r="AL265" s="56"/>
      <c r="AM265" s="47"/>
      <c r="AN265" s="62" t="s">
        <v>39</v>
      </c>
      <c r="AO265" s="57" t="s">
        <v>40</v>
      </c>
      <c r="AP265" s="58" t="str">
        <f t="shared" si="6"/>
        <v>Margaret s. r. o. odevy a obuv, nabytok a bytove doplnky, kultura a sport, &amp;#32vsetky kategorie  985 24 Rovnany Spolocnost Margaret, s.r.o., sa zaobera vyrobou a predajom krojov a jednotlivych krojovych sucasti podla autentickeho prevedenia a spracovania, dalej etno-mody, liturgie a liturgickych textilii, bytoveho textilu a textilnych doplnkov do domacnosti a vyssej spolocenskej mody, slow-fashion, ale i up-cyklovanou modou. Vo svojej predajni v Lucenci predavame okrem nami zhotovenych odevnych a textilnych sucasti aj ludovoumelecke predmety z roznych materialov, ktore su vyrobkami prevazne lokalnych remeselnikov. Ide o vyrobky z dreva, koze, drotu, supolia, skla, keramiky, ... Spolocensky vplyv spociva v zamestnani a zamestnavani osob so ZTP a osob so zdravotnym znevyhodnenim, pripadne zamestnavanim ludi, ktori maju obmedzene moznosti a komplikacie uplatnit sa na trhu prace. V ramci nasho r.s.p. prinasame pozitivny socialny vplyv tiez prostrednictvom tvorby, rozvoja, ochrany, obnovy a prezentacie duchovnych a kulturnych hodnot: repasovanie starych povodnych krojov, realizacia terenneho vyskumu, spolupraca s muzeami a inymi odbornymi instituciami, vyucba kurzov tradicnych vysivacich technik, prezentacie, seminare pre verejnost. Margaret s.r.o. Vyroba krojov a ich jednotlivych odevnych sucasti, etno-moda pre dospelych, ale i deti: vysivane tricka, mikiny, bluzky, kosele, zdobene a plisovane sukne, opasky, motyliky, ... Z bytovych doplnkov: lanove utierky, obrusy, kuchynske zastery, kuchynske rukavice, vankuse, tasky. kroj, vysivane tricko, vysivana mikina, kosela, bluzka, sukna, saty, lanova utierka, obrus, kuchynska zastera, kuchynska rukavica, vankus, taska, motylik, opasok, vysivany opasok, sitie, oprava krojov, vysivanie rucne, vysivanie strojove, remeselne vyrobky, supolie, drevo, koza, keramika, sklo, ludove remeslo, liturgicke odevy           Register partnerov VS</v>
      </c>
      <c r="AQ265" s="37"/>
    </row>
    <row r="266" ht="15.75" customHeight="1">
      <c r="A266" s="43"/>
      <c r="B266" s="59">
        <v>286.0</v>
      </c>
      <c r="C266" s="75" t="s">
        <v>2964</v>
      </c>
      <c r="D266" s="42" t="s">
        <v>218</v>
      </c>
      <c r="E266" s="38" t="str">
        <f t="shared" si="1"/>
        <v>Košický kraj, &amp;#32celé Slovensko</v>
      </c>
      <c r="F266" s="42" t="s">
        <v>2965</v>
      </c>
      <c r="G266" s="38" t="str">
        <f t="shared" si="2"/>
        <v>čistiace a upratovacie služby, dom a záhrada, doprava, odpady a recyklácia, &amp;#32všetky kategórie</v>
      </c>
      <c r="H266" s="42" t="s">
        <v>96</v>
      </c>
      <c r="I266" s="43" t="str">
        <f t="shared" si="3"/>
        <v>6 - 10, &amp;#32všetky možnosti</v>
      </c>
      <c r="J266" s="44" t="str">
        <f t="shared" si="7"/>
        <v>Servisné poukážky,,Náhradné plnenie</v>
      </c>
      <c r="K266" s="45">
        <f t="shared" si="5"/>
        <v>31977.43543</v>
      </c>
      <c r="L266" s="43"/>
      <c r="M266" s="43" t="str">
        <f>IFERROR(__xludf.DUMMYFUNCTION("SPLIT(O266,"","")"),"Jablonov nad Turňou 244")</f>
        <v>Jablonov nad Turňou 244</v>
      </c>
      <c r="N266" s="43" t="str">
        <f>IFERROR(__xludf.DUMMYFUNCTION("""COMPUTED_VALUE""")," 049 43 Jablonov nad Turňou")</f>
        <v> 049 43 Jablonov nad Turňou</v>
      </c>
      <c r="O266" s="42" t="s">
        <v>2966</v>
      </c>
      <c r="P266" s="43">
        <v>48.590512</v>
      </c>
      <c r="Q266" s="43">
        <v>20.6735815</v>
      </c>
      <c r="R266" s="56" t="s">
        <v>2967</v>
      </c>
      <c r="S266" s="112" t="s">
        <v>2968</v>
      </c>
      <c r="T266" s="113" t="s">
        <v>86</v>
      </c>
      <c r="U266" s="49" t="s">
        <v>2969</v>
      </c>
      <c r="V266" s="66" t="s">
        <v>2970</v>
      </c>
      <c r="W266" s="54" t="s">
        <v>2971</v>
      </c>
      <c r="X266" s="54" t="s">
        <v>2972</v>
      </c>
      <c r="Y266" s="110" t="s">
        <v>2973</v>
      </c>
      <c r="Z266" s="108" t="s">
        <v>2974</v>
      </c>
      <c r="AA266" s="109" t="s">
        <v>64</v>
      </c>
      <c r="AB266" s="54"/>
      <c r="AC266" s="56"/>
      <c r="AD266" s="46"/>
      <c r="AE266" s="54"/>
      <c r="AF266" s="55"/>
      <c r="AG266" s="56"/>
      <c r="AH266" s="56"/>
      <c r="AI266" s="54"/>
      <c r="AJ266" s="55"/>
      <c r="AK266" s="56"/>
      <c r="AL266" s="56"/>
      <c r="AM266" s="18" t="s">
        <v>321</v>
      </c>
      <c r="AN266" s="55"/>
      <c r="AO266" s="57" t="s">
        <v>40</v>
      </c>
      <c r="AP266" s="58" t="str">
        <f t="shared" si="6"/>
        <v>Obecna prevadzkaren, s.r.o. Jablonov r. s. p. cistiace a upratovacie sluzby, dom a zahrada, doprava, odpady a recyklacia, &amp;#32vsetky kategorie  049 43 Jablonov nad Turnou nase sluzby realizujeme pre obcanov, firmy, obce: kosenie, odvoz odpadu, vyrub stromov, zemne prace. Zamestnavame pre znevyhodnene osoby. Obecna prevadzkaren, s.r.o. Jablonov r.s.p. Zemne prace, kosenie , vyrub, preprava. zemne prace, kosenie , vyrub, preprava, zber odpadu          Servisne poukazky </v>
      </c>
      <c r="AQ266" s="37"/>
    </row>
    <row r="267" ht="15.75" customHeight="1">
      <c r="A267" s="43"/>
      <c r="B267" s="59">
        <v>287.0</v>
      </c>
      <c r="C267" s="75" t="s">
        <v>2975</v>
      </c>
      <c r="D267" s="42" t="s">
        <v>51</v>
      </c>
      <c r="E267" s="38" t="str">
        <f t="shared" si="1"/>
        <v>Prešovský kraj, &amp;#32celé Slovensko</v>
      </c>
      <c r="F267" s="42" t="s">
        <v>584</v>
      </c>
      <c r="G267" s="38" t="str">
        <f t="shared" si="2"/>
        <v>stavebníctvo, doprava, &amp;#32všetky kategórie</v>
      </c>
      <c r="H267" s="42" t="s">
        <v>96</v>
      </c>
      <c r="I267" s="43" t="str">
        <f t="shared" si="3"/>
        <v>6 - 10, &amp;#32všetky možnosti</v>
      </c>
      <c r="J267" s="44" t="str">
        <f t="shared" si="7"/>
        <v>,,</v>
      </c>
      <c r="K267" s="45">
        <f t="shared" si="5"/>
        <v>14558.41295</v>
      </c>
      <c r="L267" s="43"/>
      <c r="M267" s="43" t="str">
        <f>IFERROR(__xludf.DUMMYFUNCTION("SPLIT(O267,"","")"),"Mierová 329/10")</f>
        <v>Mierová 329/10</v>
      </c>
      <c r="N267" s="43" t="str">
        <f>IFERROR(__xludf.DUMMYFUNCTION("""COMPUTED_VALUE""")," 068 01 Medzilaborce")</f>
        <v> 068 01 Medzilaborce</v>
      </c>
      <c r="O267" s="42" t="s">
        <v>2976</v>
      </c>
      <c r="P267" s="43">
        <v>49.2734177</v>
      </c>
      <c r="Q267" s="43">
        <v>21.9017915</v>
      </c>
      <c r="R267" s="56" t="s">
        <v>2977</v>
      </c>
      <c r="S267" s="112" t="s">
        <v>2978</v>
      </c>
      <c r="T267" s="113" t="s">
        <v>2979</v>
      </c>
      <c r="U267" s="49" t="s">
        <v>2980</v>
      </c>
      <c r="V267" s="66" t="s">
        <v>2981</v>
      </c>
      <c r="W267" s="54" t="s">
        <v>2982</v>
      </c>
      <c r="X267" s="54" t="s">
        <v>2983</v>
      </c>
      <c r="Y267" s="110" t="s">
        <v>2984</v>
      </c>
      <c r="Z267" s="108" t="s">
        <v>2985</v>
      </c>
      <c r="AA267" s="109" t="s">
        <v>64</v>
      </c>
      <c r="AB267" s="54"/>
      <c r="AC267" s="56"/>
      <c r="AD267" s="46"/>
      <c r="AE267" s="54"/>
      <c r="AF267" s="55"/>
      <c r="AG267" s="56"/>
      <c r="AH267" s="56"/>
      <c r="AI267" s="54"/>
      <c r="AJ267" s="55"/>
      <c r="AK267" s="56"/>
      <c r="AL267" s="56"/>
      <c r="AM267" s="34"/>
      <c r="AN267" s="55"/>
      <c r="AO267" s="64"/>
      <c r="AP267" s="58" t="str">
        <f t="shared" si="6"/>
        <v>Sluzby - Medzilaborce s. r. o. stavebnictvo, doprava, &amp;#32vsetky kategorie  068 01 Medzilaborce Ponukame hlavne stavebnu cinnost, nasimi zakaznikmi su tak sukromne osoby, ako aj firmy a verejny sektor, cize mesta a obce. Do poskytovania sluzieb zapajame tak znevyhodnenych zamestnancov, ako aj zamestnancov so zdravotnym znevyhodnenim. 100% svojho zisku vkladame naspat do rozvoja socialneho podniku. Sluzby - Medzilaborce s.r.o. Ponukame sluzby prevazne v oblasti stavebnictva, ale tiez predaj plastovych okien a prislusenstva k nim. Plastove okna, garazove brany, ploty, stavebna cinnost           </v>
      </c>
      <c r="AQ267" s="37"/>
    </row>
    <row r="268" ht="15.75" customHeight="1">
      <c r="A268" s="43"/>
      <c r="B268" s="59">
        <v>288.0</v>
      </c>
      <c r="C268" s="75" t="s">
        <v>2986</v>
      </c>
      <c r="D268" s="42" t="s">
        <v>51</v>
      </c>
      <c r="E268" s="38" t="str">
        <f t="shared" si="1"/>
        <v>Prešovský kraj, &amp;#32celé Slovensko</v>
      </c>
      <c r="F268" s="42" t="s">
        <v>2987</v>
      </c>
      <c r="G268" s="38" t="str">
        <f t="shared" si="2"/>
        <v>dom a záhrada, stavebníctvo, doprava, vzdelávanie, &amp;#32všetky kategórie</v>
      </c>
      <c r="H268" s="42" t="s">
        <v>82</v>
      </c>
      <c r="I268" s="43" t="str">
        <f t="shared" si="3"/>
        <v>11 - 15, &amp;#32všetky možnosti</v>
      </c>
      <c r="J268" s="44" t="str">
        <f t="shared" si="7"/>
        <v>,Register partnerov VS,</v>
      </c>
      <c r="K268" s="45">
        <f t="shared" si="5"/>
        <v>9876.373694</v>
      </c>
      <c r="L268" s="43"/>
      <c r="M268" s="43" t="str">
        <f>IFERROR(__xludf.DUMMYFUNCTION("SPLIT(O268,"","")"),"Jarková 21")</f>
        <v>Jarková 21</v>
      </c>
      <c r="N268" s="43" t="str">
        <f>IFERROR(__xludf.DUMMYFUNCTION("""COMPUTED_VALUE""")," 082 22 Šarišské Michaľany")</f>
        <v> 082 22 Šarišské Michaľany</v>
      </c>
      <c r="O268" s="42" t="s">
        <v>2988</v>
      </c>
      <c r="P268" s="43">
        <v>49.0666375</v>
      </c>
      <c r="Q268" s="43">
        <v>21.1404812</v>
      </c>
      <c r="R268" s="56" t="s">
        <v>2989</v>
      </c>
      <c r="S268" s="112" t="s">
        <v>2990</v>
      </c>
      <c r="T268" s="113" t="s">
        <v>86</v>
      </c>
      <c r="U268" s="49" t="s">
        <v>2991</v>
      </c>
      <c r="V268" s="66" t="s">
        <v>2992</v>
      </c>
      <c r="W268" s="54" t="s">
        <v>2993</v>
      </c>
      <c r="X268" s="54" t="s">
        <v>2994</v>
      </c>
      <c r="Y268" s="110" t="s">
        <v>2995</v>
      </c>
      <c r="Z268" s="108" t="s">
        <v>2996</v>
      </c>
      <c r="AA268" s="109" t="s">
        <v>64</v>
      </c>
      <c r="AB268" s="54"/>
      <c r="AC268" s="56"/>
      <c r="AD268" s="46"/>
      <c r="AE268" s="54"/>
      <c r="AF268" s="55"/>
      <c r="AG268" s="56"/>
      <c r="AH268" s="56"/>
      <c r="AI268" s="54"/>
      <c r="AJ268" s="55"/>
      <c r="AK268" s="56"/>
      <c r="AL268" s="56"/>
      <c r="AM268" s="47"/>
      <c r="AN268" s="62" t="s">
        <v>39</v>
      </c>
      <c r="AO268" s="64"/>
      <c r="AP268" s="58" t="str">
        <f t="shared" si="6"/>
        <v>SIPSTAV s.r.o. dom a zahrada, stavebnictvo, doprava, vzdelavanie, &amp;#32vsetky kategorie  082 22 Sarisske Michalany Sme spolocnost zamerana hlavne na stavebnu cinnost - stavba a rekonstrukcie budov, domov, bytov, parkovisk, chodnikov, ciest a oploteni, demolacne, zemne a vykopove prace, autodoprava do 3,5 t. s podruznymi cinnostami ako su zamocnicke, drevarske a stolarske prace. Nasimi zakaznikmi su mesta a obce, bytove druzstva, firmy a sukromne osoby, o com svedcia aj referencie nami uspesne zrealizovanych zakaziek. Dosahujeme pozitivne meratelny socialny vplyv v oblasti zamestnania a vzdelavania, vytvarania novych pracovnych miest v regione s vysokou mierou nezamestnanosti najma osob z MRK, vzdelavame a rekvalifikujeme nasich zamestnancov hlavne v technickych zrucnostiach, no okrem toho im pomahame s vybavovanim uradnych veci ako su exekucie, ziadosti, staznosti a ostatne pravne nalezitosti, IT komunikacie, Socialna, zdravotne a komercne poistovne, sporitelne, banky atd. Celkovo sa snazime viest ich, vzdelavat a motivovat ako v oblasti financnej gramotnosti, prevencie exekucii, naslednej chudoby, kriminality ci rozpadu rodin, tak aj zodpovednosti a setrnosti voci zivotnemu prostrediu a okoliu. SIPSTAV s.r.o., r.s.p. Vystavba a rekonstrukcia budov, rodinnych domov, bytov, parkovisk, chodnikov, ciest a oploteni, demolacne, zemne a vykopove, zamocnicke, drevarske a stolarske prace, autodoprava do 3,5 t. demolacne, zemne a vykopove prace, stavebna cinnost, zamocnicke, drevarske a stolarske prace           Register partnerov VS</v>
      </c>
      <c r="AQ268" s="37"/>
    </row>
    <row r="269" ht="15.75" customHeight="1">
      <c r="A269" s="43"/>
      <c r="B269" s="59">
        <v>289.0</v>
      </c>
      <c r="C269" s="75" t="s">
        <v>2997</v>
      </c>
      <c r="D269" s="42" t="s">
        <v>181</v>
      </c>
      <c r="E269" s="38" t="str">
        <f t="shared" si="1"/>
        <v>Banskobystrický kraj, &amp;#32celé Slovensko</v>
      </c>
      <c r="F269" s="42" t="s">
        <v>2998</v>
      </c>
      <c r="G269" s="38" t="str">
        <f t="shared" si="2"/>
        <v>poľnohospodárstvo a lesníctvo, vzdelávanie, zvieratá, iné (tovary a služby), &amp;#32všetky kategórie</v>
      </c>
      <c r="H269" s="42" t="s">
        <v>53</v>
      </c>
      <c r="I269" s="43" t="str">
        <f t="shared" si="3"/>
        <v>1 - 5, &amp;#32všetky možnosti</v>
      </c>
      <c r="J269" s="44" t="str">
        <f t="shared" si="7"/>
        <v>,Register partnerov VS,Náhradné plnenie</v>
      </c>
      <c r="K269" s="45">
        <f t="shared" si="5"/>
        <v>1911.857087</v>
      </c>
      <c r="L269" s="43"/>
      <c r="M269" s="43" t="str">
        <f>IFERROR(__xludf.DUMMYFUNCTION("SPLIT(O269,"","")"),"Ráztoka 124")</f>
        <v>Ráztoka 124</v>
      </c>
      <c r="N269" s="43" t="str">
        <f>IFERROR(__xludf.DUMMYFUNCTION("""COMPUTED_VALUE""")," 976 97 Ráztoka")</f>
        <v> 976 97 Ráztoka</v>
      </c>
      <c r="O269" s="42" t="s">
        <v>2999</v>
      </c>
      <c r="P269" s="43">
        <v>48.8195845</v>
      </c>
      <c r="Q269" s="43">
        <v>19.4009575</v>
      </c>
      <c r="R269" s="56" t="s">
        <v>3000</v>
      </c>
      <c r="S269" s="112" t="s">
        <v>3001</v>
      </c>
      <c r="T269" s="113" t="s">
        <v>3002</v>
      </c>
      <c r="U269" s="49" t="s">
        <v>3003</v>
      </c>
      <c r="V269" s="66" t="s">
        <v>3004</v>
      </c>
      <c r="W269" s="54" t="s">
        <v>3005</v>
      </c>
      <c r="X269" s="54" t="s">
        <v>3006</v>
      </c>
      <c r="Y269" s="110" t="s">
        <v>3007</v>
      </c>
      <c r="Z269" s="108" t="s">
        <v>3008</v>
      </c>
      <c r="AA269" s="109" t="s">
        <v>64</v>
      </c>
      <c r="AB269" s="54"/>
      <c r="AC269" s="56"/>
      <c r="AD269" s="46"/>
      <c r="AE269" s="54"/>
      <c r="AF269" s="55"/>
      <c r="AG269" s="56"/>
      <c r="AH269" s="56"/>
      <c r="AI269" s="54"/>
      <c r="AJ269" s="55"/>
      <c r="AK269" s="56"/>
      <c r="AL269" s="56"/>
      <c r="AM269" s="47"/>
      <c r="AN269" s="62" t="s">
        <v>39</v>
      </c>
      <c r="AO269" s="57" t="s">
        <v>40</v>
      </c>
      <c r="AP269" s="58" t="str">
        <f t="shared" si="6"/>
        <v>VOX terra o.z. polnohospodarstvo a lesnictvo, vzdelavanie, zvierata, ine (tovary a sluzby), &amp;#32vsetky kategorie  976 97 Raztoka VOX terra, o.z. ako socialny podnik sa venuje chovu mucnych cervov (Tenebrio molitor), ich vyskumu a spracovaniu na krmivo, respektive na produkt, ktory je mozne vyuzit ako sucast krmnych zmesi (mleta sucha zlozka zo susenych cervov). Okrem tejto hlavnej cinnosti sa tiez venujeme produkcii elektronickych dokumentov, audio a audio-vizualnych materialov s environmentalnou tematikou a tematikou ekologickeho chovu a stravovania sa. Nahradenim ineho zivocisneho proteinu v krmnych zmesiach sa niekolkonasobne znizuje celkova spotreba vody pri ich vyrobe. V zimnych mesiacoch pravidelne prikrmujeme vtactvo vo vybranych lokalitach krmivom so zlozkou mucnych cervov. Hmyzia farma VOX terra Mucne cervy, zive, susene, mlete, krmiva z nich vyrabane, organicke hnojivo z hmyzieho substratu. hmyz, enebrio, molitor, frass, mucne cervy, krmivo, krmna zmes           Register partnerov VS</v>
      </c>
      <c r="AQ269" s="37"/>
    </row>
    <row r="270" ht="15.75" customHeight="1">
      <c r="A270" s="43"/>
      <c r="B270" s="59">
        <v>290.0</v>
      </c>
      <c r="C270" s="75" t="s">
        <v>3009</v>
      </c>
      <c r="D270" s="42" t="s">
        <v>181</v>
      </c>
      <c r="E270" s="38" t="str">
        <f t="shared" si="1"/>
        <v>Banskobystrický kraj, &amp;#32celé Slovensko</v>
      </c>
      <c r="F270" s="42" t="s">
        <v>3010</v>
      </c>
      <c r="G270" s="38" t="str">
        <f t="shared" si="2"/>
        <v>ubytovacie a stravovacie služby, pre deti, kultúra a šport, cestovný ruch, &amp;#32všetky kategórie</v>
      </c>
      <c r="H270" s="42" t="s">
        <v>53</v>
      </c>
      <c r="I270" s="43" t="str">
        <f t="shared" si="3"/>
        <v>1 - 5, &amp;#32všetky možnosti</v>
      </c>
      <c r="J270" s="44" t="str">
        <f t="shared" si="7"/>
        <v>,,</v>
      </c>
      <c r="K270" s="45">
        <f t="shared" si="5"/>
        <v>13891.02451</v>
      </c>
      <c r="L270" s="43"/>
      <c r="M270" s="43" t="str">
        <f>IFERROR(__xludf.DUMMYFUNCTION("SPLIT(O270,"","")"),"Ul. A. Kmeťa 2")</f>
        <v>Ul. A. Kmeťa 2</v>
      </c>
      <c r="N270" s="43" t="str">
        <f>IFERROR(__xludf.DUMMYFUNCTION("""COMPUTED_VALUE""")," 969 01 Banská Štiavnica")</f>
        <v> 969 01 Banská Štiavnica</v>
      </c>
      <c r="O270" s="42" t="s">
        <v>3011</v>
      </c>
      <c r="P270" s="43">
        <v>48.4586257</v>
      </c>
      <c r="Q270" s="43">
        <v>18.8934518</v>
      </c>
      <c r="R270" s="56" t="s">
        <v>3012</v>
      </c>
      <c r="S270" s="112" t="s">
        <v>1602</v>
      </c>
      <c r="T270" s="113" t="s">
        <v>3013</v>
      </c>
      <c r="U270" s="49" t="s">
        <v>3014</v>
      </c>
      <c r="V270" s="66" t="s">
        <v>3015</v>
      </c>
      <c r="W270" s="54" t="s">
        <v>3016</v>
      </c>
      <c r="X270" s="54" t="s">
        <v>3017</v>
      </c>
      <c r="Y270" s="110" t="s">
        <v>3018</v>
      </c>
      <c r="Z270" s="108" t="s">
        <v>3019</v>
      </c>
      <c r="AA270" s="109" t="s">
        <v>64</v>
      </c>
      <c r="AB270" s="54"/>
      <c r="AC270" s="56"/>
      <c r="AD270" s="46"/>
      <c r="AE270" s="54"/>
      <c r="AF270" s="55"/>
      <c r="AG270" s="56"/>
      <c r="AH270" s="56"/>
      <c r="AI270" s="54"/>
      <c r="AJ270" s="55"/>
      <c r="AK270" s="56"/>
      <c r="AL270" s="56"/>
      <c r="AM270" s="34"/>
      <c r="AN270" s="55"/>
      <c r="AO270" s="64"/>
      <c r="AP270" s="58" t="str">
        <f t="shared" si="6"/>
        <v>LN Trade pod Sitnom, s. r. o. ubytovacie a stravovacie sluzby, pre deti, kultura a sport, cestovny ruch, &amp;#32vsetky kategorie  969 01 Banska Stiavnica Poskytuje ubytovanie v krasnom prostredi Stiavnickych vrchov pod majestatnym vrchom Sitno. Zabezpecujeme pobyty pre deti, mladez, dospelych aj seniorov zo vsetkych regionov Slovenska, organizujeme lyziarske a plavecke vycviky, detske tabory, skoly v prirode, rekreacne a rekondicne pobyty pre vsetky vekove kategorie. Nasim zamerom je vyhoviet poziadavkam vsetkych klientov od tych najmensich az po tych najstarsich, ponukame bohaty program, z ktoreho si vie vybrat aj ten najnarocnejsi zakaznik. Atmosfera carovneho horskeho prostredia pod mohutnym Sitnom, v blizkosti starobylej a historiou opantanej Banskej Stiavnice, je toho zarukou. 
 Plne vybavena a zariadena horska chata Lodiar s kapacitou 110 osob, s kompletne vybavenou kuchynou, jedalnou, ubytovacimi priestormi, spolocenskou miestnostou, vonkajsimi sportoviskami ponuka vhodne podmienky na organizovanie pobytov pre vsetky typy klientov. Tesime sa na vasu navstevu. Zamestnavanie znevyhodnenych a zranitelnych osob. Chata Lodiar Plne vybavena a zariadena horska chata Lodiar s kapacitou 110 osob, s kompletne vybavenou kuchynou, jedalnou, ubytovacimi priestormi, spolocenskou miestnostou, vonkajsimi sportoviskami ponuka vhodne podmienky na organizovanie pobytov pre vsetky typy klientov v krasnom prostredi Stiavnickych vrchov. Zabezpecujeme pobyty pre deti, mladez, dospelych aj seniorov zo vsetkych regionov Slovenska, organizujeme lyziarske a plavecke vycviky, detske tabory, skoly v prirode, rekreacne a rekondicne pobyty pre vsetky vekove kategorie. 
 Tesime sa na vasu navstevu. ubytovanie, rekreacne a rekondicne pobyty, skoly v prirode, organizacia oslav, svadieb, karov, detske tabory, horska chata, lyziarska skola, plavecky vycvik, rekondicny pobyt           </v>
      </c>
      <c r="AQ270" s="37"/>
    </row>
    <row r="271" ht="15.75" customHeight="1">
      <c r="A271" s="43"/>
      <c r="B271" s="59">
        <v>291.0</v>
      </c>
      <c r="C271" s="75" t="s">
        <v>3020</v>
      </c>
      <c r="D271" s="42" t="s">
        <v>218</v>
      </c>
      <c r="E271" s="38" t="str">
        <f t="shared" si="1"/>
        <v>Košický kraj, &amp;#32celé Slovensko</v>
      </c>
      <c r="F271" s="42" t="s">
        <v>3021</v>
      </c>
      <c r="G271" s="38" t="str">
        <f t="shared" si="2"/>
        <v>reklama, auto-moto,, &amp;#32všetky kategórie</v>
      </c>
      <c r="H271" s="42" t="s">
        <v>53</v>
      </c>
      <c r="I271" s="43" t="str">
        <f t="shared" si="3"/>
        <v>1 - 5, &amp;#32všetky možnosti</v>
      </c>
      <c r="J271" s="44" t="str">
        <f t="shared" si="7"/>
        <v>,Register partnerov VS,</v>
      </c>
      <c r="K271" s="45">
        <f t="shared" si="5"/>
        <v>29322.24062</v>
      </c>
      <c r="L271" s="43"/>
      <c r="M271" s="43" t="str">
        <f>IFERROR(__xludf.DUMMYFUNCTION("SPLIT(O271,"","")"),"Polárna 1450/6")</f>
        <v>Polárna 1450/6</v>
      </c>
      <c r="N271" s="43" t="str">
        <f>IFERROR(__xludf.DUMMYFUNCTION("""COMPUTED_VALUE""")," 040 12 Košice")</f>
        <v> 040 12 Košice</v>
      </c>
      <c r="O271" s="42" t="s">
        <v>3022</v>
      </c>
      <c r="P271" s="43">
        <v>48.6828634</v>
      </c>
      <c r="Q271" s="43">
        <v>21.2935497</v>
      </c>
      <c r="R271" s="56" t="s">
        <v>3023</v>
      </c>
      <c r="S271" s="112" t="s">
        <v>3024</v>
      </c>
      <c r="T271" s="113" t="s">
        <v>86</v>
      </c>
      <c r="U271" s="49" t="s">
        <v>3025</v>
      </c>
      <c r="V271" s="66" t="s">
        <v>3026</v>
      </c>
      <c r="W271" s="54" t="s">
        <v>3027</v>
      </c>
      <c r="X271" s="54" t="s">
        <v>3028</v>
      </c>
      <c r="Y271" s="110" t="s">
        <v>3029</v>
      </c>
      <c r="Z271" s="108" t="s">
        <v>3030</v>
      </c>
      <c r="AA271" s="109" t="s">
        <v>64</v>
      </c>
      <c r="AB271" s="54"/>
      <c r="AC271" s="56"/>
      <c r="AD271" s="46"/>
      <c r="AE271" s="54"/>
      <c r="AF271" s="55"/>
      <c r="AG271" s="56"/>
      <c r="AH271" s="56"/>
      <c r="AI271" s="54"/>
      <c r="AJ271" s="55"/>
      <c r="AK271" s="56"/>
      <c r="AL271" s="56"/>
      <c r="AM271" s="47"/>
      <c r="AN271" s="62" t="s">
        <v>39</v>
      </c>
      <c r="AO271" s="64"/>
      <c r="AP271" s="58" t="str">
        <f t="shared" si="6"/>
        <v>VIRA print s. r. o. r. s. p. reklama, auto-moto,, &amp;#32vsetky kategorie  040 12 Kosice Reklamne studio, vyroba velkoplosnej reklamy, kalendare, brozury, polep automobilov. Zamestnavame zdravotne znevyhodneneho zamestnanca. VIRA print s.r.o. r.s.p. Vyroba reklamy. reklamna cinnost           Register partnerov VS</v>
      </c>
      <c r="AQ271" s="37"/>
    </row>
    <row r="272" ht="15.75" customHeight="1">
      <c r="A272" s="43"/>
      <c r="B272" s="59">
        <v>292.0</v>
      </c>
      <c r="C272" s="75" t="s">
        <v>3031</v>
      </c>
      <c r="D272" s="42" t="s">
        <v>218</v>
      </c>
      <c r="E272" s="38" t="str">
        <f t="shared" si="1"/>
        <v>Košický kraj, &amp;#32celé Slovensko</v>
      </c>
      <c r="F272" s="42" t="s">
        <v>3032</v>
      </c>
      <c r="G272" s="38" t="str">
        <f t="shared" si="2"/>
        <v>dom a záhrada, stavebníctvo, doprava, iné (tovary a služby), &amp;#32všetky kategórie</v>
      </c>
      <c r="H272" s="42" t="s">
        <v>96</v>
      </c>
      <c r="I272" s="43" t="str">
        <f t="shared" si="3"/>
        <v>6 - 10, &amp;#32všetky možnosti</v>
      </c>
      <c r="J272" s="44" t="str">
        <f t="shared" si="7"/>
        <v>,,</v>
      </c>
      <c r="K272" s="45">
        <f t="shared" si="5"/>
        <v>28163.27317</v>
      </c>
      <c r="L272" s="43"/>
      <c r="M272" s="43" t="str">
        <f>IFERROR(__xludf.DUMMYFUNCTION("SPLIT(O272,"","")"),"Levočská 64")</f>
        <v>Levočská 64</v>
      </c>
      <c r="N272" s="43" t="str">
        <f>IFERROR(__xludf.DUMMYFUNCTION("""COMPUTED_VALUE""")," 053 01 Harichovce")</f>
        <v> 053 01 Harichovce</v>
      </c>
      <c r="O272" s="42" t="s">
        <v>3033</v>
      </c>
      <c r="P272" s="43">
        <v>48.9578020999999</v>
      </c>
      <c r="Q272" s="43">
        <v>20.5831776</v>
      </c>
      <c r="R272" s="56" t="s">
        <v>3034</v>
      </c>
      <c r="S272" s="112" t="s">
        <v>3035</v>
      </c>
      <c r="T272" s="113" t="s">
        <v>86</v>
      </c>
      <c r="U272" s="49" t="s">
        <v>3036</v>
      </c>
      <c r="V272" s="66" t="s">
        <v>3037</v>
      </c>
      <c r="W272" s="54" t="s">
        <v>3038</v>
      </c>
      <c r="X272" s="54" t="s">
        <v>3039</v>
      </c>
      <c r="Y272" s="110" t="s">
        <v>3040</v>
      </c>
      <c r="Z272" s="108" t="s">
        <v>3041</v>
      </c>
      <c r="AA272" s="109" t="s">
        <v>64</v>
      </c>
      <c r="AB272" s="54"/>
      <c r="AC272" s="56"/>
      <c r="AD272" s="46"/>
      <c r="AE272" s="54"/>
      <c r="AF272" s="55"/>
      <c r="AG272" s="56"/>
      <c r="AH272" s="56"/>
      <c r="AI272" s="54"/>
      <c r="AJ272" s="55"/>
      <c r="AK272" s="56"/>
      <c r="AL272" s="56"/>
      <c r="AM272" s="34"/>
      <c r="AN272" s="55"/>
      <c r="AO272" s="64"/>
      <c r="AP272" s="58" t="str">
        <f t="shared" si="6"/>
        <v>Stefan Zabojnik dom a zahrada, stavebnictvo, doprava, ine (tovary a sluzby), &amp;#32vsetky kategorie  053 01 Harichovce V nasej ponuke je: - opracovanie a osetrovanie kamena,
 - vyroba dlazobnych kociek, nahrobnych kamenov, uprava hrobovych miest,
 - ukladanie zamkovej dlazby,
 - vyroba dlazobnych kociek a ich nasledne ukladanie - vytvaranie roznych zaujimavych vzorov na chodnikoch,
 - vystavba kamennych murov (tzv. gabiony),
 - vykop hrobovych miest, realizacia 1- aj 2-hrobov, urnovych hrobov,
 - epitafne dosky, pamatne tabule,
 - rekonstrukcia a renovacia pomnikov,
 - realizacia navrhov atypickych pomnikov,
 - vyroba kuchynskych a kupelnovych dosiek z prirodneho a umeleho kamena s vyrezmi na mieru, vratane technickeho zameru a montaze,
 - interierove a exterierove obkladacske prace v rodinnych domoch pre sukromne osoby aj podnikatelske firmy,
 - poskytovanie sluzieb v oblasti nakladnej dopravy napriklad prevoz materialu fyzickym osobam, ale aj podnikatelskym subjektom Zdravotne postihnuti ludia vo vseobecnosti nemaju na Slovensku rovnake moznosti uplatnenia sa na trhu prace ako zdravi obcania a ich zdravotne postihnutie je pre nich vzdy handicapom, preto vytvorenie socialneho integracneho podniku v oblasti tohto podnikania vnimame ako velmi pozitivnu formu pomoci tymto ludom pri uplatneni sa na trhu prace. Takato pomoc ma nepopieratelne priamy dopad na fungovanie slovenskej ekonomiky a rozvoj maleho a stredneho podnikania, cim dava priamu sancu vytvorit pre znevyhodnenych ludi priaznive podmienky a poskytnut konkretnu pomoc v pracovnej oblasti ich zivota. Nas socialny integracny podnik budeme aj nadalej lokalizovat v sulade s miestom nasho podnikania, t. j. region Spisska Nova Ves. Kamenarstvo Stefan Zabojnik Realizujeme: - dovoz kamena vlastnou dopravou priamo z kamenolomu na dalsie opracovanie a nasledne spracovanie do podoby kamennych kociek, 
 - dovoz nahrobnych kamenov vlastnou dopravou, ich finalne upravy - pieskovanie napisov, doplnenie ozdob,
 - rekonstrukcie starych pomnikov
 - rozne atypicke pomniky, 
 - vykop hrobov vlastnymi strojmi (bager) a uprava hrobovych miest, umiestnenie hrobovych platni a konecna uprava terenu na cintorine,
 - ukladanie dlazby do roznych vzorov, uprava dvorov sukromnym osobam, ale aj ulic miest podla dohody,
 - ukladanie dlazobnych kociek, ktore si sami vyrobime z prirodneho kamena,
 - vytvaranie kamennych oploteni, ktore sluzia ako oporne mury a podobne,
 - vyroba interierovych dosiek z prirodneho a umeleho kamena s vyrezmi na mieru, vratane technickeho zameru a montaze. kamenarske prace           </v>
      </c>
      <c r="AQ272" s="37"/>
    </row>
    <row r="273" ht="15.75" customHeight="1">
      <c r="A273" s="43"/>
      <c r="B273" s="59">
        <v>293.0</v>
      </c>
      <c r="C273" s="75" t="s">
        <v>3042</v>
      </c>
      <c r="D273" s="42" t="s">
        <v>134</v>
      </c>
      <c r="E273" s="38" t="str">
        <f t="shared" si="1"/>
        <v>Trenčiansky kraj, &amp;#32celé Slovensko</v>
      </c>
      <c r="F273" s="42" t="s">
        <v>3043</v>
      </c>
      <c r="G273" s="38" t="str">
        <f t="shared" si="2"/>
        <v>ubytovacie a stravovacie služby, potraviny a nápoje, krása-zdravie-relax, &amp;#32všetky kategórie</v>
      </c>
      <c r="H273" s="42" t="s">
        <v>82</v>
      </c>
      <c r="I273" s="43" t="str">
        <f t="shared" si="3"/>
        <v>11 - 15, &amp;#32všetky možnosti</v>
      </c>
      <c r="J273" s="44" t="str">
        <f t="shared" si="7"/>
        <v>,Register partnerov VS,</v>
      </c>
      <c r="K273" s="45">
        <f t="shared" si="5"/>
        <v>39311.89534</v>
      </c>
      <c r="L273" s="43"/>
      <c r="M273" s="43" t="str">
        <f>IFERROR(__xludf.DUMMYFUNCTION("SPLIT(O273,"","")"),"Mierové námestie 93/26")</f>
        <v>Mierové námestie 93/26</v>
      </c>
      <c r="N273" s="43" t="str">
        <f>IFERROR(__xludf.DUMMYFUNCTION("""COMPUTED_VALUE""")," 019 01 Ilava")</f>
        <v> 019 01 Ilava</v>
      </c>
      <c r="O273" s="42" t="s">
        <v>3044</v>
      </c>
      <c r="P273" s="43">
        <v>48.9975781</v>
      </c>
      <c r="Q273" s="43">
        <v>18.2335629</v>
      </c>
      <c r="R273" s="56" t="s">
        <v>3045</v>
      </c>
      <c r="S273" s="112" t="s">
        <v>3046</v>
      </c>
      <c r="T273" s="113" t="s">
        <v>86</v>
      </c>
      <c r="U273" s="49" t="s">
        <v>3047</v>
      </c>
      <c r="V273" s="66" t="s">
        <v>3048</v>
      </c>
      <c r="W273" s="54" t="s">
        <v>3049</v>
      </c>
      <c r="X273" s="54" t="s">
        <v>3050</v>
      </c>
      <c r="Y273" s="110" t="s">
        <v>3051</v>
      </c>
      <c r="Z273" s="108" t="s">
        <v>3052</v>
      </c>
      <c r="AA273" s="119" t="s">
        <v>129</v>
      </c>
      <c r="AB273" s="54" t="s">
        <v>3053</v>
      </c>
      <c r="AC273" s="56" t="s">
        <v>3054</v>
      </c>
      <c r="AD273" s="46" t="s">
        <v>3055</v>
      </c>
      <c r="AE273" s="117" t="s">
        <v>129</v>
      </c>
      <c r="AF273" s="54" t="s">
        <v>3056</v>
      </c>
      <c r="AG273" s="46" t="s">
        <v>3057</v>
      </c>
      <c r="AH273" s="46" t="s">
        <v>3058</v>
      </c>
      <c r="AI273" s="120" t="s">
        <v>129</v>
      </c>
      <c r="AJ273" s="54" t="s">
        <v>3059</v>
      </c>
      <c r="AK273" s="46" t="s">
        <v>3059</v>
      </c>
      <c r="AL273" s="46" t="s">
        <v>3060</v>
      </c>
      <c r="AM273" s="47"/>
      <c r="AN273" s="62" t="s">
        <v>39</v>
      </c>
      <c r="AO273" s="64"/>
      <c r="AP273" s="58" t="str">
        <f t="shared" si="6"/>
        <v>KAMO PLUS s. r. o. ubytovacie a stravovacie sluzby, potraviny a napoje, krasa-zdravie-relax, &amp;#32vsetky kategorie  019 01 Ilava Ponukame pre konecnych spotrebitelov kvaskove vyrobky ako chlieb, pizza, langose, sisky - chlieb a pecivo z vlasne zomletej muky z obilia KAMUT, JEDNOZRNKA, DVOJZRNKA , SPALDA a RAZ. V ponuke mame aj rozne druhy zdravych zeleninovych a ovocnych salatov. 
 V kaviarni si mozete vychutnat pravu taliansku kavu a rozne ine kavove speciality z talianskeho mlieka.
 Ponukame aj BEMEROTERAPIU a OXIGENOTERAPIU. Podpora zamestnanosti prostrednictvom zamestnavania znevyhodnenych osob alebo zranitelnych osob. BISTRO KAMO - rychle obcerstvenie Toto rychle obcerstvenie sa zaobera vyrobou a predajom zdravej stravy ako su rozne druhy salatov s falafelom a humusom a pod. Robime tiez kvaskovu pizzu celu a aj kusky do ruky. Ponukame aj rozne smoothy napoje a cerstve ovocne a zeleninove stavy. Zdrave rychle obcerstvenie. DIDA CAFFE Kaviaren so sirokou ponukou zakuskov, smoothy napojov, cerstvych ovocnych a zeleninovych stiav. Kaviaren. KVASKOVA PEKAREN KAMO. Kvaskova pekaren a jej vyrobky z cerstvo zomletej muky z obilia KAMUT, JEDNOZRNKA, DVOJZRNKA, RAZ a SPALDA. Ponukame aj tieto cerstvo zomlete muky. Kvaskova pekaren ponukame chlieb kamutovy, jednozrnkovy dvojzrnkovy spaldovy, razny a semolinovy. A taktiez pecivo z tychto muk. Bemeroterapia a oxigenpterapia Bemeroterapia a oxigenpterapia Bemeroterapia a oxigenpterapia zaobera sa cistenim najtensich kapilarnych ciev.  Register partnerov VS</v>
      </c>
      <c r="AQ273" s="37"/>
    </row>
    <row r="274" ht="15.75" customHeight="1">
      <c r="A274" s="43"/>
      <c r="B274" s="59">
        <v>294.0</v>
      </c>
      <c r="C274" s="75" t="s">
        <v>3061</v>
      </c>
      <c r="D274" s="42" t="s">
        <v>80</v>
      </c>
      <c r="E274" s="38" t="str">
        <f t="shared" si="1"/>
        <v>Trnavský kraj, &amp;#32celé Slovensko</v>
      </c>
      <c r="F274" s="42" t="s">
        <v>3062</v>
      </c>
      <c r="G274" s="38" t="str">
        <f t="shared" si="2"/>
        <v>čistiace a upratovacie služby, poľnohospodárstvo a lesníctvo, dom a záhrada, &amp;#32všetky kategórie</v>
      </c>
      <c r="H274" s="80" t="s">
        <v>170</v>
      </c>
      <c r="I274" s="43" t="str">
        <f t="shared" si="3"/>
        <v>21 a viac, &amp;#32všetky možnosti</v>
      </c>
      <c r="J274" s="44" t="str">
        <f t="shared" si="7"/>
        <v>,Register partnerov VS,</v>
      </c>
      <c r="K274" s="45">
        <f t="shared" si="5"/>
        <v>36939.45241</v>
      </c>
      <c r="L274" s="43"/>
      <c r="M274" s="43" t="str">
        <f>IFERROR(__xludf.DUMMYFUNCTION("SPLIT(O274,"","")"),"Štefánikova 1318/69A")</f>
        <v>Štefánikova 1318/69A</v>
      </c>
      <c r="N274" s="43" t="str">
        <f>IFERROR(__xludf.DUMMYFUNCTION("""COMPUTED_VALUE""")," 905 01 Senica")</f>
        <v> 905 01 Senica</v>
      </c>
      <c r="O274" s="42" t="s">
        <v>3063</v>
      </c>
      <c r="P274" s="43">
        <v>48.6816788999999</v>
      </c>
      <c r="Q274" s="43">
        <v>17.3784679</v>
      </c>
      <c r="R274" s="56" t="s">
        <v>3064</v>
      </c>
      <c r="S274" s="112" t="s">
        <v>3065</v>
      </c>
      <c r="T274" s="113" t="s">
        <v>86</v>
      </c>
      <c r="U274" s="49" t="s">
        <v>3066</v>
      </c>
      <c r="V274" s="66" t="s">
        <v>3067</v>
      </c>
      <c r="W274" s="54" t="s">
        <v>3068</v>
      </c>
      <c r="X274" s="121" t="s">
        <v>3069</v>
      </c>
      <c r="Y274" s="121" t="s">
        <v>3070</v>
      </c>
      <c r="Z274" s="121" t="s">
        <v>244</v>
      </c>
      <c r="AA274" s="122" t="s">
        <v>3071</v>
      </c>
      <c r="AB274" s="121" t="s">
        <v>3072</v>
      </c>
      <c r="AC274" s="121" t="s">
        <v>3073</v>
      </c>
      <c r="AD274" s="46"/>
      <c r="AE274" s="54"/>
      <c r="AF274" s="55"/>
      <c r="AG274" s="56"/>
      <c r="AH274" s="56"/>
      <c r="AI274" s="54"/>
      <c r="AJ274" s="55"/>
      <c r="AK274" s="56"/>
      <c r="AL274" s="56"/>
      <c r="AM274" s="47"/>
      <c r="AN274" s="62" t="s">
        <v>39</v>
      </c>
      <c r="AO274" s="57"/>
      <c r="AP274" s="58" t="str">
        <f t="shared" si="6"/>
        <v>Socialny podnik mesta Senica, s. r. o. cistiace a upratovacie sluzby, polnohospodarstvo a lesnictvo, dom a zahrada, &amp;#32vsetky kategorie  905 01 Senica Udrzba a starostlivost o zelen (kosenie, cistenie komunikacii, hrabanie listia, vysadba kvetin a drevin, starostlivost o zahony, orezavanie drevin), malovanie bytovych a nebytovych priestorov, upratovacie sluzby. Zamestnavame 80% znevyhodnenych osob. PARK CAFFE Ponuka nealkoholickych a alkoholickych napojov, zakusky, teplych a studenych napojov potraviny a napoje Sprava cintorina sprava cintorinov mesta Senica         Register partnerov VS</v>
      </c>
      <c r="AQ274" s="37"/>
    </row>
    <row r="275" ht="15.75" customHeight="1">
      <c r="A275" s="43"/>
      <c r="B275" s="59">
        <v>295.0</v>
      </c>
      <c r="C275" s="75" t="s">
        <v>3074</v>
      </c>
      <c r="D275" s="42" t="s">
        <v>181</v>
      </c>
      <c r="E275" s="38" t="str">
        <f t="shared" si="1"/>
        <v>Banskobystrický kraj, &amp;#32celé Slovensko</v>
      </c>
      <c r="F275" s="42" t="s">
        <v>3075</v>
      </c>
      <c r="G275" s="38" t="str">
        <f t="shared" si="2"/>
        <v>potraviny a nápoje, ubytovacie a stravovacie služby,, &amp;#32všetky kategórie</v>
      </c>
      <c r="H275" s="42" t="s">
        <v>96</v>
      </c>
      <c r="I275" s="43" t="str">
        <f t="shared" si="3"/>
        <v>6 - 10, &amp;#32všetky možnosti</v>
      </c>
      <c r="J275" s="44" t="str">
        <f t="shared" si="7"/>
        <v>,Register partnerov VS,</v>
      </c>
      <c r="K275" s="45">
        <f t="shared" si="5"/>
        <v>1037.056785</v>
      </c>
      <c r="L275" s="43"/>
      <c r="M275" s="43" t="str">
        <f>IFERROR(__xludf.DUMMYFUNCTION("SPLIT(O275,"","")"),"Škultétyho 1985/8")</f>
        <v>Škultétyho 1985/8</v>
      </c>
      <c r="N275" s="43" t="str">
        <f>IFERROR(__xludf.DUMMYFUNCTION("""COMPUTED_VALUE""")," 979 01 Rimavská Sobota")</f>
        <v> 979 01 Rimavská Sobota</v>
      </c>
      <c r="O275" s="42" t="s">
        <v>3076</v>
      </c>
      <c r="P275" s="43">
        <v>48.3848656</v>
      </c>
      <c r="Q275" s="43">
        <v>20.0165156</v>
      </c>
      <c r="R275" s="56" t="s">
        <v>3077</v>
      </c>
      <c r="S275" s="112" t="s">
        <v>3078</v>
      </c>
      <c r="T275" s="113" t="s">
        <v>86</v>
      </c>
      <c r="U275" s="49" t="s">
        <v>3079</v>
      </c>
      <c r="V275" s="66" t="s">
        <v>3080</v>
      </c>
      <c r="W275" s="54" t="s">
        <v>3081</v>
      </c>
      <c r="X275" s="54" t="s">
        <v>3082</v>
      </c>
      <c r="Y275" s="110" t="s">
        <v>3083</v>
      </c>
      <c r="Z275" s="108" t="s">
        <v>290</v>
      </c>
      <c r="AA275" s="119" t="s">
        <v>129</v>
      </c>
      <c r="AB275" s="54" t="s">
        <v>3084</v>
      </c>
      <c r="AC275" s="56" t="s">
        <v>3085</v>
      </c>
      <c r="AD275" s="46" t="s">
        <v>3086</v>
      </c>
      <c r="AE275" s="117" t="s">
        <v>129</v>
      </c>
      <c r="AF275" s="54" t="s">
        <v>3084</v>
      </c>
      <c r="AG275" s="46" t="s">
        <v>3085</v>
      </c>
      <c r="AH275" s="46" t="s">
        <v>3086</v>
      </c>
      <c r="AI275" s="54" t="s">
        <v>64</v>
      </c>
      <c r="AJ275" s="54"/>
      <c r="AK275" s="46"/>
      <c r="AL275" s="46"/>
      <c r="AM275" s="47"/>
      <c r="AN275" s="62" t="s">
        <v>39</v>
      </c>
      <c r="AO275" s="64"/>
      <c r="AP275" s="58" t="str">
        <f t="shared" si="6"/>
        <v>MILAJA-MEAT r.s.p., s. r. o. potraviny a napoje, ubytovacie a stravovacie sluzby,, &amp;#32vsetky kategorie  979 01 Rimavska Sobota Prevadzkujeme jednu restauraciu a dve maloobchodne predajne zamerane najma na maso a masove vyrobky. Zamestnavame obcanov zo skupiny zranitelnych a znevyhodnenych osob. Restauracia EUROPA V nasej restauracii ponukame denne menu aj jedla na objednavku. V nasich priestoroch Vam radi zorganizujeme Vase rodinne akcie ako promocie, svadby, smutocne posedenia (kary), firemne akcie, zivotne jubilea, ... restauracia MILAJA-MEAT r.s.p., s.r.o. Predajna masa a masovych vyrobkov a trvanlivych potravin. predajna masa MILAJA-MEAT r.s.p., s.r.o. Predajna masa a masovych vyrobkov a trvanlivych potravin. predajna masa     Register partnerov VS</v>
      </c>
      <c r="AQ275" s="37"/>
    </row>
    <row r="276" ht="15.75" customHeight="1">
      <c r="A276" s="43"/>
      <c r="B276" s="59">
        <v>297.0</v>
      </c>
      <c r="C276" s="75" t="s">
        <v>3087</v>
      </c>
      <c r="D276" s="42" t="s">
        <v>218</v>
      </c>
      <c r="E276" s="38" t="str">
        <f t="shared" si="1"/>
        <v>Košický kraj, &amp;#32celé Slovensko</v>
      </c>
      <c r="F276" s="42" t="s">
        <v>3088</v>
      </c>
      <c r="G276" s="38" t="str">
        <f t="shared" si="2"/>
        <v>čistiace a upratovacie služby, kultúra a šport, potraviny a nápoje, reklama, stavebníctvo,, &amp;#32všetky kategórie</v>
      </c>
      <c r="H276" s="42" t="s">
        <v>82</v>
      </c>
      <c r="I276" s="43" t="str">
        <f t="shared" si="3"/>
        <v>11 - 15, &amp;#32všetky možnosti</v>
      </c>
      <c r="J276" s="44" t="str">
        <f t="shared" si="7"/>
        <v>,Register partnerov VS,Náhradné plnenie</v>
      </c>
      <c r="K276" s="45">
        <f t="shared" si="5"/>
        <v>14063.76516</v>
      </c>
      <c r="L276" s="43"/>
      <c r="M276" s="43" t="str">
        <f>IFERROR(__xludf.DUMMYFUNCTION("SPLIT(O276,"","")"),"Bidovce 149 ")</f>
        <v>Bidovce 149 </v>
      </c>
      <c r="N276" s="43" t="str">
        <f>IFERROR(__xludf.DUMMYFUNCTION("""COMPUTED_VALUE""")," 044 45 Bidovce")</f>
        <v> 044 45 Bidovce</v>
      </c>
      <c r="O276" s="42" t="s">
        <v>3089</v>
      </c>
      <c r="P276" s="43">
        <v>48.7366834</v>
      </c>
      <c r="Q276" s="43">
        <v>21.440568</v>
      </c>
      <c r="R276" s="56" t="s">
        <v>3090</v>
      </c>
      <c r="S276" s="112" t="s">
        <v>3091</v>
      </c>
      <c r="T276" s="113" t="s">
        <v>3092</v>
      </c>
      <c r="U276" s="49" t="s">
        <v>3093</v>
      </c>
      <c r="V276" s="66" t="s">
        <v>3094</v>
      </c>
      <c r="W276" s="54" t="s">
        <v>3095</v>
      </c>
      <c r="X276" s="54" t="s">
        <v>3087</v>
      </c>
      <c r="Y276" s="110" t="s">
        <v>3096</v>
      </c>
      <c r="Z276" s="108" t="s">
        <v>3097</v>
      </c>
      <c r="AA276" s="119" t="s">
        <v>129</v>
      </c>
      <c r="AB276" s="54" t="s">
        <v>3098</v>
      </c>
      <c r="AC276" s="56" t="s">
        <v>3099</v>
      </c>
      <c r="AD276" s="46" t="s">
        <v>3100</v>
      </c>
      <c r="AE276" s="117" t="s">
        <v>129</v>
      </c>
      <c r="AF276" s="54" t="s">
        <v>3101</v>
      </c>
      <c r="AG276" s="46" t="s">
        <v>3102</v>
      </c>
      <c r="AH276" s="46" t="s">
        <v>3103</v>
      </c>
      <c r="AI276" s="120" t="s">
        <v>129</v>
      </c>
      <c r="AJ276" s="54" t="s">
        <v>3104</v>
      </c>
      <c r="AK276" s="46" t="s">
        <v>3105</v>
      </c>
      <c r="AL276" s="46" t="s">
        <v>3106</v>
      </c>
      <c r="AM276" s="47"/>
      <c r="AN276" s="62" t="s">
        <v>39</v>
      </c>
      <c r="AO276" s="57" t="s">
        <v>40</v>
      </c>
      <c r="AP276" s="58" t="str">
        <f t="shared" si="6"/>
        <v>Paterson Group s.r.o. R.S.P. cistiace a upratovacie sluzby, kultura a sport, potraviny a napoje, reklama, stavebnictvo,, &amp;#32vsetky kategorie  044 45 Bidovce Cistiaci a upratovaci servis, stavebne prace, gastronomicke sluzby, reklamne a marketingove sluzby. Zamestnavame 100% znevyhodnene osoby. Paterson Group s.r.o. R.S.P. Vyroba a distribucia potravin formou donaskovej sluzby, stavebna cinnost, cistiaci a upratovaci servis. kaviaren, cukraren, upratovanie, restauracia, komedialny klub, stavby, Comedy club Zabavna a kulturna cinnost. komedialny klub, restauracia, cukraren, kaviaren Mr. Kolacik cukraren Cukraren cukrovinky, kaviaren, kolac, Jedlomat.sk Cukraren a kaviaren, pizzeria, hamburger, kuracie speciality. cukrovinky, kaviaren  Register partnerov VS</v>
      </c>
      <c r="AQ276" s="37"/>
    </row>
    <row r="277" ht="15.75" customHeight="1">
      <c r="A277" s="43"/>
      <c r="B277" s="59">
        <v>298.0</v>
      </c>
      <c r="C277" s="75" t="s">
        <v>3107</v>
      </c>
      <c r="D277" s="42" t="s">
        <v>134</v>
      </c>
      <c r="E277" s="38" t="str">
        <f t="shared" si="1"/>
        <v>Trenčiansky kraj, &amp;#32celé Slovensko</v>
      </c>
      <c r="F277" s="42" t="s">
        <v>3108</v>
      </c>
      <c r="G277" s="38" t="str">
        <f t="shared" si="2"/>
        <v>stavebníctvo, dom a záhrada, kovovýroba,, &amp;#32všetky kategórie</v>
      </c>
      <c r="H277" s="42" t="s">
        <v>82</v>
      </c>
      <c r="I277" s="43" t="str">
        <f t="shared" si="3"/>
        <v>11 - 15, &amp;#32všetky možnosti</v>
      </c>
      <c r="J277" s="44" t="str">
        <f t="shared" si="7"/>
        <v>,Register partnerov VS,</v>
      </c>
      <c r="K277" s="45">
        <f t="shared" si="5"/>
        <v>3850.640744</v>
      </c>
      <c r="L277" s="43"/>
      <c r="M277" s="43" t="str">
        <f>IFERROR(__xludf.DUMMYFUNCTION("SPLIT(O277,"","")"),"Púchovská 19/18")</f>
        <v>Púchovská 19/18</v>
      </c>
      <c r="N277" s="43" t="str">
        <f>IFERROR(__xludf.DUMMYFUNCTION("""COMPUTED_VALUE""")," 020 01 Streženice")</f>
        <v> 020 01 Streženice</v>
      </c>
      <c r="O277" s="42" t="s">
        <v>3109</v>
      </c>
      <c r="P277" s="43">
        <v>49.1094259</v>
      </c>
      <c r="Q277" s="43">
        <v>18.307252</v>
      </c>
      <c r="R277" s="56" t="s">
        <v>3110</v>
      </c>
      <c r="S277" s="112" t="s">
        <v>3111</v>
      </c>
      <c r="T277" s="113" t="s">
        <v>86</v>
      </c>
      <c r="U277" s="49" t="s">
        <v>3112</v>
      </c>
      <c r="V277" s="66" t="s">
        <v>3113</v>
      </c>
      <c r="W277" s="54" t="s">
        <v>3114</v>
      </c>
      <c r="X277" s="54" t="s">
        <v>3115</v>
      </c>
      <c r="Y277" s="110" t="s">
        <v>3116</v>
      </c>
      <c r="Z277" s="108" t="s">
        <v>3117</v>
      </c>
      <c r="AA277" s="109" t="s">
        <v>64</v>
      </c>
      <c r="AB277" s="54"/>
      <c r="AC277" s="56"/>
      <c r="AD277" s="46"/>
      <c r="AE277" s="54"/>
      <c r="AF277" s="34"/>
      <c r="AG277" s="56"/>
      <c r="AH277" s="56"/>
      <c r="AI277" s="54"/>
      <c r="AJ277" s="55"/>
      <c r="AK277" s="56"/>
      <c r="AL277" s="56"/>
      <c r="AM277" s="47"/>
      <c r="AN277" s="62" t="s">
        <v>39</v>
      </c>
      <c r="AO277" s="123"/>
      <c r="AP277" s="58" t="str">
        <f t="shared" si="6"/>
        <v>Losstav, s. r. o. stavebnictvo, dom a zahrada, kovovyroba,, &amp;#32vsetky kategorie  020 01 Strezenice Priamy predaj – maloobchod: stresne krytiny, odkvapove systemy a rozne stresne doplnky. Ponukame klampiarske a pokryvacske sluzby. Zachovanim a udrzanim uz vytvorenych pracovnych miest pre zamestnancov so zdravotnym postihnutim, pripadne i vytvorenie novych pracovnych miest s roznymi formami znevyhodnenia, cim sledujeme hlavny ciel – sluzby na podporu regionalneho rozvoja a zamestnanosti, kde klucovymi zainteresovanymi osobami su v prvom rade zamestnanci spolocnosti. Losstav, s.r.o. Priamy predaj – maloobchod – stresne krytiny, odkvapove systemy a rozne stresne doplnky; sluzby – klampiarske a pokryvacske. stresna krytina, odkvapovy system, stresne doplnky, klampiarske prace, pokryvacske prace           Register partnerov VS</v>
      </c>
      <c r="AQ277" s="37"/>
    </row>
    <row r="278" ht="15.75" customHeight="1">
      <c r="A278" s="43"/>
      <c r="B278" s="59">
        <v>300.0</v>
      </c>
      <c r="C278" s="75" t="s">
        <v>3118</v>
      </c>
      <c r="D278" s="42" t="s">
        <v>51</v>
      </c>
      <c r="E278" s="38" t="str">
        <f t="shared" si="1"/>
        <v>Prešovský kraj, &amp;#32celé Slovensko</v>
      </c>
      <c r="F278" s="42" t="s">
        <v>3119</v>
      </c>
      <c r="G278" s="38" t="str">
        <f t="shared" si="2"/>
        <v>ochrana a bezpečnosť, iné (tovary a služby), &amp;#32všetky kategórie</v>
      </c>
      <c r="H278" s="42" t="s">
        <v>96</v>
      </c>
      <c r="I278" s="43" t="str">
        <f t="shared" si="3"/>
        <v>6 - 10, &amp;#32všetky možnosti</v>
      </c>
      <c r="J278" s="44" t="str">
        <f t="shared" si="7"/>
        <v>,Register partnerov VS,</v>
      </c>
      <c r="K278" s="45">
        <f t="shared" si="5"/>
        <v>41315.79032</v>
      </c>
      <c r="L278" s="43"/>
      <c r="M278" s="43" t="str">
        <f>IFERROR(__xludf.DUMMYFUNCTION("SPLIT(O278,"","")"),"Lipová alej 1")</f>
        <v>Lipová alej 1</v>
      </c>
      <c r="N278" s="43" t="str">
        <f>IFERROR(__xludf.DUMMYFUNCTION("""COMPUTED_VALUE""")," 065 44 Plaveč")</f>
        <v> 065 44 Plaveč</v>
      </c>
      <c r="O278" s="42" t="s">
        <v>3120</v>
      </c>
      <c r="P278" s="43">
        <v>49.2602435</v>
      </c>
      <c r="Q278" s="43">
        <v>20.8457156</v>
      </c>
      <c r="R278" s="56" t="s">
        <v>3121</v>
      </c>
      <c r="S278" s="112" t="s">
        <v>3122</v>
      </c>
      <c r="T278" s="113" t="s">
        <v>86</v>
      </c>
      <c r="U278" s="49" t="s">
        <v>3123</v>
      </c>
      <c r="V278" s="66" t="s">
        <v>3124</v>
      </c>
      <c r="W278" s="54" t="s">
        <v>3125</v>
      </c>
      <c r="X278" s="54" t="s">
        <v>3118</v>
      </c>
      <c r="Y278" s="110" t="s">
        <v>3126</v>
      </c>
      <c r="Z278" s="108" t="s">
        <v>3127</v>
      </c>
      <c r="AA278" s="109" t="s">
        <v>64</v>
      </c>
      <c r="AB278" s="54"/>
      <c r="AC278" s="56"/>
      <c r="AD278" s="46"/>
      <c r="AE278" s="54"/>
      <c r="AF278" s="34"/>
      <c r="AG278" s="56"/>
      <c r="AH278" s="56"/>
      <c r="AI278" s="54"/>
      <c r="AJ278" s="55"/>
      <c r="AK278" s="56"/>
      <c r="AL278" s="56"/>
      <c r="AM278" s="47"/>
      <c r="AN278" s="62" t="s">
        <v>39</v>
      </c>
      <c r="AO278" s="123"/>
      <c r="AP278" s="58" t="str">
        <f t="shared" si="6"/>
        <v>ASSR, s.r.o., r.s.p. ochrana a bezpecnost, ine (tovary a sluzby), &amp;#32vsetky kategorie  065 44 Plavec ASSR je poskytovatelom sluzby SOS gombik, ktora sluzi na monitorovanie a signalizaciu potreby pomoci. Sluzba SOS gombik ma posobnost na celom uzemi Slovenska. 
 Velkym prinosom tejto sluzby je jednoduche ovladanie, vyhodne najma v pripadoch obmedzenej pohyblivosti. Sluzba SOS gombik pomaha zdravotne postihnutym osobam a seniorom vo vysokom veku prezit svoj zivot dostojne, podla svojich priani a v prirodzenom prostredi. Neocenitelnou devizou je pocit spokojnosti a bezpecia, pretoze klient sa v pripade potreby vzdy dovola pomoci. Monitoring a signalizaciu potreby pomoci zabezpecuje dispecing ASSR, ktory splna najnarocnejsie kriteria pre prijimanie tiesnovych hovorov. Dispecing ASSR pracuje v rezime nepretrzitej prevadzky - 24/7. ASSR, s.r.o., r.s.p. na svojom dispecingu, ktory tvori najdolezitejsiu sucast sluzby, zamestnava vylucne osoby s tazkym zdravotnym postihnutim. ASSR s.r.o., r.s.p. sa svojou cinnostou podiela aj na prevencii a ochrane zdravia svojich klientov, kedze v ramci sluzby SOS gombik poskytujeme moznost konzultacii s lekarom "Lekar na telefone". ASSR, s.r.o., r.s.p. Dopravna zdravotna sluzba; Kupa tovaru na ucely jeho predaja konecnemu spotrebitelovi (maloobchod) alebo inym prevadzkovatelom zivnosti (velkoobchod). monitorovanie a signalizacia pomoci, poradenstvo v oblasti zdravotnictva           Register partnerov VS</v>
      </c>
      <c r="AQ278" s="37"/>
    </row>
    <row r="279" ht="15.75" customHeight="1">
      <c r="A279" s="43"/>
      <c r="B279" s="59">
        <v>301.0</v>
      </c>
      <c r="C279" s="75" t="s">
        <v>3128</v>
      </c>
      <c r="D279" s="42" t="s">
        <v>134</v>
      </c>
      <c r="E279" s="38" t="str">
        <f t="shared" si="1"/>
        <v>Trenčiansky kraj, &amp;#32celé Slovensko</v>
      </c>
      <c r="F279" s="42" t="s">
        <v>1231</v>
      </c>
      <c r="G279" s="38" t="str">
        <f t="shared" si="2"/>
        <v>obaly, &amp;#32všetky kategórie</v>
      </c>
      <c r="H279" s="42" t="s">
        <v>53</v>
      </c>
      <c r="I279" s="43" t="str">
        <f t="shared" si="3"/>
        <v>1 - 5, &amp;#32všetky možnosti</v>
      </c>
      <c r="J279" s="44" t="str">
        <f t="shared" si="7"/>
        <v>,,Náhradné plnenie</v>
      </c>
      <c r="K279" s="45">
        <f t="shared" si="5"/>
        <v>7970.51517</v>
      </c>
      <c r="L279" s="43"/>
      <c r="M279" s="43" t="str">
        <f>IFERROR(__xludf.DUMMYFUNCTION("SPLIT(O279,"","")"),"Ligetská 1193/4")</f>
        <v>Ligetská 1193/4</v>
      </c>
      <c r="N279" s="43" t="str">
        <f>IFERROR(__xludf.DUMMYFUNCTION("""COMPUTED_VALUE""")," 972 51 Handlová")</f>
        <v> 972 51 Handlová</v>
      </c>
      <c r="O279" s="42" t="s">
        <v>3129</v>
      </c>
      <c r="P279" s="43">
        <v>48.7302553</v>
      </c>
      <c r="Q279" s="43">
        <v>18.7532791</v>
      </c>
      <c r="R279" s="56" t="s">
        <v>3130</v>
      </c>
      <c r="S279" s="112" t="s">
        <v>1591</v>
      </c>
      <c r="T279" s="113" t="s">
        <v>86</v>
      </c>
      <c r="U279" s="49" t="s">
        <v>3131</v>
      </c>
      <c r="V279" s="66" t="s">
        <v>3132</v>
      </c>
      <c r="W279" s="54" t="s">
        <v>3133</v>
      </c>
      <c r="X279" s="54" t="s">
        <v>3134</v>
      </c>
      <c r="Y279" s="110" t="s">
        <v>3135</v>
      </c>
      <c r="Z279" s="108" t="s">
        <v>3136</v>
      </c>
      <c r="AA279" s="109" t="s">
        <v>64</v>
      </c>
      <c r="AB279" s="54"/>
      <c r="AC279" s="56"/>
      <c r="AD279" s="46"/>
      <c r="AE279" s="54"/>
      <c r="AF279" s="34"/>
      <c r="AG279" s="56"/>
      <c r="AH279" s="56"/>
      <c r="AI279" s="54"/>
      <c r="AJ279" s="55"/>
      <c r="AK279" s="56"/>
      <c r="AL279" s="56"/>
      <c r="AM279" s="34"/>
      <c r="AN279" s="55"/>
      <c r="AO279" s="124" t="s">
        <v>40</v>
      </c>
      <c r="AP279" s="58" t="str">
        <f t="shared" si="6"/>
        <v>PVC obaly s. r. o. obaly, &amp;#32vsetky kategorie  972 51 Handlova Vyroba plastovych obalov, puzdier z pvc folie, samolepiace obaly a puzdra. Regionalny rozvoj a zamestnanost. PVC obaly s.r.o. Vyroba vyrobkov z pvc folie - obaly, puzdra, aj samolepiace, zakladace, poradace. obal, pvc plast, folia, zakladac, puzdro           </v>
      </c>
      <c r="AQ279" s="37"/>
    </row>
    <row r="280" ht="15.75" customHeight="1">
      <c r="A280" s="43"/>
      <c r="B280" s="59">
        <v>302.0</v>
      </c>
      <c r="C280" s="75" t="s">
        <v>3137</v>
      </c>
      <c r="D280" s="42" t="s">
        <v>94</v>
      </c>
      <c r="E280" s="38" t="str">
        <f t="shared" si="1"/>
        <v>Bratislavský kraj, &amp;#32celé Slovensko</v>
      </c>
      <c r="F280" s="42" t="s">
        <v>3138</v>
      </c>
      <c r="G280" s="38" t="str">
        <f t="shared" si="2"/>
        <v>krása-zdravie-relax, bižutéria a darčekové predmety, vzdelávanie, reklama, vzdelávanie, potraviny a nápoje, iné (tovary a služby),, &amp;#32všetky kategórie</v>
      </c>
      <c r="H280" s="42" t="s">
        <v>53</v>
      </c>
      <c r="I280" s="43" t="str">
        <f t="shared" si="3"/>
        <v>1 - 5, &amp;#32všetky možnosti</v>
      </c>
      <c r="J280" s="44" t="str">
        <f t="shared" si="7"/>
        <v>,,</v>
      </c>
      <c r="K280" s="45">
        <f t="shared" si="5"/>
        <v>42529.56813</v>
      </c>
      <c r="L280" s="43"/>
      <c r="M280" s="43" t="str">
        <f>IFERROR(__xludf.DUMMYFUNCTION("SPLIT(O280,"","")"),"Radničné námestie 1")</f>
        <v>Radničné námestie 1</v>
      </c>
      <c r="N280" s="43" t="str">
        <f>IFERROR(__xludf.DUMMYFUNCTION("""COMPUTED_VALUE""")," 902 01 Pezinok")</f>
        <v> 902 01 Pezinok</v>
      </c>
      <c r="O280" s="42" t="s">
        <v>3139</v>
      </c>
      <c r="P280" s="43">
        <v>48.285791</v>
      </c>
      <c r="Q280" s="43">
        <v>17.2706462</v>
      </c>
      <c r="R280" s="46" t="s">
        <v>3140</v>
      </c>
      <c r="S280" s="125" t="s">
        <v>3141</v>
      </c>
      <c r="T280" s="126" t="s">
        <v>3142</v>
      </c>
      <c r="U280" s="49" t="s">
        <v>3143</v>
      </c>
      <c r="V280" s="66" t="s">
        <v>3144</v>
      </c>
      <c r="W280" s="54" t="s">
        <v>3145</v>
      </c>
      <c r="X280" s="54" t="s">
        <v>3137</v>
      </c>
      <c r="Y280" s="110" t="s">
        <v>3146</v>
      </c>
      <c r="Z280" s="108" t="s">
        <v>3147</v>
      </c>
      <c r="AA280" s="109" t="s">
        <v>64</v>
      </c>
      <c r="AB280" s="54"/>
      <c r="AC280" s="56"/>
      <c r="AD280" s="46"/>
      <c r="AE280" s="54"/>
      <c r="AF280" s="34"/>
      <c r="AG280" s="56"/>
      <c r="AH280" s="56"/>
      <c r="AI280" s="54"/>
      <c r="AJ280" s="55"/>
      <c r="AK280" s="56"/>
      <c r="AL280" s="56"/>
      <c r="AM280" s="34"/>
      <c r="AN280" s="55"/>
      <c r="AO280" s="127"/>
      <c r="AP280" s="58" t="str">
        <f t="shared" si="6"/>
        <v>JASPIRE s.r.o. krasa-zdravie-relax, bizuteria a darcekove predmety, vzdelavanie, reklama, vzdelavanie, potraviny a napoje, ine (tovary a sluzby),, &amp;#32vsetky kategorie  902 01 Pezinok Nasa spolocnost je zamerana na vyrobu prirodnej kozmetiky, mydiel, polodrahokamovych naramkov a doplnkove vyrobky v suvislosti s kamenmi. Sme vyrobcovia sviecok z roznych druhov voskov so zameranim na energeticke, ezotericke, dekoracne, vonne a reklamne podla poziadaviek nasich klientov. Predmetom podnikania spolocnosti je aj maloobchod, velkoobchod, poradenska a vzdelavacia cinnost. Pomahame zakaznikom pri individualnom vybere produktov, ucime prevencii v oblasti zdravia prostrednictvom aromaterapie, fytoterapie, petroterapie. Poskytujeme vzdelavanie pre Akademiu 3. veku v Pezinku. Nasimi klientami ci zakaznikmi su predajne s darcekovym sortimentom, predajne so zdravou vyzivou a zariadenia zaoberajuce sa starostlivostou o cloveka. Zamestnavame znevyhodnene osoby a zamestnancov ZTP. JASPIRE s.r.o. Vyroba prirodnej kozmetiky, mydiel, sviecok, vyrobkov z mineralov, polodrahokamov. Distribucia esencialnych olejov, suseneho ovocia, orieskov, vykurovadiel. Maloobchod, predaj cajov, fytoterapie, suseneho ovocia, orieskov, kamene, naramky, sviecky a poradenstvo v oblasti prevencie zdravia. caje, kamene, sviecky, fytoterapia, naramky, aromaterapia, vzdelavanie           </v>
      </c>
      <c r="AQ280" s="37"/>
    </row>
    <row r="281" ht="15.75" customHeight="1">
      <c r="A281" s="43"/>
      <c r="B281" s="59">
        <v>305.0</v>
      </c>
      <c r="C281" s="75" t="s">
        <v>3148</v>
      </c>
      <c r="D281" s="42" t="s">
        <v>66</v>
      </c>
      <c r="E281" s="38" t="str">
        <f t="shared" si="1"/>
        <v>Žilinský kraj, &amp;#32celé Slovensko</v>
      </c>
      <c r="F281" s="42" t="s">
        <v>3149</v>
      </c>
      <c r="G281" s="38" t="str">
        <f t="shared" si="2"/>
        <v>auto-moto, kovovýroba, iné (tovary a služby), &amp;#32všetky kategórie</v>
      </c>
      <c r="H281" s="42" t="s">
        <v>53</v>
      </c>
      <c r="I281" s="43" t="str">
        <f t="shared" si="3"/>
        <v>1 - 5, &amp;#32všetky možnosti</v>
      </c>
      <c r="J281" s="44" t="str">
        <f t="shared" si="7"/>
        <v>,,</v>
      </c>
      <c r="K281" s="45">
        <f t="shared" si="5"/>
        <v>35721.34995</v>
      </c>
      <c r="L281" s="43"/>
      <c r="M281" s="43" t="str">
        <f>IFERROR(__xludf.DUMMYFUNCTION("SPLIT(O281,"","")"),"Námestie protifašistických bojovníkov 1706")</f>
        <v>Námestie protifašistických bojovníkov 1706</v>
      </c>
      <c r="N281" s="43" t="str">
        <f>IFERROR(__xludf.DUMMYFUNCTION("""COMPUTED_VALUE""")," 036 01 Martin")</f>
        <v> 036 01 Martin</v>
      </c>
      <c r="O281" s="42" t="s">
        <v>3150</v>
      </c>
      <c r="P281" s="43">
        <v>49.0783798999999</v>
      </c>
      <c r="Q281" s="43">
        <v>18.9151712</v>
      </c>
      <c r="R281" s="56" t="s">
        <v>3151</v>
      </c>
      <c r="S281" s="112" t="s">
        <v>3152</v>
      </c>
      <c r="T281" s="113" t="s">
        <v>3153</v>
      </c>
      <c r="U281" s="49" t="s">
        <v>3154</v>
      </c>
      <c r="V281" s="66" t="s">
        <v>3155</v>
      </c>
      <c r="W281" s="54" t="s">
        <v>3156</v>
      </c>
      <c r="X281" s="54" t="s">
        <v>3157</v>
      </c>
      <c r="Y281" s="110" t="s">
        <v>3158</v>
      </c>
      <c r="Z281" s="108" t="s">
        <v>3159</v>
      </c>
      <c r="AA281" s="109" t="s">
        <v>64</v>
      </c>
      <c r="AB281" s="54"/>
      <c r="AC281" s="56"/>
      <c r="AD281" s="46"/>
      <c r="AE281" s="54"/>
      <c r="AF281" s="34"/>
      <c r="AG281" s="56"/>
      <c r="AH281" s="56"/>
      <c r="AI281" s="54"/>
      <c r="AJ281" s="55"/>
      <c r="AK281" s="56"/>
      <c r="AL281" s="56"/>
      <c r="AM281" s="34"/>
      <c r="AN281" s="55"/>
      <c r="AO281" s="128"/>
      <c r="AP281" s="58" t="str">
        <f t="shared" si="6"/>
        <v>ANNEX Martin, s.r.o. auto-moto, kovovyroba, ine (tovary a sluzby), &amp;#32vsetky kategorie  036 01 Martin Malo+velkopredaj lozisk, hadic, filtrov gumovych tesniacich prvkov, nahradnych dielov pre osobne vozidla, obrabacie stroje, traktory, motory; ponukame sortiment pre dielne ako naradie, pomocky i celkovu udrzbu prevadzok. Zakaznici su z radov polnohospodarskych druzstiev. okolitych vyrobnych zavodov, drobni sukromni podnikatelia a obcania. Prospesnost nasho podniku je najma v rychlej pomoci pri obstarani predmetnych dielov, v poradenstve a v kratkom dodacom termine. ANNEX Martin s.r.o. Malopredaj a velkopredaj nahradnych dielov. nahradne diely pre automobily a priemysel, loziska, hadice, suciastky, dielna, udrzba, motory, traktory, obrabacie stroje           </v>
      </c>
      <c r="AQ281" s="37"/>
    </row>
    <row r="282" ht="15.75" customHeight="1">
      <c r="A282" s="43"/>
      <c r="B282" s="59">
        <v>307.0</v>
      </c>
      <c r="C282" s="75" t="s">
        <v>3160</v>
      </c>
      <c r="D282" s="42" t="s">
        <v>66</v>
      </c>
      <c r="E282" s="38" t="str">
        <f t="shared" si="1"/>
        <v>Žilinský kraj, &amp;#32celé Slovensko</v>
      </c>
      <c r="F282" s="42" t="s">
        <v>639</v>
      </c>
      <c r="G282" s="38" t="str">
        <f t="shared" si="2"/>
        <v>čistiace a upratovacie služby, dom a záhrada, &amp;#32všetky kategórie</v>
      </c>
      <c r="H282" s="42" t="s">
        <v>68</v>
      </c>
      <c r="I282" s="43" t="str">
        <f t="shared" si="3"/>
        <v>16 - 20, &amp;#32všetky možnosti</v>
      </c>
      <c r="J282" s="44" t="str">
        <f t="shared" si="7"/>
        <v>,,</v>
      </c>
      <c r="K282" s="45">
        <f t="shared" si="5"/>
        <v>30358.47747</v>
      </c>
      <c r="L282" s="43"/>
      <c r="M282" s="43" t="str">
        <f>IFERROR(__xludf.DUMMYFUNCTION("SPLIT(O282,"","")"),"Odtrnovie 697")</f>
        <v>Odtrnovie 697</v>
      </c>
      <c r="N282" s="43" t="str">
        <f>IFERROR(__xludf.DUMMYFUNCTION("""COMPUTED_VALUE""")," 013 22 Rosina")</f>
        <v> 013 22 Rosina</v>
      </c>
      <c r="O282" s="80" t="s">
        <v>3161</v>
      </c>
      <c r="P282" s="43">
        <v>49.2001686</v>
      </c>
      <c r="Q282" s="43">
        <v>18.743207</v>
      </c>
      <c r="R282" s="56" t="s">
        <v>3162</v>
      </c>
      <c r="S282" s="112" t="s">
        <v>3163</v>
      </c>
      <c r="T282" s="113" t="s">
        <v>3164</v>
      </c>
      <c r="U282" s="49" t="s">
        <v>3165</v>
      </c>
      <c r="V282" s="66" t="s">
        <v>3166</v>
      </c>
      <c r="W282" s="54" t="s">
        <v>3167</v>
      </c>
      <c r="X282" s="54" t="s">
        <v>3160</v>
      </c>
      <c r="Y282" s="110" t="s">
        <v>3168</v>
      </c>
      <c r="Z282" s="108" t="s">
        <v>3169</v>
      </c>
      <c r="AA282" s="109" t="s">
        <v>64</v>
      </c>
      <c r="AB282" s="54"/>
      <c r="AC282" s="56"/>
      <c r="AD282" s="46"/>
      <c r="AE282" s="54"/>
      <c r="AF282" s="34"/>
      <c r="AG282" s="56"/>
      <c r="AH282" s="56"/>
      <c r="AI282" s="54"/>
      <c r="AJ282" s="55"/>
      <c r="AK282" s="56"/>
      <c r="AL282" s="56"/>
      <c r="AM282" s="34"/>
      <c r="AN282" s="55"/>
      <c r="AO282" s="128"/>
      <c r="AP282" s="58" t="str">
        <f t="shared" si="6"/>
        <v>FINXZA, s. r. o. cistiace a upratovacie sluzby, dom a zahrada, &amp;#32vsetky kategorie  013 22 Rosina Poskytujeme komplexne upratovacie a cistiace prace pre domacnosti a firmy v ramci Slovenska. Na zaklade individualnych poziadaviek zabezpecime pravidelne upratovanie, generalne alebo specialne technologicke upratovanie, cistenie stavebnych konstrukcii a vyrobnych technologii.
 Postarame sa o cistenie kobercov, osetrenie podlahovych ploch s aplikaciou voskov. Specializujeme sa na priemyselne cistenie podlah, vyrobnych strojov, liniek a celych prevadzok. Samozrejmostou je umyvanie okien, zaluzii, presklenych ploch, fasad, robime aj vyskove prace a cistenie. Spolocensky dopad spociva v ochrane zivotneho prostredia a zdravia obyvatelstva. Poskytujeme sluzby na podporu regionalneho rozvoja a zamestnanosti. Cielom je budovat uvedomelu a spravodlivu spolocnost. FINXZA, s. r. o. Profesionalne upratovacie sluzby s individualnym pristupom. upratovanie, upratovacie sluzby, cistenie, upratovaci servis, profesionalne upratovanie, umyvanie okien, voskovanie podlahy, cistenie strojov, liniek, umyvanie fasad, vyskove prace, cistenie kobercov, tepovanie, dezinfekcia, cistenie ozonom, hygienicky servis           </v>
      </c>
      <c r="AQ282" s="37"/>
    </row>
    <row r="283" ht="15.75" customHeight="1">
      <c r="A283" s="43"/>
      <c r="B283" s="59">
        <v>308.0</v>
      </c>
      <c r="C283" s="75" t="s">
        <v>3170</v>
      </c>
      <c r="D283" s="42" t="s">
        <v>51</v>
      </c>
      <c r="E283" s="38" t="str">
        <f t="shared" si="1"/>
        <v>Prešovský kraj, &amp;#32celé Slovensko</v>
      </c>
      <c r="F283" s="42" t="s">
        <v>3171</v>
      </c>
      <c r="G283" s="38" t="str">
        <f t="shared" si="2"/>
        <v>reklama, obaly, nábytok a bytové doplnky, pre deti, bižutéria a darčekové predmety, iné (tovary a služby), &amp;#32všetky kategórie</v>
      </c>
      <c r="H283" s="42" t="s">
        <v>53</v>
      </c>
      <c r="I283" s="43" t="str">
        <f t="shared" si="3"/>
        <v>1 - 5, &amp;#32všetky možnosti</v>
      </c>
      <c r="J283" s="44" t="str">
        <f t="shared" si="7"/>
        <v>,,</v>
      </c>
      <c r="K283" s="45">
        <f t="shared" si="5"/>
        <v>22510.20694</v>
      </c>
      <c r="L283" s="43"/>
      <c r="M283" s="43" t="str">
        <f>IFERROR(__xludf.DUMMYFUNCTION("SPLIT(O283,"","")"),"Kúpeľná 35")</f>
        <v>Kúpeľná 35</v>
      </c>
      <c r="N283" s="43" t="str">
        <f>IFERROR(__xludf.DUMMYFUNCTION("""COMPUTED_VALUE""")," 053 04 Spišské Podhradie")</f>
        <v> 053 04 Spišské Podhradie</v>
      </c>
      <c r="O283" s="42" t="s">
        <v>3172</v>
      </c>
      <c r="P283" s="43">
        <v>49.0052111</v>
      </c>
      <c r="Q283" s="43">
        <v>20.7546927</v>
      </c>
      <c r="R283" s="56" t="s">
        <v>3173</v>
      </c>
      <c r="S283" s="112" t="s">
        <v>3163</v>
      </c>
      <c r="T283" s="113" t="s">
        <v>86</v>
      </c>
      <c r="U283" s="49" t="s">
        <v>3174</v>
      </c>
      <c r="V283" s="129" t="s">
        <v>3175</v>
      </c>
      <c r="W283" s="47" t="s">
        <v>3176</v>
      </c>
      <c r="X283" s="47" t="s">
        <v>3177</v>
      </c>
      <c r="Y283" s="110" t="s">
        <v>3178</v>
      </c>
      <c r="Z283" s="108" t="s">
        <v>3179</v>
      </c>
      <c r="AA283" s="109" t="s">
        <v>64</v>
      </c>
      <c r="AB283" s="54"/>
      <c r="AC283" s="56"/>
      <c r="AD283" s="56"/>
      <c r="AE283" s="54"/>
      <c r="AF283" s="55"/>
      <c r="AG283" s="56"/>
      <c r="AH283" s="56"/>
      <c r="AI283" s="55"/>
      <c r="AJ283" s="55"/>
      <c r="AK283" s="56"/>
      <c r="AL283" s="56"/>
      <c r="AM283" s="34"/>
      <c r="AN283" s="34"/>
      <c r="AO283" s="130"/>
      <c r="AP283" s="58" t="str">
        <f t="shared" si="6"/>
        <v>T-Tatra s. r. o. reklama, obaly, nabytok a bytove doplnky, pre deti, bizuteria a darcekove predmety, ine (tovary a sluzby), &amp;#32vsetky kategorie  053 04 Spisske Podhradie Drevovyroba, velkoformatove rezanie laserom, vyroba reklamnych a darcekovych predmetov z dreva, vyroba slnecnych okuliarov, drevenych okuliarovych ramov, vianocnych ozdob, krytov na telefon, drevenych zubnych kefiek... Spolocensky dopad spociva v ochrane zivotneho prostredia a zdravia obyvatelstva. Poskytujeme sluzby na podporu regionalneho rozvoja a zamestnanosti. Cielom je budovat uvedomelu a spravodlivu spolocnost. T-Tatra Drevovyroba, reklama, darceky, online predaj Drevovyroba, reklama, darceky, online predaj, velkoformatove rezanie laserom, reklamne predmety z dreva, slnecne okuliare, drevene okuliarove ramy, vianocne ozdoby, kryty na telefon, drevene zubne kefky, kefka, 
doplnky, drevene omalovanky           </v>
      </c>
      <c r="AQ283" s="37"/>
    </row>
    <row r="284" ht="15.75" customHeight="1">
      <c r="A284" s="43"/>
      <c r="B284" s="59">
        <v>309.0</v>
      </c>
      <c r="C284" s="75" t="s">
        <v>3180</v>
      </c>
      <c r="D284" s="42" t="s">
        <v>80</v>
      </c>
      <c r="E284" s="38" t="str">
        <f t="shared" si="1"/>
        <v>Trnavský kraj, &amp;#32celé Slovensko</v>
      </c>
      <c r="F284" s="42" t="s">
        <v>3181</v>
      </c>
      <c r="G284" s="38" t="str">
        <f t="shared" si="2"/>
        <v>čistiace a upratovacie služby, dom a záhrada, účtovníctvo a poradenstvo, iné (tovary a služby), &amp;#32všetky kategórie</v>
      </c>
      <c r="H284" s="42" t="s">
        <v>53</v>
      </c>
      <c r="I284" s="43" t="str">
        <f t="shared" si="3"/>
        <v>1 - 5, &amp;#32všetky možnosti</v>
      </c>
      <c r="J284" s="44" t="str">
        <f t="shared" si="7"/>
        <v>,,Náhradné plnenie</v>
      </c>
      <c r="K284" s="45">
        <f t="shared" si="5"/>
        <v>40668.86807</v>
      </c>
      <c r="L284" s="43"/>
      <c r="M284" s="43" t="str">
        <f>IFERROR(__xludf.DUMMYFUNCTION("SPLIT(O284,"","")"),"Sasinkova 5028/52")</f>
        <v>Sasinkova 5028/52</v>
      </c>
      <c r="N284" s="43" t="str">
        <f>IFERROR(__xludf.DUMMYFUNCTION("""COMPUTED_VALUE""")," 921 01 Piešťany")</f>
        <v> 921 01 Piešťany</v>
      </c>
      <c r="O284" s="42" t="s">
        <v>3182</v>
      </c>
      <c r="P284" s="43">
        <v>48.5969612</v>
      </c>
      <c r="Q284" s="43">
        <v>17.827664</v>
      </c>
      <c r="R284" s="56" t="s">
        <v>3183</v>
      </c>
      <c r="S284" s="112" t="s">
        <v>3184</v>
      </c>
      <c r="T284" s="113" t="s">
        <v>86</v>
      </c>
      <c r="U284" s="49" t="s">
        <v>3185</v>
      </c>
      <c r="V284" s="129" t="s">
        <v>3186</v>
      </c>
      <c r="W284" s="47" t="s">
        <v>3187</v>
      </c>
      <c r="X284" s="47" t="s">
        <v>3180</v>
      </c>
      <c r="Y284" s="110" t="s">
        <v>3188</v>
      </c>
      <c r="Z284" s="108" t="s">
        <v>3189</v>
      </c>
      <c r="AA284" s="109" t="s">
        <v>64</v>
      </c>
      <c r="AB284" s="54"/>
      <c r="AC284" s="56"/>
      <c r="AD284" s="56"/>
      <c r="AE284" s="54"/>
      <c r="AF284" s="55"/>
      <c r="AG284" s="56"/>
      <c r="AH284" s="56"/>
      <c r="AI284" s="55"/>
      <c r="AJ284" s="55"/>
      <c r="AK284" s="56"/>
      <c r="AL284" s="56"/>
      <c r="AM284" s="34"/>
      <c r="AN284" s="34"/>
      <c r="AO284" s="131" t="s">
        <v>40</v>
      </c>
      <c r="AP284" s="58" t="str">
        <f t="shared" si="6"/>
        <v>skula s. r. o. cistiace a upratovacie sluzby, dom a zahrada, uctovnictvo a poradenstvo, ine (tovary a sluzby), &amp;#32vsetky kategorie  921 01 Piestany Ako spolocnost skula s. r. o. sa primarne zameriavame na poskytovanie cistiacich a upratovacich sluzieb inym podnikatelskym subjektom. Realizujeme bezne a nadstandardne cistenie kancelarskych priestorov, priemyselnych budov a vyrobnych hal. Ini nasi zamestnanci sa specializuju na poskytovanie administrativno - uctovnych sluzieb, riesenie uctovnej, personalnej a mzdovej agendy. V nasom podniku davame priestor znevyhodnenym a beznym zamestnancom realizovat ich pracovne ale vlastne aj zivotne ciele spolocne, pricom toto spojenie sa nam ukazalo ako velmi prospesne pre obe skupiny zamestnancov. Spokojni a motivovani zamestnanci u nas tvoria spokojneho klienta. skula s. r. o. Cistiace a upratovacie sluzby / uctovnictvo a poradenstvo cistiace a upratovacie sluzby, uctovnictvo a poradenstvo, ine (tovary a sluzby)           </v>
      </c>
      <c r="AQ284" s="37"/>
    </row>
    <row r="285" ht="15.75" customHeight="1">
      <c r="A285" s="43"/>
      <c r="B285" s="59">
        <v>310.0</v>
      </c>
      <c r="C285" s="75" t="s">
        <v>3190</v>
      </c>
      <c r="D285" s="42" t="s">
        <v>66</v>
      </c>
      <c r="E285" s="38" t="str">
        <f t="shared" si="1"/>
        <v>Žilinský kraj, &amp;#32celé Slovensko</v>
      </c>
      <c r="F285" s="42" t="s">
        <v>1199</v>
      </c>
      <c r="G285" s="38" t="str">
        <f t="shared" si="2"/>
        <v>ochrana a bezpečnosť, &amp;#32všetky kategórie</v>
      </c>
      <c r="H285" s="42" t="s">
        <v>82</v>
      </c>
      <c r="I285" s="43" t="str">
        <f t="shared" si="3"/>
        <v>11 - 15, &amp;#32všetky možnosti</v>
      </c>
      <c r="J285" s="44" t="str">
        <f t="shared" si="7"/>
        <v>,Register partnerov VS,Náhradné plnenie</v>
      </c>
      <c r="K285" s="45">
        <f t="shared" si="5"/>
        <v>44596.76056</v>
      </c>
      <c r="L285" s="43"/>
      <c r="M285" s="43" t="str">
        <f>IFERROR(__xludf.DUMMYFUNCTION("SPLIT(O285,"","")"),"M. Pišúta 979/4")</f>
        <v>M. Pišúta 979/4</v>
      </c>
      <c r="N285" s="43" t="str">
        <f>IFERROR(__xludf.DUMMYFUNCTION("""COMPUTED_VALUE""")," 031 01 Liptovský Mikuláš")</f>
        <v> 031 01 Liptovský Mikuláš</v>
      </c>
      <c r="O285" s="42" t="s">
        <v>3191</v>
      </c>
      <c r="P285" s="43">
        <v>49.0850241</v>
      </c>
      <c r="Q285" s="43">
        <v>19.613982</v>
      </c>
      <c r="R285" s="132" t="s">
        <v>3192</v>
      </c>
      <c r="S285" s="112" t="s">
        <v>3193</v>
      </c>
      <c r="T285" s="48" t="s">
        <v>86</v>
      </c>
      <c r="U285" s="133" t="s">
        <v>3194</v>
      </c>
      <c r="V285" s="129" t="s">
        <v>3195</v>
      </c>
      <c r="W285" s="47" t="s">
        <v>3196</v>
      </c>
      <c r="X285" s="54" t="s">
        <v>3190</v>
      </c>
      <c r="Y285" s="110" t="s">
        <v>3197</v>
      </c>
      <c r="Z285" s="108" t="s">
        <v>3198</v>
      </c>
      <c r="AA285" s="109" t="s">
        <v>64</v>
      </c>
      <c r="AB285" s="55"/>
      <c r="AC285" s="56"/>
      <c r="AD285" s="56"/>
      <c r="AE285" s="55"/>
      <c r="AF285" s="55"/>
      <c r="AG285" s="56"/>
      <c r="AH285" s="56"/>
      <c r="AI285" s="55"/>
      <c r="AJ285" s="55"/>
      <c r="AK285" s="56"/>
      <c r="AL285" s="56"/>
      <c r="AM285" s="47"/>
      <c r="AN285" s="18" t="s">
        <v>39</v>
      </c>
      <c r="AO285" s="131" t="s">
        <v>40</v>
      </c>
      <c r="AP285" s="58" t="str">
        <f t="shared" si="6"/>
        <v>ISP security s.r.o. ochrana a bezpecnost, &amp;#32vsetky kategorie  031 01 Liptovsky Mikulas Firma poskytuje monitorovacie sluzby v oblasti sukromnej bezpecnosti prostrednictvom videopultu centralnej ochrany. Medzi nasich zakaznikov patria samospravy, obce a mesta, komercne objekty, podniky a vyrobne arealy, pre ktore zabezpecujeme kamerove systemy. Poskytujeme technicke prostriedky (kamery, alarmy, videokomunikator, automatizaciu otvarania bran ..), ktore pripojime na nas pult. Zakaznik ma k dispozicii servis, pristup k archivu a obrazu kamier. Uspora nakladov je az do 70% oproti beznemu fyzickemu strazeniu objektu. Nasa spolocnost zamestnava znevyhodnene a zranitelne osoby a poskytujeme sluzby v oblasti ochrany zdravia a bezpecnosti obcanov. ISP security s.r.o. Poskytovanie monitorovacich sluzieb v oblasti sukromnej bezpecnosti, videopult centralnej ochrany sukromna bezpecnostna sluzba, sbs, bezpecnost, security, monitoring, kamera,           Register partnerov VS</v>
      </c>
      <c r="AQ285" s="37"/>
    </row>
    <row r="286" ht="15.75" customHeight="1">
      <c r="A286" s="43"/>
      <c r="B286" s="59">
        <v>311.0</v>
      </c>
      <c r="C286" s="75" t="s">
        <v>3199</v>
      </c>
      <c r="D286" s="42" t="s">
        <v>134</v>
      </c>
      <c r="E286" s="38" t="str">
        <f t="shared" si="1"/>
        <v>Trenčiansky kraj, &amp;#32celé Slovensko</v>
      </c>
      <c r="F286" s="42" t="s">
        <v>3200</v>
      </c>
      <c r="G286" s="38" t="str">
        <f t="shared" si="2"/>
        <v>stavebníctvo, doprava, odpady a recyklácia, obaly, &amp;#32všetky kategórie</v>
      </c>
      <c r="H286" s="42" t="s">
        <v>96</v>
      </c>
      <c r="I286" s="43" t="str">
        <f t="shared" si="3"/>
        <v>6 - 10, &amp;#32všetky možnosti</v>
      </c>
      <c r="J286" s="44" t="str">
        <f t="shared" si="7"/>
        <v>Servisné poukážky,,Náhradné plnenie</v>
      </c>
      <c r="K286" s="45">
        <f t="shared" si="5"/>
        <v>16583.40084</v>
      </c>
      <c r="L286" s="43"/>
      <c r="M286" s="43" t="str">
        <f>IFERROR(__xludf.DUMMYFUNCTION("SPLIT(O286,"","")"),"Kľačno 25")</f>
        <v>Kľačno 25</v>
      </c>
      <c r="N286" s="43" t="str">
        <f>IFERROR(__xludf.DUMMYFUNCTION("""COMPUTED_VALUE""")," 972 15 Kľačno ")</f>
        <v> 972 15 Kľačno </v>
      </c>
      <c r="O286" s="42" t="s">
        <v>3201</v>
      </c>
      <c r="P286" s="43">
        <v>48.8941555</v>
      </c>
      <c r="Q286" s="43">
        <v>18.6415771</v>
      </c>
      <c r="R286" s="56" t="s">
        <v>3202</v>
      </c>
      <c r="S286" s="112" t="s">
        <v>3203</v>
      </c>
      <c r="T286" s="48" t="s">
        <v>3204</v>
      </c>
      <c r="U286" s="133" t="s">
        <v>3205</v>
      </c>
      <c r="V286" s="129" t="s">
        <v>3206</v>
      </c>
      <c r="W286" s="47" t="s">
        <v>3207</v>
      </c>
      <c r="X286" s="54" t="s">
        <v>3199</v>
      </c>
      <c r="Y286" s="110" t="s">
        <v>3208</v>
      </c>
      <c r="Z286" s="108" t="s">
        <v>3209</v>
      </c>
      <c r="AA286" s="109" t="s">
        <v>64</v>
      </c>
      <c r="AB286" s="55"/>
      <c r="AC286" s="56"/>
      <c r="AD286" s="56"/>
      <c r="AE286" s="55"/>
      <c r="AF286" s="55"/>
      <c r="AG286" s="56"/>
      <c r="AH286" s="56"/>
      <c r="AI286" s="55"/>
      <c r="AJ286" s="55"/>
      <c r="AK286" s="56"/>
      <c r="AL286" s="56"/>
      <c r="AM286" s="18" t="s">
        <v>321</v>
      </c>
      <c r="AN286" s="34"/>
      <c r="AO286" s="131" t="s">
        <v>40</v>
      </c>
      <c r="AP286" s="58" t="str">
        <f t="shared" si="6"/>
        <v>FM - Trans SK, s.r.o. stavebnictvo, doprava, odpady a recyklacia, obaly, &amp;#32vsetky kategorie  972 15 Klacno  Nase sluzby su urcene pre fyzicke osoby, pravnicke osoby ale aj verejnych obstaravatelov - verejne spravy ci samospravy. 
Zabezpecujeme sluzby v oblastiach:
- odpadove hospodarstvo - odber a odvoz komunalnych, priemyselnych, stavebnych a nebezpecnych odpadov, triedenie - recyklacia/zhodnocovanie odpadov, odstranovanie a likvidacia azbestu,
- stavebnictvo - zemne a vykopove prace, buracie prace, dokoncovacie stavebne prace, dovoz a odvoz stavebnych materialov. Vynimocnost nasich sluzieb spociva v komplexnosti ich zabezpecenia.  Zaroven sa vytvaranim dlhodobo stabilnych pracovnych miest pre znevyhodnene a zranitelne osoby  snazime prispiet ich socialnemu rozvoju, rozvoju financnej gramotnosti a osvojeniu si pracovnych navykov.  FM - Trans SK, s.r.o. Skladovanie a triedenie odpadov odpad, recyklacia, zhodnocovanie odpadov, azbest, cestna nakladna doprava, stavebnictvo, zemne prace, vykopove prace, stavebny material, buracie prace, likvidacia, dovoz,           Servisne poukazky </v>
      </c>
      <c r="AQ286" s="37"/>
    </row>
    <row r="287" ht="15.75" customHeight="1">
      <c r="A287" s="43"/>
      <c r="B287" s="59">
        <v>312.0</v>
      </c>
      <c r="C287" s="75" t="s">
        <v>3210</v>
      </c>
      <c r="D287" s="42" t="s">
        <v>134</v>
      </c>
      <c r="E287" s="38" t="str">
        <f t="shared" si="1"/>
        <v>Trenčiansky kraj, &amp;#32celé Slovensko</v>
      </c>
      <c r="F287" s="42" t="s">
        <v>3211</v>
      </c>
      <c r="G287" s="38" t="str">
        <f t="shared" si="2"/>
        <v>vzdelávanie, kultúra a šport, pre deti, &amp;#32všetky kategórie</v>
      </c>
      <c r="H287" s="42" t="s">
        <v>96</v>
      </c>
      <c r="I287" s="43" t="str">
        <f t="shared" si="3"/>
        <v>6 - 10, &amp;#32všetky možnosti</v>
      </c>
      <c r="J287" s="44" t="str">
        <f t="shared" si="7"/>
        <v>,,Náhradné plnenie</v>
      </c>
      <c r="K287" s="45">
        <f t="shared" si="5"/>
        <v>23109.1155</v>
      </c>
      <c r="L287" s="43"/>
      <c r="M287" s="43" t="str">
        <f>IFERROR(__xludf.DUMMYFUNCTION("SPLIT(O287,"","")"),"Gen. M.R.Štefánika 372/9")</f>
        <v>Gen. M.R.Štefánika 372/9</v>
      </c>
      <c r="N287" s="43" t="str">
        <f>IFERROR(__xludf.DUMMYFUNCTION("""COMPUTED_VALUE""")," 911 01 Trenčín ")</f>
        <v> 911 01 Trenčín </v>
      </c>
      <c r="O287" s="42" t="s">
        <v>3212</v>
      </c>
      <c r="P287" s="43">
        <v>48.8922271</v>
      </c>
      <c r="Q287" s="43">
        <v>18.0538781</v>
      </c>
      <c r="R287" s="56" t="s">
        <v>3213</v>
      </c>
      <c r="S287" s="112" t="s">
        <v>3214</v>
      </c>
      <c r="T287" s="48" t="s">
        <v>3215</v>
      </c>
      <c r="U287" s="133" t="s">
        <v>3216</v>
      </c>
      <c r="V287" s="134" t="s">
        <v>3217</v>
      </c>
      <c r="W287" s="47" t="s">
        <v>3218</v>
      </c>
      <c r="X287" s="47" t="s">
        <v>3210</v>
      </c>
      <c r="Y287" s="110" t="s">
        <v>3219</v>
      </c>
      <c r="Z287" s="108" t="s">
        <v>3220</v>
      </c>
      <c r="AA287" s="109" t="s">
        <v>64</v>
      </c>
      <c r="AB287" s="55"/>
      <c r="AC287" s="56"/>
      <c r="AD287" s="56"/>
      <c r="AE287" s="55"/>
      <c r="AF287" s="55"/>
      <c r="AG287" s="56"/>
      <c r="AH287" s="56"/>
      <c r="AI287" s="55"/>
      <c r="AJ287" s="55"/>
      <c r="AK287" s="56"/>
      <c r="AL287" s="56"/>
      <c r="AM287" s="34"/>
      <c r="AN287" s="34"/>
      <c r="AO287" s="131" t="s">
        <v>40</v>
      </c>
      <c r="AP287" s="58" t="str">
        <f t="shared" si="6"/>
        <v>KreaTivO, s.r.o. vzdelavanie, kultura a sport, pre deti, &amp;#32vsetky kategorie  911 01 Trencin  Nasim hlavnym programom su sluzby pre deti, organizujeme a zabezpecujeme rozne sukromne a firemne akcie. Skolam a rodicom ponukame vzdelavacie LEGO® kurzy, programy pre skolske vylety,  mimoskolsku cinnost, narodeninove oslavy, pocas skolskych prazdnin denne tabory. Pre firmy ponukame netradicne programy pri firemnych akciach a teambuildingoch, programy pre deti zamestnancov. Tvorba spolocenskeho prospechu v oblasti rozvoja a vzdelavania deti a mladeze, ako aj zamestnavania osob zo znevyhodnenych skupin. KreaTivO, s.r.o. Mimoskolska cinnost, vzdelavacie LEGO® kurzy, narodeninove oslavy, programy pre skoly, skolske kluby a skolky, programy pre firmy - firemne akcie, teambuildingy Lego, kurzy, vzdelavanie, deti, tabory, vylety, hra, zabava, teambuilding, oslava, skola, firemna akcia, aktivity, program, trening, rozvoj, lektor, metodika, narodeniny, mimoskolska cinnost           </v>
      </c>
      <c r="AQ287" s="37"/>
    </row>
    <row r="288" ht="15.75" customHeight="1">
      <c r="A288" s="43"/>
      <c r="B288" s="59">
        <v>313.0</v>
      </c>
      <c r="C288" s="75" t="s">
        <v>3221</v>
      </c>
      <c r="D288" s="42" t="s">
        <v>181</v>
      </c>
      <c r="E288" s="38" t="str">
        <f t="shared" si="1"/>
        <v>Banskobystrický kraj, &amp;#32celé Slovensko</v>
      </c>
      <c r="F288" s="42" t="s">
        <v>3222</v>
      </c>
      <c r="G288" s="38" t="str">
        <f t="shared" si="2"/>
        <v>poľnohospodárstvo a lesníctvo, dom a záhrada, stavebníctvo, doprava, &amp;#32všetky kategórie</v>
      </c>
      <c r="H288" s="42" t="s">
        <v>96</v>
      </c>
      <c r="I288" s="43" t="str">
        <f t="shared" si="3"/>
        <v>6 - 10, &amp;#32všetky možnosti</v>
      </c>
      <c r="J288" s="44" t="str">
        <f t="shared" si="7"/>
        <v>,,</v>
      </c>
      <c r="K288" s="45">
        <f t="shared" si="5"/>
        <v>14415.34435</v>
      </c>
      <c r="L288" s="43"/>
      <c r="M288" s="43" t="str">
        <f>IFERROR(__xludf.DUMMYFUNCTION("SPLIT(O288,"","")"),"Sobotská 10/1")</f>
        <v>Sobotská 10/1</v>
      </c>
      <c r="N288" s="43" t="str">
        <f>IFERROR(__xludf.DUMMYFUNCTION("""COMPUTED_VALUE""")," 980 02 Jesenské")</f>
        <v> 980 02 Jesenské</v>
      </c>
      <c r="O288" s="42" t="s">
        <v>3223</v>
      </c>
      <c r="P288" s="43">
        <v>48.3051904999999</v>
      </c>
      <c r="Q288" s="43">
        <v>20.0761207</v>
      </c>
      <c r="R288" s="56" t="s">
        <v>3224</v>
      </c>
      <c r="S288" s="112" t="s">
        <v>3225</v>
      </c>
      <c r="T288" s="126" t="s">
        <v>3226</v>
      </c>
      <c r="U288" s="135" t="s">
        <v>3227</v>
      </c>
      <c r="V288" s="129" t="s">
        <v>3228</v>
      </c>
      <c r="W288" s="47" t="s">
        <v>3229</v>
      </c>
      <c r="X288" s="47" t="s">
        <v>3230</v>
      </c>
      <c r="Y288" s="110" t="s">
        <v>3231</v>
      </c>
      <c r="Z288" s="108" t="s">
        <v>3232</v>
      </c>
      <c r="AA288" s="109" t="s">
        <v>64</v>
      </c>
      <c r="AB288" s="55"/>
      <c r="AC288" s="56"/>
      <c r="AD288" s="56"/>
      <c r="AE288" s="55"/>
      <c r="AF288" s="55"/>
      <c r="AG288" s="56"/>
      <c r="AH288" s="56"/>
      <c r="AI288" s="55"/>
      <c r="AJ288" s="55"/>
      <c r="AK288" s="56"/>
      <c r="AL288" s="56"/>
      <c r="AM288" s="34"/>
      <c r="AN288" s="34"/>
      <c r="AO288" s="130"/>
      <c r="AP288" s="58" t="str">
        <f t="shared" si="6"/>
        <v>KomPaS, s.r.o. polnohospodarstvo a lesnictvo, dom a zahrada, stavebnictvo, doprava, &amp;#32vsetky kategorie  980 02 Jesenske Nasa firma ponuka sluzby v oblasti domacnosti: starostlivost o dvor a zahradu (kosenie, rotavatorovanie, oranie), drobne stavebne prace, vyruby stromov, prepravu materialov mensich rozmerov. Pre obce ponukame sluzby ako opravy a udrziavanie verejneho osvetlenia, vykopove prace, natieranie a malovanie a ine rozne prace podla potreby. Vykonavame sluzby, ktore by pre ine podniky neboli ekonomicky vynosne, ale pre obyvatelstvo su potrebne. Pokryvame viac druhov sluzieb v jednom podniku. Snazime sa zamestnavat osoby, ktore potrebuju adaptaciu do miestneho pracovneho prostredia.   KomPaS, s.r.o., r.s.p. Nasa firma ponuka sluzby v oblasti domacnosti - starostlivost o dvor a zahradu (kosenie, rotavatorovanie, oranie), drobne stavebne prace, vyruby stromov, prepravu materialov mensich rozmerov. Pre obce ponukame sluzby ako opravy a udrziavanie verejneho osvetlenia, vykopove prace, natieranie a malovanie a ine rozne prace podla potreby. oranie, zemne prace, kosenie, rotavatorovanie, opravy, malovanie, drobne stavebne prace, vykopove prace, vyruby stromov, preprava materialov mensich rozmerov, doprava,            </v>
      </c>
      <c r="AQ288" s="37"/>
    </row>
    <row r="289" ht="15.75" customHeight="1">
      <c r="A289" s="43"/>
      <c r="B289" s="59">
        <v>314.0</v>
      </c>
      <c r="C289" s="75" t="s">
        <v>3233</v>
      </c>
      <c r="D289" s="42" t="s">
        <v>80</v>
      </c>
      <c r="E289" s="38" t="str">
        <f t="shared" si="1"/>
        <v>Trnavský kraj, &amp;#32celé Slovensko</v>
      </c>
      <c r="F289" s="42" t="s">
        <v>3062</v>
      </c>
      <c r="G289" s="38" t="str">
        <f t="shared" si="2"/>
        <v>čistiace a upratovacie služby, poľnohospodárstvo a lesníctvo, dom a záhrada, &amp;#32všetky kategórie</v>
      </c>
      <c r="H289" s="80" t="s">
        <v>96</v>
      </c>
      <c r="I289" s="43" t="str">
        <f t="shared" si="3"/>
        <v>6 - 10, &amp;#32všetky možnosti</v>
      </c>
      <c r="J289" s="44" t="str">
        <f t="shared" si="7"/>
        <v>,Register partnerov VS,</v>
      </c>
      <c r="K289" s="45">
        <f t="shared" si="5"/>
        <v>28775.69862</v>
      </c>
      <c r="L289" s="43"/>
      <c r="M289" s="43" t="str">
        <f>IFERROR(__xludf.DUMMYFUNCTION("SPLIT(O289,"","")"),"Tamaškovičova 2742/17")</f>
        <v>Tamaškovičova 2742/17</v>
      </c>
      <c r="N289" s="43" t="str">
        <f>IFERROR(__xludf.DUMMYFUNCTION("""COMPUTED_VALUE""")," 917 01 Trnava")</f>
        <v> 917 01 Trnava</v>
      </c>
      <c r="O289" s="42" t="s">
        <v>3234</v>
      </c>
      <c r="P289" s="43">
        <v>48.3672879</v>
      </c>
      <c r="Q289" s="43">
        <v>17.594241</v>
      </c>
      <c r="R289" s="56" t="s">
        <v>3235</v>
      </c>
      <c r="S289" s="112" t="s">
        <v>3236</v>
      </c>
      <c r="T289" s="126" t="s">
        <v>3237</v>
      </c>
      <c r="U289" s="135" t="s">
        <v>3238</v>
      </c>
      <c r="V289" s="129" t="s">
        <v>3239</v>
      </c>
      <c r="W289" s="34" t="s">
        <v>3240</v>
      </c>
      <c r="X289" s="47" t="s">
        <v>3233</v>
      </c>
      <c r="Y289" s="110" t="s">
        <v>3241</v>
      </c>
      <c r="Z289" s="108" t="s">
        <v>3242</v>
      </c>
      <c r="AA289" s="109" t="s">
        <v>64</v>
      </c>
      <c r="AB289" s="55"/>
      <c r="AC289" s="56"/>
      <c r="AD289" s="56"/>
      <c r="AE289" s="55"/>
      <c r="AF289" s="55"/>
      <c r="AG289" s="56"/>
      <c r="AH289" s="56"/>
      <c r="AI289" s="55"/>
      <c r="AJ289" s="55"/>
      <c r="AK289" s="56"/>
      <c r="AL289" s="56"/>
      <c r="AM289" s="47"/>
      <c r="AN289" s="18" t="s">
        <v>39</v>
      </c>
      <c r="AO289" s="130"/>
      <c r="AP289" s="58" t="str">
        <f t="shared" si="6"/>
        <v>DUO WORK, s.r.o. cistiace a upratovacie sluzby, polnohospodarstvo a lesnictvo, dom a zahrada, &amp;#32vsetky kategorie  917 01 Trnava Sme zahradnicka spolocnost, ktora sa zaobera realizaciou verejnej a sukromnej zelene. Riesime drobne zahradne prace ako strihanie a orezavanie stromov a krikov v zahradach, vysadba, drvenie, cistiace a upratovacie prace v exterieroch, nosenie tazsich bremien na dvoroch, v interieri a drobne stavebne prace ako osadzanie laviciek, fontan, oplotenia, altanky, pergoly, obrubniky, chodniky, zavlahy, rekonstrukcia cerpacej techniky, cerpadla.
Prioritne reagujeme na potreby klientov predovsetkym v obciach, a to konkretne obcanov ZTP, seniorov, osamelych rodicov s malymi detmi ci obcanov, ktori nemaju potrebne vybavenie a skusenosti s udrzbou zahrad ci uz sezonne alebo pocas celeho roka. Nakolko kazda sluzba a kazdy klient je iny, prisposobujeme svoj pristup individualnym poziadavkam klientov s ohladom na typ sluzby. Nasim cielom je vytvaranie a udrzanie pracovnych pozicii pre znevyhodnene a zranitelne osoby a ich integracia do pracovneho procesu v oblasti posobenia spolocnosti.
Zamestnavame zdravotne znevyhodnene osoby. DUO WORK, s.r.o. Sme zahradnicka spolocnost, ktora sa zaobera realizaciou verejnej a sukromnej zelene. zahradne sluzby, kosenie, vysadba, pilenie, zavlaha, strihanie krikov, orezavanie stromov, nosenie tazsich bremien, drobne stavebne prace, zavlahy, cerpadla           Register partnerov VS</v>
      </c>
      <c r="AQ289" s="37"/>
    </row>
    <row r="290" ht="15.75" customHeight="1">
      <c r="A290" s="43"/>
      <c r="B290" s="59">
        <v>315.0</v>
      </c>
      <c r="C290" s="75" t="s">
        <v>3243</v>
      </c>
      <c r="D290" s="42" t="s">
        <v>51</v>
      </c>
      <c r="E290" s="38" t="str">
        <f t="shared" si="1"/>
        <v>Prešovský kraj, &amp;#32celé Slovensko</v>
      </c>
      <c r="F290" s="42" t="s">
        <v>1955</v>
      </c>
      <c r="G290" s="38" t="str">
        <f t="shared" si="2"/>
        <v>kovovýroba, &amp;#32všetky kategórie</v>
      </c>
      <c r="H290" s="42" t="s">
        <v>53</v>
      </c>
      <c r="I290" s="43" t="str">
        <f t="shared" si="3"/>
        <v>1 - 5, &amp;#32všetky možnosti</v>
      </c>
      <c r="J290" s="44" t="str">
        <f t="shared" si="7"/>
        <v>,Register partnerov VS,</v>
      </c>
      <c r="K290" s="45">
        <f t="shared" si="5"/>
        <v>4404.572895</v>
      </c>
      <c r="L290" s="43"/>
      <c r="M290" s="43" t="str">
        <f>IFERROR(__xludf.DUMMYFUNCTION("SPLIT(O290,"","")"),"Ružová 576/33")</f>
        <v>Ružová 576/33</v>
      </c>
      <c r="N290" s="43" t="str">
        <f>IFERROR(__xludf.DUMMYFUNCTION("""COMPUTED_VALUE""")," 065 44 Plaveč")</f>
        <v> 065 44 Plaveč</v>
      </c>
      <c r="O290" s="42" t="s">
        <v>3244</v>
      </c>
      <c r="P290" s="43">
        <v>49.2614757</v>
      </c>
      <c r="Q290" s="43">
        <v>20.8347439</v>
      </c>
      <c r="R290" s="56" t="s">
        <v>3245</v>
      </c>
      <c r="S290" s="112" t="s">
        <v>3246</v>
      </c>
      <c r="T290" s="126" t="s">
        <v>3247</v>
      </c>
      <c r="U290" s="135" t="s">
        <v>3248</v>
      </c>
      <c r="V290" s="129" t="s">
        <v>3249</v>
      </c>
      <c r="W290" s="34" t="s">
        <v>3250</v>
      </c>
      <c r="X290" s="47" t="s">
        <v>3251</v>
      </c>
      <c r="Y290" s="110" t="s">
        <v>3252</v>
      </c>
      <c r="Z290" s="108" t="s">
        <v>3253</v>
      </c>
      <c r="AA290" s="109" t="s">
        <v>64</v>
      </c>
      <c r="AB290" s="55"/>
      <c r="AC290" s="56"/>
      <c r="AD290" s="56"/>
      <c r="AE290" s="55"/>
      <c r="AF290" s="55"/>
      <c r="AG290" s="56"/>
      <c r="AH290" s="56"/>
      <c r="AI290" s="55"/>
      <c r="AJ290" s="55"/>
      <c r="AK290" s="56"/>
      <c r="AL290" s="56"/>
      <c r="AM290" s="47"/>
      <c r="AN290" s="18" t="s">
        <v>39</v>
      </c>
      <c r="AO290" s="130"/>
      <c r="AP290" s="58" t="str">
        <f t="shared" si="6"/>
        <v>DP-ZvarMont s.r.o. kovovyroba, &amp;#32vsetky kategorie  065 44 Plavec Ponukame pieskovanie, zvaranie, vyrobu zeleza, konstrukcii a montaz. Sme schopni pripravit, zostavit a spojit siroku skalu kovov i kovovych zliatin s vyuzitim roznych zvaracich procesov. Vieme pouzit to najvhodnejsie vybavenie, postup aj metodiku v zavislosti od materialu, ktory je spajany. Prispievame k dosahovaniu pozitivneho socialneho vplyvu poskytovanim spolocensky prospesnej sluzby v oblasti zamestnanosti, a to zamestnavanim
znevyhodnenych a/alebo zranitelnych osob. Tieto si osvoja pracovne navyky a ziskaju nove zrucnosti pre vykon povolania, co zvysi sance na ich opatovne spolocenske zaclenenie beruc do uvahy ich novonadobudnutu mieru financnej autonomie a samostatnosti, sebadovery ci schopnosti fungovat v prostredi pracovneho kolektivu. Uvedene bude mat na tieto osoby pozitivny socialny vplyv, dojde k ich zacleneniu z okraja spolocnosti do realneho zivota. DP-ZvarMont s.r.o., r.s.p. Zaoberame sa strojarskou vyrobou, kovovyrobou, zamocnickymi a zvaracskymi pracami, montaznymi a lakovnickymi pracami.  kovovyroba, zvaranie, vyroba zeleza, vyroba konstrukcii, montaz, konstrukcie, pieskovanie, povrchova uprava, zelezo           Register partnerov VS</v>
      </c>
      <c r="AQ290" s="37"/>
    </row>
    <row r="291" ht="17.25" customHeight="1">
      <c r="A291" s="43"/>
      <c r="B291" s="59">
        <v>316.0</v>
      </c>
      <c r="C291" s="136" t="s">
        <v>3254</v>
      </c>
      <c r="D291" s="42" t="s">
        <v>218</v>
      </c>
      <c r="E291" s="38" t="str">
        <f t="shared" si="1"/>
        <v>Košický kraj, &amp;#32celé Slovensko</v>
      </c>
      <c r="F291" s="80" t="s">
        <v>3255</v>
      </c>
      <c r="G291" s="38" t="str">
        <f t="shared" si="2"/>
        <v>čistiace a upratovacie služby, dom a záhrada, stavebníctvo,, &amp;#32všetky kategórie</v>
      </c>
      <c r="H291" s="42" t="s">
        <v>53</v>
      </c>
      <c r="I291" s="43" t="str">
        <f t="shared" si="3"/>
        <v>1 - 5, &amp;#32všetky možnosti</v>
      </c>
      <c r="J291" s="44" t="str">
        <f t="shared" si="7"/>
        <v>,,Náhradné plnenie</v>
      </c>
      <c r="K291" s="45">
        <f t="shared" si="5"/>
        <v>1240.436395</v>
      </c>
      <c r="L291" s="43"/>
      <c r="M291" s="43" t="str">
        <f>IFERROR(__xludf.DUMMYFUNCTION("SPLIT(O291,"","")"),"Hlavná 1721/157")</f>
        <v>Hlavná 1721/157</v>
      </c>
      <c r="N291" s="43" t="str">
        <f>IFERROR(__xludf.DUMMYFUNCTION("""COMPUTED_VALUE""")," 056 01 Gelnica 
")</f>
        <v> 056 01 Gelnica 
</v>
      </c>
      <c r="O291" s="80" t="s">
        <v>3256</v>
      </c>
      <c r="P291" s="81">
        <v>48.8628484</v>
      </c>
      <c r="Q291" s="81">
        <v>20.9524433</v>
      </c>
      <c r="R291" s="82" t="s">
        <v>3257</v>
      </c>
      <c r="S291" s="112" t="s">
        <v>3258</v>
      </c>
      <c r="T291" s="113" t="s">
        <v>86</v>
      </c>
      <c r="U291" s="135" t="s">
        <v>3259</v>
      </c>
      <c r="V291" s="129" t="s">
        <v>3260</v>
      </c>
      <c r="W291" s="83" t="s">
        <v>3261</v>
      </c>
      <c r="X291" s="47" t="s">
        <v>3262</v>
      </c>
      <c r="Y291" s="137" t="s">
        <v>3263</v>
      </c>
      <c r="Z291" s="108" t="s">
        <v>3264</v>
      </c>
      <c r="AA291" s="109" t="s">
        <v>64</v>
      </c>
      <c r="AB291" s="55"/>
      <c r="AC291" s="56"/>
      <c r="AD291" s="56"/>
      <c r="AE291" s="55"/>
      <c r="AF291" s="55"/>
      <c r="AG291" s="56"/>
      <c r="AH291" s="56"/>
      <c r="AI291" s="55"/>
      <c r="AJ291" s="55"/>
      <c r="AK291" s="56"/>
      <c r="AL291" s="56"/>
      <c r="AM291" s="34"/>
      <c r="AN291" s="34"/>
      <c r="AO291" s="131" t="s">
        <v>40</v>
      </c>
      <c r="AP291" s="58" t="str">
        <f t="shared" si="6"/>
        <v>CIBEKA s.r.o., r.s.p. cistiace a upratovacie sluzby, dom a zahrada, stavebnictvo,, &amp;#32vsetky kategorie  056 01 Gelnica 
 Nasim klucovym predmetom podnikania je poskytovanie komplexnej sluzby prania a zehlenia hlavne pre oblast:  hotelierstva a gastronomie, zdravotnictva priemyslu a zdravotnictva.
Realizujeme stavebnu cinnost a malovanie interierov a exterierov. Poskytujeme komplexne upratovacie sluzby pre firmy a domacnosti.
 Snazime sa o dosahovanie prosocialnych cielov snasho podnikania, o naplnanie pozitivneho socialneho vplyvu, najma stimulaciou a aktivnou pomocou ludom, ktori to maju v zivote tazsie. Podporujeme zamestnanost/zamestnatelnost osob z okruhu vhodnych recipientov – znevyhodnenych a zranitelnych osob, zijucich v spadovej oblasti mikroregionu Gelnice, a to s optimalizaciou vyuzitia nastrojov tzv. aktivnych opatreni na trhu prace. 
 CIBEKA s.r.o. PRACOVNA
Nasim klucovym predmetom podnikania je poskytovanie komplexnej sluzby prania a zehlenia hlavne pre oblast:  hotelierstva a gastronomie, zdravotnictva priemyslu a zdravotnictva.
STAVEBNE  A  MALIARSKE PRACE
Realizujeme stavebnu cinnost a malovanie interierov a exterierov.
UPRATOVACIE  SLUZBY
Poskytujeme komplexne upratovacie sluzby pre firmy a domacnosti.
 stavebne prace, kosenie, pracovna, zehlenie, drobne stavby, rekonstrukcie, modernizacie interierov, opravy a udrzba interierov a exterierov, starostlivost o domacnost           </v>
      </c>
      <c r="AQ291" s="37"/>
    </row>
    <row r="292" ht="15.75" customHeight="1">
      <c r="A292" s="43"/>
      <c r="B292" s="59">
        <v>317.0</v>
      </c>
      <c r="C292" s="75" t="s">
        <v>3265</v>
      </c>
      <c r="D292" s="42" t="s">
        <v>80</v>
      </c>
      <c r="E292" s="38" t="str">
        <f t="shared" si="1"/>
        <v>Trnavský kraj, &amp;#32celé Slovensko</v>
      </c>
      <c r="F292" s="42" t="s">
        <v>3266</v>
      </c>
      <c r="G292" s="38" t="str">
        <f t="shared" si="2"/>
        <v>ochrana a bezpečnosť, odevy a obuv, &amp;#32všetky kategórie</v>
      </c>
      <c r="H292" s="42" t="s">
        <v>170</v>
      </c>
      <c r="I292" s="43" t="str">
        <f t="shared" si="3"/>
        <v>21 a viac, &amp;#32všetky možnosti</v>
      </c>
      <c r="J292" s="44" t="str">
        <f t="shared" si="7"/>
        <v>,Register partnerov VS,Náhradné plnenie</v>
      </c>
      <c r="K292" s="45">
        <f t="shared" si="5"/>
        <v>21132.5031</v>
      </c>
      <c r="L292" s="43"/>
      <c r="M292" s="43" t="str">
        <f>IFERROR(__xludf.DUMMYFUNCTION("SPLIT(O292,"","")"),"Hlavná 249")</f>
        <v>Hlavná 249</v>
      </c>
      <c r="N292" s="43" t="str">
        <f>IFERROR(__xludf.DUMMYFUNCTION("""COMPUTED_VALUE""")," 925 03 Horné Saliby")</f>
        <v> 925 03 Horné Saliby</v>
      </c>
      <c r="O292" s="42" t="s">
        <v>3267</v>
      </c>
      <c r="P292" s="43">
        <v>48.1029333</v>
      </c>
      <c r="Q292" s="43">
        <v>17.6881363</v>
      </c>
      <c r="R292" s="56" t="s">
        <v>3268</v>
      </c>
      <c r="S292" s="125" t="s">
        <v>3269</v>
      </c>
      <c r="T292" s="126" t="s">
        <v>86</v>
      </c>
      <c r="U292" s="135" t="s">
        <v>3270</v>
      </c>
      <c r="V292" s="66" t="s">
        <v>3271</v>
      </c>
      <c r="W292" s="55" t="s">
        <v>3272</v>
      </c>
      <c r="X292" s="54" t="s">
        <v>3265</v>
      </c>
      <c r="Y292" s="110" t="s">
        <v>3273</v>
      </c>
      <c r="Z292" s="108" t="s">
        <v>3274</v>
      </c>
      <c r="AA292" s="109" t="s">
        <v>64</v>
      </c>
      <c r="AB292" s="55"/>
      <c r="AC292" s="56"/>
      <c r="AD292" s="56"/>
      <c r="AE292" s="55"/>
      <c r="AF292" s="55"/>
      <c r="AG292" s="56"/>
      <c r="AH292" s="56"/>
      <c r="AI292" s="55"/>
      <c r="AJ292" s="55"/>
      <c r="AK292" s="56"/>
      <c r="AL292" s="56"/>
      <c r="AM292" s="47"/>
      <c r="AN292" s="18" t="s">
        <v>39</v>
      </c>
      <c r="AO292" s="131" t="s">
        <v>40</v>
      </c>
      <c r="AP292" s="58" t="str">
        <f t="shared" si="6"/>
        <v>OCTAN plus s.r.o. ochrana a bezpecnost, odevy a obuv, &amp;#32vsetky kategorie  925 03 Horne Saliby Na zaklade dlhorocnych skusenosti a odbornych znalosti sme schopni nasim zakaznikom poskytnut komplexne riesenie v oblasti OOPP, co zahrna aj sitie pracovnych odevov na mieru - rozne strihove a farebne riesenia, oznacenie firemnym logom; ponukame odevne doplnky a ostatne OOPP + reklamne predmety. Pouzivame rozne strihy a vela druhov materialu.  V oblasti ochrany pri praci posobime uz od roku 1992. Pouzivanim kvalitnych materialov, pohodlnych strihov a kvalitnych doplnkov uspokojujeme poziadavky odberatelov. Pouzivame rozne strihy a vela druhov materialu.   Spolocnosti Octan plus s.r.o. bol v juni 2021 priznany statut registrovaneho socialneho podniku.
Znamena to, ze v Octane podporujeme zamestnanost zdravotne znevyhodnenych a zranitelnych osob.  OCTAN plus s.r.o. Vyroba pracovnych odevov a doplnkov na mieru. pracovne odevy, specialne odevy, potlac, vysivka, OOPP, sitie,           Register partnerov VS</v>
      </c>
      <c r="AQ292" s="37"/>
    </row>
    <row r="293" ht="15.75" customHeight="1">
      <c r="A293" s="43"/>
      <c r="B293" s="59">
        <v>318.0</v>
      </c>
      <c r="C293" s="75" t="s">
        <v>3275</v>
      </c>
      <c r="D293" s="42" t="s">
        <v>218</v>
      </c>
      <c r="E293" s="38" t="str">
        <f t="shared" si="1"/>
        <v>Košický kraj, &amp;#32celé Slovensko</v>
      </c>
      <c r="F293" s="42" t="s">
        <v>3276</v>
      </c>
      <c r="G293" s="38" t="str">
        <f t="shared" si="2"/>
        <v>ubytovacie a stravovacie služby, účtovníctvo a poradenstvo, &amp;#32všetky kategórie</v>
      </c>
      <c r="H293" s="42" t="s">
        <v>96</v>
      </c>
      <c r="I293" s="43" t="str">
        <f t="shared" si="3"/>
        <v>6 - 10, &amp;#32všetky možnosti</v>
      </c>
      <c r="J293" s="44" t="str">
        <f t="shared" si="7"/>
        <v>,Register partnerov VS,Náhradné plnenie</v>
      </c>
      <c r="K293" s="45">
        <f t="shared" si="5"/>
        <v>25334.84466</v>
      </c>
      <c r="L293" s="43"/>
      <c r="M293" s="43" t="str">
        <f>IFERROR(__xludf.DUMMYFUNCTION("SPLIT(O293,"","")"),"Narcisová 410/5/A")</f>
        <v>Narcisová 410/5/A</v>
      </c>
      <c r="N293" s="43" t="str">
        <f>IFERROR(__xludf.DUMMYFUNCTION("""COMPUTED_VALUE""")," 040 11 Košice")</f>
        <v> 040 11 Košice</v>
      </c>
      <c r="O293" s="42" t="s">
        <v>3277</v>
      </c>
      <c r="P293" s="43">
        <v>48.7089092999999</v>
      </c>
      <c r="Q293" s="43">
        <v>21.2394085</v>
      </c>
      <c r="R293" s="56" t="s">
        <v>3278</v>
      </c>
      <c r="S293" s="112" t="s">
        <v>3279</v>
      </c>
      <c r="T293" s="126" t="s">
        <v>86</v>
      </c>
      <c r="U293" s="135" t="s">
        <v>3280</v>
      </c>
      <c r="V293" s="129" t="s">
        <v>3281</v>
      </c>
      <c r="W293" s="34" t="s">
        <v>3282</v>
      </c>
      <c r="X293" s="54" t="s">
        <v>3283</v>
      </c>
      <c r="Y293" s="110" t="s">
        <v>3284</v>
      </c>
      <c r="Z293" s="108" t="s">
        <v>3285</v>
      </c>
      <c r="AA293" s="109" t="s">
        <v>64</v>
      </c>
      <c r="AB293" s="55"/>
      <c r="AC293" s="56"/>
      <c r="AD293" s="56"/>
      <c r="AE293" s="55"/>
      <c r="AF293" s="55"/>
      <c r="AG293" s="56"/>
      <c r="AH293" s="56"/>
      <c r="AI293" s="55"/>
      <c r="AJ293" s="55"/>
      <c r="AK293" s="56"/>
      <c r="AL293" s="56"/>
      <c r="AM293" s="47"/>
      <c r="AN293" s="18" t="s">
        <v>39</v>
      </c>
      <c r="AO293" s="131" t="s">
        <v>40</v>
      </c>
      <c r="AP293" s="58" t="str">
        <f t="shared" si="6"/>
        <v>Centrala s. r. o. ubytovacie a stravovacie sluzby, uctovnictvo a poradenstvo, &amp;#32vsetky kategorie  040 11 Kosice Ponukame uctovne a administrativne sluzby, spracovanie a vedenie projektov, konzultacnu cinnost, prenajom apartmanoveho ubytovania, nahradne plnenie. Pozitivny socialny vplyv dosahujeme percentom zamestnavania znevyhodnenych a zranitelnych zamestnancov. Centrala s.r.o. Spracovanie uctovnictva, miezd, dani, dph, spracovanie a vedenie projektov, konzultacna cinnost, ubytovacie sluzby. uctovnictvo, dane, projekty, ubytovanie, administrativne sluzby, nahradne plnenie,            Register partnerov VS</v>
      </c>
      <c r="AQ293" s="37"/>
    </row>
    <row r="294" ht="15.75" customHeight="1">
      <c r="A294" s="43"/>
      <c r="B294" s="59">
        <v>319.0</v>
      </c>
      <c r="C294" s="75" t="s">
        <v>3286</v>
      </c>
      <c r="D294" s="42" t="s">
        <v>134</v>
      </c>
      <c r="E294" s="38" t="str">
        <f t="shared" si="1"/>
        <v>Trenčiansky kraj, &amp;#32celé Slovensko</v>
      </c>
      <c r="F294" s="42" t="s">
        <v>473</v>
      </c>
      <c r="G294" s="38" t="str">
        <f t="shared" si="2"/>
        <v>auto-moto, &amp;#32všetky kategórie</v>
      </c>
      <c r="H294" s="42" t="s">
        <v>53</v>
      </c>
      <c r="I294" s="43" t="str">
        <f t="shared" si="3"/>
        <v>1 - 5, &amp;#32všetky možnosti</v>
      </c>
      <c r="J294" s="44" t="str">
        <f t="shared" si="7"/>
        <v>,,Náhradné plnenie</v>
      </c>
      <c r="K294" s="45">
        <f t="shared" si="5"/>
        <v>39673.25764</v>
      </c>
      <c r="L294" s="43"/>
      <c r="M294" s="43" t="str">
        <f>IFERROR(__xludf.DUMMYFUNCTION("SPLIT(O294,"","")"),"Morovnianska cesta 1723/2")</f>
        <v>Morovnianska cesta 1723/2</v>
      </c>
      <c r="N294" s="43" t="str">
        <f>IFERROR(__xludf.DUMMYFUNCTION("""COMPUTED_VALUE""")," 972 51 Handlová")</f>
        <v> 972 51 Handlová</v>
      </c>
      <c r="O294" s="42" t="s">
        <v>3287</v>
      </c>
      <c r="P294" s="43">
        <v>48.7362438</v>
      </c>
      <c r="Q294" s="43">
        <v>18.7556875</v>
      </c>
      <c r="R294" s="56" t="s">
        <v>3288</v>
      </c>
      <c r="S294" s="125" t="s">
        <v>3289</v>
      </c>
      <c r="T294" s="126" t="s">
        <v>86</v>
      </c>
      <c r="U294" s="135" t="s">
        <v>3290</v>
      </c>
      <c r="V294" s="129" t="s">
        <v>3291</v>
      </c>
      <c r="W294" s="34" t="s">
        <v>3292</v>
      </c>
      <c r="X294" s="54" t="s">
        <v>3286</v>
      </c>
      <c r="Y294" s="110" t="s">
        <v>3293</v>
      </c>
      <c r="Z294" s="108" t="s">
        <v>3294</v>
      </c>
      <c r="AA294" s="109" t="s">
        <v>64</v>
      </c>
      <c r="AB294" s="55"/>
      <c r="AC294" s="56"/>
      <c r="AD294" s="56"/>
      <c r="AE294" s="55"/>
      <c r="AF294" s="55"/>
      <c r="AG294" s="56"/>
      <c r="AH294" s="56"/>
      <c r="AI294" s="55"/>
      <c r="AJ294" s="55"/>
      <c r="AK294" s="56"/>
      <c r="AL294" s="56"/>
      <c r="AM294" s="34"/>
      <c r="AN294" s="34"/>
      <c r="AO294" s="131" t="s">
        <v>40</v>
      </c>
      <c r="AP294" s="58" t="str">
        <f t="shared" si="6"/>
        <v>Autodiely OMEGA, s.r.o. auto-moto, &amp;#32vsetky kategorie  972 51 Handlova Maloobchod a velkoobchod s nahradnymi dielmi a doplnkovym tovarom na motorove vozidla pre firmy a koncovych zakaznikov. Ako pozitivny spolocensky dopad vnimame moznost dat pracu zdravotne znevyhodnenym zamestnancom. V pripade dosahovania zisku tento chceme v plnej miere vyuzit na zlepsenie pracovneho prostredia, na regeneraciu pracovnej sily, na nakup novych technickych zariadeni, ktore ulahcia zamestnancom pracu a zvysia jej produktivitu. Autodiely OMEGA, s.r.o. Nahradne diely a doplnkovy tovar na motorove vozidla. nahradne diely, doplnkovy tovar na motorove vozidla, auto-moto           </v>
      </c>
      <c r="AQ294" s="37"/>
    </row>
    <row r="295" ht="15.75" customHeight="1">
      <c r="A295" s="43"/>
      <c r="B295" s="59">
        <v>321.0</v>
      </c>
      <c r="C295" s="75" t="s">
        <v>3295</v>
      </c>
      <c r="D295" s="42" t="s">
        <v>66</v>
      </c>
      <c r="E295" s="38" t="str">
        <f t="shared" si="1"/>
        <v>Žilinský kraj, &amp;#32celé Slovensko</v>
      </c>
      <c r="F295" s="42" t="s">
        <v>2526</v>
      </c>
      <c r="G295" s="38" t="str">
        <f t="shared" si="2"/>
        <v>účtovníctvo a poradenstvo, iné (tovary a služby), &amp;#32všetky kategórie</v>
      </c>
      <c r="H295" s="42" t="s">
        <v>96</v>
      </c>
      <c r="I295" s="43" t="str">
        <f t="shared" si="3"/>
        <v>6 - 10, &amp;#32všetky možnosti</v>
      </c>
      <c r="J295" s="44" t="str">
        <f t="shared" si="7"/>
        <v>,Register partnerov VS,</v>
      </c>
      <c r="K295" s="45">
        <f t="shared" si="5"/>
        <v>521.5215333</v>
      </c>
      <c r="L295" s="43"/>
      <c r="M295" s="43" t="str">
        <f>IFERROR(__xludf.DUMMYFUNCTION("SPLIT(O295,"","")"),"Trnavská 1355/7")</f>
        <v>Trnavská 1355/7</v>
      </c>
      <c r="N295" s="43" t="str">
        <f>IFERROR(__xludf.DUMMYFUNCTION("""COMPUTED_VALUE""")," 010 08 Žilina")</f>
        <v> 010 08 Žilina</v>
      </c>
      <c r="O295" s="42" t="s">
        <v>3296</v>
      </c>
      <c r="P295" s="43">
        <v>49.2061661</v>
      </c>
      <c r="Q295" s="43">
        <v>18.7646476</v>
      </c>
      <c r="R295" s="53" t="s">
        <v>3297</v>
      </c>
      <c r="S295" s="138" t="s">
        <v>3298</v>
      </c>
      <c r="T295" s="139" t="s">
        <v>86</v>
      </c>
      <c r="U295" s="140" t="s">
        <v>3299</v>
      </c>
      <c r="V295" s="129" t="s">
        <v>3300</v>
      </c>
      <c r="W295" s="138" t="s">
        <v>3301</v>
      </c>
      <c r="X295" s="138" t="s">
        <v>3295</v>
      </c>
      <c r="Y295" s="110" t="s">
        <v>3302</v>
      </c>
      <c r="Z295" s="108" t="s">
        <v>3303</v>
      </c>
      <c r="AA295" s="109" t="s">
        <v>64</v>
      </c>
      <c r="AB295" s="55"/>
      <c r="AC295" s="56"/>
      <c r="AD295" s="56"/>
      <c r="AE295" s="55"/>
      <c r="AF295" s="55"/>
      <c r="AG295" s="56"/>
      <c r="AH295" s="56"/>
      <c r="AI295" s="55"/>
      <c r="AJ295" s="55"/>
      <c r="AK295" s="56"/>
      <c r="AL295" s="56"/>
      <c r="AM295" s="47"/>
      <c r="AN295" s="18" t="s">
        <v>39</v>
      </c>
      <c r="AO295" s="130"/>
      <c r="AP295" s="58" t="str">
        <f t="shared" si="6"/>
        <v>Projman s.r.o. uctovnictvo a poradenstvo, ine (tovary a sluzby), &amp;#32vsetky kategorie  010 08 Zilina Sme spolocnost, ktora poskytuje sluzby v oblasti ziskavania grantov a dotacii, pripravy a riadenia projektov, poskytovania administrativnych sluzieb a tvorby strategickych dokumentov. Nasimi zakaznikmi su spolocnosti, ktore chcu ziskat grant, potrebuju pomoct s realizaciou projektu alebo nemaju dostatocne administrativne kapacity.  Cielom nasho podnikania nie je maximalizacia zisku, ktory sa rozdeluje medzi individualnych vlastnikov, ale poskytovanie spolocensky prospesnych sluzieb.
Znevyhodnenym zamestnancom davame moznost na sebarealizaciu. Vdaka tomu sa popri zamestnani zapajaju do bezneho zivota. Projman s.r.o. Poskytujeme poradenske a administrativne sluzby dotacie, granty, administrativne sluzby, poradenstvo,           Register partnerov VS</v>
      </c>
      <c r="AQ295" s="37"/>
    </row>
    <row r="296" ht="15.75" customHeight="1">
      <c r="A296" s="43"/>
      <c r="B296" s="59">
        <v>322.0</v>
      </c>
      <c r="C296" s="75" t="s">
        <v>3304</v>
      </c>
      <c r="D296" s="42" t="s">
        <v>134</v>
      </c>
      <c r="E296" s="38" t="str">
        <f t="shared" si="1"/>
        <v>Trenčiansky kraj, &amp;#32celé Slovensko</v>
      </c>
      <c r="F296" s="80" t="s">
        <v>3305</v>
      </c>
      <c r="G296" s="38" t="str">
        <f t="shared" si="2"/>
        <v>odpady a recyklácia, dom a záhrada, doprava, iné (tovary a služby), &amp;#32všetky kategórie</v>
      </c>
      <c r="H296" s="42" t="s">
        <v>170</v>
      </c>
      <c r="I296" s="43" t="str">
        <f t="shared" si="3"/>
        <v>21 a viac, &amp;#32všetky možnosti</v>
      </c>
      <c r="J296" s="44" t="str">
        <f t="shared" si="7"/>
        <v>,Register partnerov VS,</v>
      </c>
      <c r="K296" s="45">
        <f t="shared" si="5"/>
        <v>21244.40982</v>
      </c>
      <c r="L296" s="43"/>
      <c r="M296" s="43" t="str">
        <f>IFERROR(__xludf.DUMMYFUNCTION("SPLIT(O296,"","")"),"Nádražná 4007")</f>
        <v>Nádražná 4007</v>
      </c>
      <c r="N296" s="43" t="str">
        <f>IFERROR(__xludf.DUMMYFUNCTION("""COMPUTED_VALUE""")," 018 41 Dubnica nad Váhom")</f>
        <v> 018 41 Dubnica nad Váhom</v>
      </c>
      <c r="O296" s="42" t="s">
        <v>3306</v>
      </c>
      <c r="P296" s="43">
        <v>48.9709718</v>
      </c>
      <c r="Q296" s="43">
        <v>18.1817311</v>
      </c>
      <c r="R296" s="53" t="s">
        <v>3307</v>
      </c>
      <c r="S296" s="55" t="s">
        <v>1602</v>
      </c>
      <c r="T296" s="141" t="s">
        <v>3308</v>
      </c>
      <c r="U296" s="140" t="s">
        <v>3309</v>
      </c>
      <c r="V296" s="134" t="s">
        <v>3310</v>
      </c>
      <c r="W296" s="138" t="s">
        <v>3311</v>
      </c>
      <c r="X296" s="138" t="s">
        <v>3312</v>
      </c>
      <c r="Y296" s="110" t="s">
        <v>3313</v>
      </c>
      <c r="Z296" s="108" t="s">
        <v>3314</v>
      </c>
      <c r="AA296" s="142" t="s">
        <v>64</v>
      </c>
      <c r="AB296" s="55"/>
      <c r="AC296" s="56"/>
      <c r="AD296" s="56"/>
      <c r="AE296" s="55"/>
      <c r="AF296" s="55"/>
      <c r="AG296" s="56"/>
      <c r="AH296" s="56"/>
      <c r="AI296" s="55"/>
      <c r="AJ296" s="55"/>
      <c r="AK296" s="56"/>
      <c r="AL296" s="56"/>
      <c r="AM296" s="47"/>
      <c r="AN296" s="18" t="s">
        <v>39</v>
      </c>
      <c r="AO296" s="143"/>
      <c r="AP296" s="58" t="str">
        <f t="shared" si="6"/>
        <v>TSM Dubnica nad Vahom, s.r.o. odpady a recyklacia, dom a zahrada, doprava, ine (tovary a sluzby), &amp;#32vsetky kategorie  018 41 Dubnica nad Vahom Hlavnymi cinnostami spolocnosti su zimna a letna udrzba vozoviek, komunikacii, udrzba zelene, vnutrostatna cestna nakladna doprava, triedenie a zber komunalneho a separovaneho odpadu. Zamestnavanie znevyhodnenych a zranitelnych osob. TSM Dubnica nad Vahom, s.r.o., r.s.p. Udrzba verejnej zelene, odpadove hospodarstvo odpady, zelen, kosenie, doprava           Register partnerov VS</v>
      </c>
      <c r="AQ296" s="37"/>
    </row>
    <row r="297" ht="15.75" customHeight="1">
      <c r="A297" s="43"/>
      <c r="B297" s="59">
        <v>324.0</v>
      </c>
      <c r="C297" s="75" t="s">
        <v>3315</v>
      </c>
      <c r="D297" s="42" t="s">
        <v>229</v>
      </c>
      <c r="E297" s="38" t="str">
        <f t="shared" si="1"/>
        <v>Nitriansky kraj, &amp;#32celé Slovensko</v>
      </c>
      <c r="F297" s="42" t="s">
        <v>3316</v>
      </c>
      <c r="G297" s="38" t="str">
        <f t="shared" si="2"/>
        <v>elektro, iné (tovary a služby), &amp;#32všetky kategórie</v>
      </c>
      <c r="H297" s="42" t="s">
        <v>96</v>
      </c>
      <c r="I297" s="43" t="str">
        <f t="shared" si="3"/>
        <v>6 - 10, &amp;#32všetky možnosti</v>
      </c>
      <c r="J297" s="44" t="str">
        <f t="shared" si="7"/>
        <v>,,</v>
      </c>
      <c r="K297" s="45">
        <f t="shared" si="5"/>
        <v>45643.63437</v>
      </c>
      <c r="L297" s="43"/>
      <c r="M297" s="43" t="str">
        <f>IFERROR(__xludf.DUMMYFUNCTION("SPLIT(O297,"","")"),"Hradná 577/35")</f>
        <v>Hradná 577/35</v>
      </c>
      <c r="N297" s="43" t="str">
        <f>IFERROR(__xludf.DUMMYFUNCTION("""COMPUTED_VALUE""")," 946 51 Nesvady")</f>
        <v> 946 51 Nesvady</v>
      </c>
      <c r="O297" s="42" t="s">
        <v>3317</v>
      </c>
      <c r="P297" s="43">
        <v>47.9298703</v>
      </c>
      <c r="Q297" s="43">
        <v>18.1135046</v>
      </c>
      <c r="R297" s="53" t="s">
        <v>3318</v>
      </c>
      <c r="S297" s="55" t="s">
        <v>3319</v>
      </c>
      <c r="T297" s="144" t="s">
        <v>3320</v>
      </c>
      <c r="U297" s="140" t="s">
        <v>3321</v>
      </c>
      <c r="V297" s="129" t="s">
        <v>3322</v>
      </c>
      <c r="W297" s="55" t="s">
        <v>3323</v>
      </c>
      <c r="X297" s="55" t="s">
        <v>3324</v>
      </c>
      <c r="Y297" s="110" t="s">
        <v>3325</v>
      </c>
      <c r="Z297" s="108" t="s">
        <v>3326</v>
      </c>
      <c r="AA297" s="52" t="s">
        <v>64</v>
      </c>
      <c r="AB297" s="55"/>
      <c r="AC297" s="56"/>
      <c r="AD297" s="56"/>
      <c r="AE297" s="55"/>
      <c r="AF297" s="55"/>
      <c r="AG297" s="56"/>
      <c r="AH297" s="56"/>
      <c r="AI297" s="55"/>
      <c r="AJ297" s="55"/>
      <c r="AK297" s="56"/>
      <c r="AL297" s="56"/>
      <c r="AM297" s="47"/>
      <c r="AN297" s="34"/>
      <c r="AO297" s="143"/>
      <c r="AP297" s="145" t="str">
        <f t="shared" si="6"/>
        <v>KM Equipment s.r.o. r.s.p. elektro, ine (tovary a sluzby), &amp;#32vsetky kategorie  946 51 Nesvady Sme vyrobno obchodna spolocnost zamerana na vyvoj a vyrobu dielenskych indukcnych ohrevov.  Zamestnavame znevyhodnene osoby a etablujeme ich do pracovneho procesu. KM Equipment Vyroba indukcnych ohrevov. Sklad a maloobchodna predajna zvaracej techniky a specialneho vybavenia pre zvaracov indukcny ohrev, cievky, zvaracia technika, elektrody, zvaracie droty, maloobchod, vyroba, zahranicny obchod           </v>
      </c>
      <c r="AQ297" s="37"/>
    </row>
    <row r="298" ht="15.75" customHeight="1">
      <c r="A298" s="43"/>
      <c r="B298" s="59">
        <v>325.0</v>
      </c>
      <c r="C298" s="75" t="s">
        <v>3327</v>
      </c>
      <c r="D298" s="42" t="s">
        <v>181</v>
      </c>
      <c r="E298" s="38" t="str">
        <f t="shared" si="1"/>
        <v>Banskobystrický kraj, &amp;#32celé Slovensko</v>
      </c>
      <c r="F298" s="42" t="s">
        <v>3328</v>
      </c>
      <c r="G298" s="38" t="str">
        <f t="shared" si="2"/>
        <v>stavebníctvo, nábytok a bytové doplnky, iné (tovary a služby), &amp;#32všetky kategórie</v>
      </c>
      <c r="H298" s="42" t="s">
        <v>53</v>
      </c>
      <c r="I298" s="43" t="str">
        <f t="shared" si="3"/>
        <v>1 - 5, &amp;#32všetky možnosti</v>
      </c>
      <c r="J298" s="44" t="str">
        <f t="shared" si="7"/>
        <v>,,</v>
      </c>
      <c r="K298" s="45">
        <f t="shared" si="5"/>
        <v>49.03981434</v>
      </c>
      <c r="L298" s="43"/>
      <c r="M298" s="43" t="str">
        <f>IFERROR(__xludf.DUMMYFUNCTION("SPLIT(O298,"","")"),"M. R. Štefánika 14")</f>
        <v>M. R. Štefánika 14</v>
      </c>
      <c r="N298" s="43" t="str">
        <f>IFERROR(__xludf.DUMMYFUNCTION("""COMPUTED_VALUE""")," 990 01 Veľký Krtíš")</f>
        <v> 990 01 Veľký Krtíš</v>
      </c>
      <c r="O298" s="42" t="s">
        <v>3329</v>
      </c>
      <c r="P298" s="43">
        <v>48.2058347</v>
      </c>
      <c r="Q298" s="43">
        <v>19.3495793</v>
      </c>
      <c r="R298" s="53" t="s">
        <v>3330</v>
      </c>
      <c r="S298" s="55" t="s">
        <v>3331</v>
      </c>
      <c r="T298" s="141" t="s">
        <v>3332</v>
      </c>
      <c r="U298" s="140" t="s">
        <v>3333</v>
      </c>
      <c r="V298" s="129" t="s">
        <v>3334</v>
      </c>
      <c r="W298" s="55" t="s">
        <v>3335</v>
      </c>
      <c r="X298" s="55" t="s">
        <v>3327</v>
      </c>
      <c r="Y298" s="110" t="s">
        <v>3336</v>
      </c>
      <c r="Z298" s="108" t="s">
        <v>3337</v>
      </c>
      <c r="AA298" s="52" t="s">
        <v>64</v>
      </c>
      <c r="AB298" s="55"/>
      <c r="AC298" s="56"/>
      <c r="AD298" s="56"/>
      <c r="AE298" s="55"/>
      <c r="AF298" s="55"/>
      <c r="AG298" s="56"/>
      <c r="AH298" s="56"/>
      <c r="AI298" s="55"/>
      <c r="AJ298" s="55"/>
      <c r="AK298" s="56"/>
      <c r="AL298" s="56"/>
      <c r="AM298" s="47"/>
      <c r="AN298" s="34"/>
      <c r="AO298" s="143"/>
      <c r="AP298" s="145" t="str">
        <f t="shared" si="6"/>
        <v>SILVANIA s.r.o, R.S.P stavebnictvo, nabytok a bytove doplnky, ine (tovary a sluzby), &amp;#32vsetky kategorie  990 01 Velky Krtis Vyroba a predaj bezpecnostnych dveri, predaj interierovych dveri, podlah rozneho druhu a plastovych okien. Realizujeme tiez montaz dveri, okien a podlah. Maloobchod a velkoobchod. Zamestnavame zdravotne znevyhodnenych ludi a tym pozitivne vplyvame na zamestnanost v okrese. SILVANIA s.r.o, R.S.P Na nasej prevadzke ponukame siroky sortiment dveri, okien a podlah. Realizujeme tiez vsetky sluzby s tym spojene. Dvere, okna, podlahy, montaz           </v>
      </c>
      <c r="AQ298" s="37"/>
    </row>
    <row r="299" ht="15.75" customHeight="1">
      <c r="A299" s="43"/>
      <c r="B299" s="59">
        <v>326.0</v>
      </c>
      <c r="C299" s="75" t="s">
        <v>3338</v>
      </c>
      <c r="D299" s="42" t="s">
        <v>134</v>
      </c>
      <c r="E299" s="38" t="str">
        <f t="shared" si="1"/>
        <v>Trenčiansky kraj, &amp;#32celé Slovensko</v>
      </c>
      <c r="F299" s="42" t="s">
        <v>911</v>
      </c>
      <c r="G299" s="38" t="str">
        <f t="shared" si="2"/>
        <v>krása-zdravie-relax, &amp;#32všetky kategórie</v>
      </c>
      <c r="H299" s="42" t="s">
        <v>53</v>
      </c>
      <c r="I299" s="43" t="str">
        <f t="shared" si="3"/>
        <v>1 - 5, &amp;#32všetky možnosti</v>
      </c>
      <c r="J299" s="44" t="str">
        <f t="shared" si="7"/>
        <v>,,</v>
      </c>
      <c r="K299" s="45">
        <f t="shared" si="5"/>
        <v>5276.246579</v>
      </c>
      <c r="L299" s="43"/>
      <c r="M299" s="43" t="str">
        <f>IFERROR(__xludf.DUMMYFUNCTION("SPLIT(O299,"","")"),"J. Siváka 145/1")</f>
        <v>J. Siváka 145/1</v>
      </c>
      <c r="N299" s="43" t="str">
        <f>IFERROR(__xludf.DUMMYFUNCTION("""COMPUTED_VALUE""")," 971 01 Prievidza")</f>
        <v> 971 01 Prievidza</v>
      </c>
      <c r="O299" s="42" t="s">
        <v>3339</v>
      </c>
      <c r="P299" s="43">
        <v>48.7708491</v>
      </c>
      <c r="Q299" s="43">
        <v>18.602532</v>
      </c>
      <c r="R299" s="53" t="s">
        <v>3340</v>
      </c>
      <c r="S299" s="138" t="s">
        <v>261</v>
      </c>
      <c r="T299" s="146" t="s">
        <v>86</v>
      </c>
      <c r="U299" s="140" t="s">
        <v>3341</v>
      </c>
      <c r="V299" s="129" t="s">
        <v>3342</v>
      </c>
      <c r="W299" s="55" t="s">
        <v>3343</v>
      </c>
      <c r="X299" s="55" t="s">
        <v>3338</v>
      </c>
      <c r="Y299" s="137" t="s">
        <v>3344</v>
      </c>
      <c r="Z299" s="108" t="s">
        <v>3345</v>
      </c>
      <c r="AA299" s="52" t="s">
        <v>64</v>
      </c>
      <c r="AB299" s="55"/>
      <c r="AC299" s="56"/>
      <c r="AD299" s="56"/>
      <c r="AE299" s="55"/>
      <c r="AF299" s="55"/>
      <c r="AG299" s="56"/>
      <c r="AH299" s="56"/>
      <c r="AI299" s="55"/>
      <c r="AJ299" s="55"/>
      <c r="AK299" s="56"/>
      <c r="AL299" s="56"/>
      <c r="AM299" s="47"/>
      <c r="AN299" s="34"/>
      <c r="AO299" s="143"/>
      <c r="AP299" s="145" t="str">
        <f t="shared" si="6"/>
        <v>x pain clinic relax s.r.o. krasa-zdravie-relax, &amp;#32vsetky kategorie  971 01 Prievidza Ponukame masazne a relaxacne sluzby. Venujeme sa starostlivosti o telo. Zamestnavanim zdravotne znevyhodnenych osob. x pain clinic relax s.r.o. Relax, masaz, starostlivost o telo masaz, starostlivost o telo, zdravie           </v>
      </c>
      <c r="AQ299" s="37"/>
    </row>
    <row r="300" ht="15.75" customHeight="1">
      <c r="A300" s="43"/>
      <c r="B300" s="59">
        <v>327.0</v>
      </c>
      <c r="C300" s="75" t="s">
        <v>3346</v>
      </c>
      <c r="D300" s="42" t="s">
        <v>51</v>
      </c>
      <c r="E300" s="38" t="str">
        <f t="shared" si="1"/>
        <v>Prešovský kraj, &amp;#32celé Slovensko</v>
      </c>
      <c r="F300" s="42" t="s">
        <v>723</v>
      </c>
      <c r="G300" s="38" t="str">
        <f t="shared" si="2"/>
        <v>čistiace a upratovacie služby, &amp;#32všetky kategórie</v>
      </c>
      <c r="H300" s="42" t="s">
        <v>82</v>
      </c>
      <c r="I300" s="43" t="str">
        <f t="shared" si="3"/>
        <v>11 - 15, &amp;#32všetky možnosti</v>
      </c>
      <c r="J300" s="44" t="str">
        <f t="shared" si="7"/>
        <v>,,Náhradné plnenie</v>
      </c>
      <c r="K300" s="45">
        <f t="shared" si="5"/>
        <v>12108.65053</v>
      </c>
      <c r="L300" s="43"/>
      <c r="M300" s="43" t="str">
        <f>IFERROR(__xludf.DUMMYFUNCTION("SPLIT(O300,"","")"),"Domašská 670/4")</f>
        <v>Domašská 670/4</v>
      </c>
      <c r="N300" s="43" t="str">
        <f>IFERROR(__xludf.DUMMYFUNCTION("""COMPUTED_VALUE""")," 093 02 Vranov nad Topľou")</f>
        <v> 093 02 Vranov nad Topľou</v>
      </c>
      <c r="O300" s="42" t="s">
        <v>3347</v>
      </c>
      <c r="P300" s="43">
        <v>48.8717417</v>
      </c>
      <c r="Q300" s="43">
        <v>21.711573</v>
      </c>
      <c r="R300" s="56" t="s">
        <v>3348</v>
      </c>
      <c r="S300" s="85" t="s">
        <v>3349</v>
      </c>
      <c r="T300" s="141" t="s">
        <v>86</v>
      </c>
      <c r="U300" s="140" t="s">
        <v>3350</v>
      </c>
      <c r="V300" s="147" t="s">
        <v>3351</v>
      </c>
      <c r="W300" s="55" t="s">
        <v>3352</v>
      </c>
      <c r="X300" s="55" t="s">
        <v>3346</v>
      </c>
      <c r="Y300" s="110" t="s">
        <v>3353</v>
      </c>
      <c r="Z300" s="108" t="s">
        <v>3354</v>
      </c>
      <c r="AA300" s="52" t="s">
        <v>64</v>
      </c>
      <c r="AB300" s="55"/>
      <c r="AC300" s="56"/>
      <c r="AD300" s="56"/>
      <c r="AE300" s="55"/>
      <c r="AF300" s="55"/>
      <c r="AG300" s="56"/>
      <c r="AH300" s="56"/>
      <c r="AI300" s="55"/>
      <c r="AJ300" s="55"/>
      <c r="AK300" s="56"/>
      <c r="AL300" s="56"/>
      <c r="AM300" s="55"/>
      <c r="AN300" s="55"/>
      <c r="AO300" s="131" t="s">
        <v>40</v>
      </c>
      <c r="AP300" s="145" t="str">
        <f t="shared" si="6"/>
        <v>PROTEKTA, s.r.o. r.s.p. cistiace a upratovacie sluzby, &amp;#32vsetky kategorie  093 02 Vranov nad Toplou Ponukame sluzby upratovania domacnosti, firiem, kancelarii, multifunkcnych budov a inych priestorov. Vykonavame jednorazove alebo pravidelne upratovanie. 
Kazdy priestor je specificky a potreby nasich zakaznikov su rozne, preto pi poskytovani upratovacich sluzieb pristupujeme ku kazdemu klientovi individualne. 
Nasou snahou je, aby ste boli spokojnymi zakaznikmi a vazime si Vasu podporu.
 Na zaklade zaujmu o rozvoj regionu vznikla myslienka zalozit socialny podnik, ktory bude zamestnavat zamestnancov s roznymi druhmi znevyhodnenia a tak prispievat k znizovaniu nezamestnanosti v regione.
Pomahame integracii znevyhodnenych skupin zamestnancov na trh prace, tak aby svoje nadobudnute skusenosti z praxe mohli vyuzit v dalsom zamestnani. Ponukame aj moznost mladym ludom zamestnat sa, aby z regionu neodchadzali a zostali tu pracovat a zit.
Poskytujeme pracu znevyhodnenym osobam a ludom so zdravotnym postihnutim preto, ze aj napriek svojim “obmedzeniam” ci nedostatocnym pracovnym skusenostiam su plnohodnotnymi a rovnocennymi obcanmi. 
V ich zivote zohrava velmi dolezitu ulohu praca, kedze prave vdaka nej ziskavaju prakticke skusenosti, pocit sebarealizacie a uzitocnosti pre spolocnost.
 PROTEKTA, s.r.o. r.s.p. Poskytujeme jednorazove alebo pravidelne upratovanie roznych priestorov a lokalit: - domacnosti a nebytovych priestorov - bytov a domov - predajni a firemnych priestorov - komplexne umyvanie okien a vykladov - kosenie travnatych porastov - udrzba chodnikov v zimnych mesiacoch. upratovanie bytovych priestorov a medziposchodi,  upratovanie bytov a domov,  upratovanie predajni a firemnych priestorov, umyvanie okien a vykladov,  kosenie travnatych porasto,v  udrzba chodnikov ,           </v>
      </c>
      <c r="AQ300" s="37"/>
    </row>
    <row r="301" ht="15.75" customHeight="1">
      <c r="A301" s="43"/>
      <c r="B301" s="59">
        <v>328.0</v>
      </c>
      <c r="C301" s="75" t="s">
        <v>3355</v>
      </c>
      <c r="D301" s="42" t="s">
        <v>181</v>
      </c>
      <c r="E301" s="38" t="str">
        <f t="shared" si="1"/>
        <v>Banskobystrický kraj, &amp;#32celé Slovensko</v>
      </c>
      <c r="F301" s="42" t="s">
        <v>3356</v>
      </c>
      <c r="G301" s="38" t="str">
        <f t="shared" si="2"/>
        <v>čistiace a upratovacie služby, dom a záhrada, cestovný ruch, odpady a recyklácia, &amp;#32všetky kategórie</v>
      </c>
      <c r="H301" s="42" t="s">
        <v>53</v>
      </c>
      <c r="I301" s="43" t="str">
        <f t="shared" si="3"/>
        <v>1 - 5, &amp;#32všetky možnosti</v>
      </c>
      <c r="J301" s="44" t="str">
        <f t="shared" si="7"/>
        <v>Servisné poukážky,,Náhradné plnenie</v>
      </c>
      <c r="K301" s="45">
        <f t="shared" si="5"/>
        <v>42904.68932</v>
      </c>
      <c r="L301" s="43"/>
      <c r="M301" s="43" t="str">
        <f>IFERROR(__xludf.DUMMYFUNCTION("SPLIT(O301,"","")"),"SNP 711/23")</f>
        <v>SNP 711/23</v>
      </c>
      <c r="N301" s="43" t="str">
        <f>IFERROR(__xludf.DUMMYFUNCTION("""COMPUTED_VALUE""")," 990 01 Veľký Krtíš")</f>
        <v> 990 01 Veľký Krtíš</v>
      </c>
      <c r="O301" s="42" t="s">
        <v>3357</v>
      </c>
      <c r="P301" s="43">
        <v>48.2074581</v>
      </c>
      <c r="Q301" s="43">
        <v>19.349425</v>
      </c>
      <c r="R301" s="148" t="s">
        <v>3358</v>
      </c>
      <c r="S301" s="149" t="s">
        <v>3359</v>
      </c>
      <c r="T301" s="150" t="s">
        <v>86</v>
      </c>
      <c r="U301" s="151" t="s">
        <v>3360</v>
      </c>
      <c r="V301" s="152" t="s">
        <v>3361</v>
      </c>
      <c r="W301" s="149" t="s">
        <v>3362</v>
      </c>
      <c r="X301" s="149" t="s">
        <v>3363</v>
      </c>
      <c r="Y301" s="110" t="s">
        <v>3364</v>
      </c>
      <c r="Z301" s="108" t="s">
        <v>3365</v>
      </c>
      <c r="AA301" s="52" t="s">
        <v>64</v>
      </c>
      <c r="AB301" s="55"/>
      <c r="AC301" s="56"/>
      <c r="AD301" s="56"/>
      <c r="AE301" s="55"/>
      <c r="AF301" s="55"/>
      <c r="AG301" s="56"/>
      <c r="AH301" s="56"/>
      <c r="AI301" s="55"/>
      <c r="AJ301" s="55"/>
      <c r="AK301" s="56"/>
      <c r="AL301" s="56"/>
      <c r="AM301" s="153" t="s">
        <v>321</v>
      </c>
      <c r="AN301" s="149"/>
      <c r="AO301" s="131" t="s">
        <v>40</v>
      </c>
      <c r="AP301" s="145" t="str">
        <f t="shared" si="6"/>
        <v>Kvalitne sluzby s.r.o.  cistiace a upratovacie sluzby, dom a zahrada, cestovny ruch, odpady a recyklacia, &amp;#32vsetky kategorie  990 01 Velky Krtis Poskytujeme upratovacie sluzby a davame sancu zdravotne znevyhodnenym na lepsi zivot. Upratujeme: byty, domy, kancelarie, ateliery, atd. Umyjeme vsetko, od okien, cez tepovanie, az po podlahy. 
 Sme firma, ktora zamestnava zdravotne znevyhodnenych ludi (napr. slabo pocujucich). Nasi pracovnici su dokladne vyberani, zaskoleni a pri praci pouzivaju profesionalnu techniku.
Vznikli sme preto, aby sme tymto ludom dali sancu na normalny zivot a cez kvalitne odvedenu pracu burali predsudky voci nim. 
 Kvalitne sluzby s.r.o. - r.s.p. Poskytujeme upratovacie sluzby a davame sancu zdravotne znevyhodnenym na lepsi zivot. upratovanie, upratovanie kancelarii, upratovacie sluzby, zehlenie, cistenie, cistiace prace, tepovanie, umyvanie, umytie, upratovanie ambulancii, upratovacia firma, upratovanie cena, upratovanie firiem Bratislava, upratovanie Velky krtis          Servisne poukazky </v>
      </c>
      <c r="AQ301" s="37"/>
    </row>
    <row r="302" ht="15.75" customHeight="1">
      <c r="A302" s="43"/>
      <c r="B302" s="59">
        <v>329.0</v>
      </c>
      <c r="C302" s="75" t="s">
        <v>3366</v>
      </c>
      <c r="D302" s="42" t="s">
        <v>134</v>
      </c>
      <c r="E302" s="38" t="str">
        <f t="shared" si="1"/>
        <v>Trenčiansky kraj, &amp;#32celé Slovensko</v>
      </c>
      <c r="F302" s="42" t="s">
        <v>3367</v>
      </c>
      <c r="G302" s="38" t="str">
        <f t="shared" si="2"/>
        <v>kultúra a šport, reklama, &amp;#32všetky kategórie</v>
      </c>
      <c r="H302" s="42" t="s">
        <v>96</v>
      </c>
      <c r="I302" s="43" t="str">
        <f t="shared" si="3"/>
        <v>6 - 10, &amp;#32všetky možnosti</v>
      </c>
      <c r="J302" s="44" t="str">
        <f t="shared" si="7"/>
        <v>,Register partnerov VS,</v>
      </c>
      <c r="K302" s="45">
        <f t="shared" si="5"/>
        <v>29429.68084</v>
      </c>
      <c r="L302" s="43"/>
      <c r="M302" s="43" t="str">
        <f>IFERROR(__xludf.DUMMYFUNCTION("SPLIT(O302,"","")"),"Okrajová 964/12")</f>
        <v>Okrajová 964/12</v>
      </c>
      <c r="N302" s="43" t="str">
        <f>IFERROR(__xludf.DUMMYFUNCTION("""COMPUTED_VALUE""")," 972 01 Bojnice")</f>
        <v> 972 01 Bojnice</v>
      </c>
      <c r="O302" s="42" t="s">
        <v>3368</v>
      </c>
      <c r="P302" s="43">
        <v>48.7784605</v>
      </c>
      <c r="Q302" s="43">
        <v>18.5898113</v>
      </c>
      <c r="R302" s="148" t="s">
        <v>3369</v>
      </c>
      <c r="S302" s="149" t="s">
        <v>1315</v>
      </c>
      <c r="T302" s="150" t="s">
        <v>86</v>
      </c>
      <c r="U302" s="151" t="s">
        <v>3370</v>
      </c>
      <c r="V302" s="152" t="s">
        <v>3371</v>
      </c>
      <c r="W302" s="149" t="s">
        <v>3372</v>
      </c>
      <c r="X302" s="149" t="s">
        <v>3366</v>
      </c>
      <c r="Y302" s="110" t="s">
        <v>3373</v>
      </c>
      <c r="Z302" s="108" t="s">
        <v>3374</v>
      </c>
      <c r="AA302" s="52" t="s">
        <v>64</v>
      </c>
      <c r="AB302" s="55"/>
      <c r="AC302" s="56"/>
      <c r="AD302" s="56"/>
      <c r="AE302" s="55"/>
      <c r="AF302" s="55"/>
      <c r="AG302" s="56"/>
      <c r="AH302" s="56"/>
      <c r="AI302" s="55"/>
      <c r="AJ302" s="55"/>
      <c r="AK302" s="56"/>
      <c r="AL302" s="56"/>
      <c r="AM302" s="47"/>
      <c r="AN302" s="154" t="s">
        <v>39</v>
      </c>
      <c r="AO302" s="149"/>
      <c r="AP302" s="145" t="str">
        <f t="shared" si="6"/>
        <v>Radio Bojnice s.r.o. kultura a sport, reklama, &amp;#32vsetky kategorie  972 01 Bojnice Rozhlasove vysielanie, vyroba a vysielanie reklamy Zamestnavanim znevyhodnenych a zranitelnych osob. Radio Bojnice s.r.o. Rozhlasove vysielanie, tvorba reklamy reklama, rozhlas, vysielanie           Register partnerov VS</v>
      </c>
      <c r="AQ302" s="37"/>
    </row>
    <row r="303" ht="15.75" customHeight="1">
      <c r="A303" s="43"/>
      <c r="B303" s="59">
        <v>330.0</v>
      </c>
      <c r="C303" s="75" t="s">
        <v>3375</v>
      </c>
      <c r="D303" s="42" t="s">
        <v>181</v>
      </c>
      <c r="E303" s="38" t="str">
        <f t="shared" si="1"/>
        <v>Banskobystrický kraj, &amp;#32celé Slovensko</v>
      </c>
      <c r="F303" s="42" t="s">
        <v>3376</v>
      </c>
      <c r="G303" s="38" t="str">
        <f t="shared" si="2"/>
        <v>kovovýroba, nábytok a bytové doplnky, &amp;#32všetky kategórie</v>
      </c>
      <c r="H303" s="42" t="s">
        <v>53</v>
      </c>
      <c r="I303" s="43" t="str">
        <f t="shared" si="3"/>
        <v>1 - 5, &amp;#32všetky možnosti</v>
      </c>
      <c r="J303" s="44" t="str">
        <f t="shared" si="7"/>
        <v>,,</v>
      </c>
      <c r="K303" s="45">
        <f t="shared" si="5"/>
        <v>38161.78726</v>
      </c>
      <c r="L303" s="43"/>
      <c r="M303" s="43" t="str">
        <f>IFERROR(__xludf.DUMMYFUNCTION("SPLIT(O303,"","")"),"Jilemnického 321")</f>
        <v>Jilemnického 321</v>
      </c>
      <c r="N303" s="43" t="str">
        <f>IFERROR(__xludf.DUMMYFUNCTION("""COMPUTED_VALUE""")," 981 01 Hnúšťa")</f>
        <v> 981 01 Hnúšťa</v>
      </c>
      <c r="O303" s="42" t="s">
        <v>3377</v>
      </c>
      <c r="P303" s="43">
        <v>48.5796396</v>
      </c>
      <c r="Q303" s="43">
        <v>19.9472988</v>
      </c>
      <c r="R303" s="55" t="s">
        <v>3378</v>
      </c>
      <c r="S303" s="55" t="s">
        <v>3379</v>
      </c>
      <c r="T303" s="141" t="s">
        <v>86</v>
      </c>
      <c r="U303" s="140" t="s">
        <v>3380</v>
      </c>
      <c r="V303" s="84" t="s">
        <v>3381</v>
      </c>
      <c r="W303" s="55" t="s">
        <v>3382</v>
      </c>
      <c r="X303" s="55" t="s">
        <v>3375</v>
      </c>
      <c r="Y303" s="110" t="s">
        <v>3383</v>
      </c>
      <c r="Z303" s="108" t="s">
        <v>3384</v>
      </c>
      <c r="AA303" s="52" t="s">
        <v>64</v>
      </c>
      <c r="AB303" s="55"/>
      <c r="AC303" s="56"/>
      <c r="AD303" s="56"/>
      <c r="AE303" s="55"/>
      <c r="AF303" s="55"/>
      <c r="AG303" s="56"/>
      <c r="AH303" s="56"/>
      <c r="AI303" s="55"/>
      <c r="AJ303" s="55"/>
      <c r="AK303" s="56"/>
      <c r="AL303" s="56"/>
      <c r="AM303" s="34"/>
      <c r="AN303" s="34"/>
      <c r="AO303" s="143"/>
      <c r="AP303" s="145" t="str">
        <f t="shared" si="6"/>
        <v>KVK Design s.r.o. kovovyroba, nabytok a bytove doplnky, &amp;#32vsetky kategorie  981 01 Hnusta Spolocnost KVK Design s.r.o. sa zaobera vyrobou exterierovych a interierovych vyrobkov z kovu. Ponukame vyrobu bran, plotov, pristreskov, schodisk, zabradli, ale aj dizajnoveho kovoveho nabytku ci inych drobnych vyrobkov z kovu. Vsetky produkty vyrabame podla poziadaviek klienta na mieru.  Podnik zamestnava znevyhodnene osoby.  KVK Design s.r.o. Ponukame vyrobu bran, plotov, pristreskov, schodisk, zabradli, ale aj dizajnoveho kovoveho nabytku ci inych drobnych vyrobkov z kovu. Vsetky produkty vyrabame podla poziadaviek klienta na mieru.  kovovyroba, nabytok a bytove doplnkyBrany, ploty, pristresky, schody, zabradlia, dizajnovy kovovy nabytok, ine vyrobky z kovu           </v>
      </c>
      <c r="AQ303" s="37"/>
    </row>
    <row r="304" ht="15.75" customHeight="1">
      <c r="A304" s="43"/>
      <c r="B304" s="59">
        <v>331.0</v>
      </c>
      <c r="C304" s="75" t="s">
        <v>3385</v>
      </c>
      <c r="D304" s="80" t="s">
        <v>66</v>
      </c>
      <c r="E304" s="38" t="str">
        <f t="shared" si="1"/>
        <v>Žilinský kraj, &amp;#32celé Slovensko</v>
      </c>
      <c r="F304" s="80" t="s">
        <v>639</v>
      </c>
      <c r="G304" s="38" t="str">
        <f t="shared" si="2"/>
        <v>čistiace a upratovacie služby, dom a záhrada, &amp;#32všetky kategórie</v>
      </c>
      <c r="H304" s="80" t="s">
        <v>68</v>
      </c>
      <c r="I304" s="43" t="str">
        <f t="shared" si="3"/>
        <v>16 - 20, &amp;#32všetky možnosti</v>
      </c>
      <c r="J304" s="44" t="str">
        <f t="shared" si="7"/>
        <v>,Register partnerov VS,</v>
      </c>
      <c r="K304" s="45">
        <f t="shared" si="5"/>
        <v>17066.82205</v>
      </c>
      <c r="L304" s="43"/>
      <c r="M304" s="43" t="str">
        <f>IFERROR(__xludf.DUMMYFUNCTION("SPLIT(O304,"","")"),"Červená 470/1")</f>
        <v>Červená 470/1</v>
      </c>
      <c r="N304" s="43" t="str">
        <f>IFERROR(__xludf.DUMMYFUNCTION("""COMPUTED_VALUE""")," 010 03 Žilina")</f>
        <v> 010 03 Žilina</v>
      </c>
      <c r="O304" s="80" t="s">
        <v>3386</v>
      </c>
      <c r="P304" s="43">
        <v>49.2397188</v>
      </c>
      <c r="Q304" s="43">
        <v>18.7767103</v>
      </c>
      <c r="R304" s="55" t="s">
        <v>3387</v>
      </c>
      <c r="S304" s="85" t="s">
        <v>3388</v>
      </c>
      <c r="T304" s="98" t="s">
        <v>3389</v>
      </c>
      <c r="U304" s="140" t="s">
        <v>3390</v>
      </c>
      <c r="V304" s="84" t="s">
        <v>3391</v>
      </c>
      <c r="W304" s="85" t="s">
        <v>3392</v>
      </c>
      <c r="X304" s="85" t="s">
        <v>3393</v>
      </c>
      <c r="Y304" s="137" t="s">
        <v>3394</v>
      </c>
      <c r="Z304" s="155" t="s">
        <v>3395</v>
      </c>
      <c r="AA304" s="156" t="s">
        <v>64</v>
      </c>
      <c r="AB304" s="55"/>
      <c r="AC304" s="56"/>
      <c r="AD304" s="56"/>
      <c r="AE304" s="55"/>
      <c r="AF304" s="55"/>
      <c r="AG304" s="56"/>
      <c r="AH304" s="56"/>
      <c r="AI304" s="55"/>
      <c r="AJ304" s="55"/>
      <c r="AK304" s="56"/>
      <c r="AL304" s="56"/>
      <c r="AM304" s="34"/>
      <c r="AN304" s="154" t="s">
        <v>39</v>
      </c>
      <c r="AO304" s="143"/>
      <c r="AP304" s="145" t="str">
        <f t="shared" si="6"/>
        <v>Viana Art o.z. cistiace a upratovacie sluzby, dom a zahrada, &amp;#32vsetky kategorie  010 03 Zilina Ponukame sluzby pre domacnost, starostlivost o zahradu, kosenie, strihanie stromov a krikov, a ine zahradne prace. Nasi zamestnanci maju zdravotny alebo iny socialny postih, cim ich zaclenujeme do spolocenskeho zivota. Nasim hlavnym cielom je pozitivny socialny vplyv - zamestnavame socialne slabsich, zranitelnych a znevyhodnenych obcanov, cim prispievame k znizovaniu nezamestnanosti. Viana Art Vykonavame cistiace a upratovacie sluzby. upratovanie, zehlenie, cistenie, kosenie, okno, umyvanie,           Register partnerov VS</v>
      </c>
      <c r="AQ304" s="37"/>
    </row>
    <row r="305" ht="15.75" customHeight="1">
      <c r="A305" s="43"/>
      <c r="B305" s="59">
        <v>332.0</v>
      </c>
      <c r="C305" s="75" t="s">
        <v>3396</v>
      </c>
      <c r="D305" s="157" t="s">
        <v>80</v>
      </c>
      <c r="E305" s="38" t="str">
        <f t="shared" si="1"/>
        <v>Trnavský kraj, &amp;#32celé Slovensko</v>
      </c>
      <c r="F305" s="157" t="s">
        <v>734</v>
      </c>
      <c r="G305" s="38" t="str">
        <f t="shared" si="2"/>
        <v>nábytok a bytové doplnky, &amp;#32všetky kategórie</v>
      </c>
      <c r="H305" s="157" t="s">
        <v>82</v>
      </c>
      <c r="I305" s="43" t="str">
        <f t="shared" si="3"/>
        <v>11 - 15, &amp;#32všetky možnosti</v>
      </c>
      <c r="J305" s="44" t="str">
        <f t="shared" si="7"/>
        <v>,Register partnerov VS,Náhradné plnenie</v>
      </c>
      <c r="K305" s="45">
        <f t="shared" si="5"/>
        <v>30878.68598</v>
      </c>
      <c r="L305" s="158"/>
      <c r="M305" s="158" t="str">
        <f>IFERROR(__xludf.DUMMYFUNCTION("SPLIT(O305,"","")"),"Železničiarska 111/16")</f>
        <v>Železničiarska 111/16</v>
      </c>
      <c r="N305" s="158" t="str">
        <f>IFERROR(__xludf.DUMMYFUNCTION("""COMPUTED_VALUE""")," 924 01 Galanta")</f>
        <v> 924 01 Galanta</v>
      </c>
      <c r="O305" s="157" t="s">
        <v>3397</v>
      </c>
      <c r="P305" s="158">
        <v>48.1887486</v>
      </c>
      <c r="Q305" s="158">
        <v>17.7132706</v>
      </c>
      <c r="R305" s="159" t="s">
        <v>3398</v>
      </c>
      <c r="S305" s="160" t="s">
        <v>3399</v>
      </c>
      <c r="T305" s="161" t="s">
        <v>3400</v>
      </c>
      <c r="U305" s="162" t="s">
        <v>3401</v>
      </c>
      <c r="V305" s="84" t="s">
        <v>3402</v>
      </c>
      <c r="W305" s="160" t="s">
        <v>3403</v>
      </c>
      <c r="X305" s="160" t="s">
        <v>3404</v>
      </c>
      <c r="Y305" s="163" t="s">
        <v>3405</v>
      </c>
      <c r="Z305" s="164" t="s">
        <v>3406</v>
      </c>
      <c r="AA305" s="165" t="s">
        <v>64</v>
      </c>
      <c r="AB305" s="166"/>
      <c r="AC305" s="167"/>
      <c r="AD305" s="167"/>
      <c r="AE305" s="166"/>
      <c r="AF305" s="166"/>
      <c r="AG305" s="167"/>
      <c r="AH305" s="167"/>
      <c r="AI305" s="166"/>
      <c r="AJ305" s="166"/>
      <c r="AK305" s="167"/>
      <c r="AL305" s="167"/>
      <c r="AM305" s="167"/>
      <c r="AN305" s="154" t="s">
        <v>39</v>
      </c>
      <c r="AO305" s="131" t="s">
        <v>40</v>
      </c>
      <c r="AP305" s="145" t="str">
        <f t="shared" si="6"/>
        <v>Localhand, s.r.o. nabytok a bytove doplnky, &amp;#32vsetky kategorie  924 01 Galanta V nasej malej krajcirskej dielni sa venujeme vyrobe dizajnoveho bytoveho ako aj gastro ci hoteloveho textilu na mieru. Vyrabame z tkanim, ktore maju europsky povod. Nasimi zakaznikmi su gastro prevadzky, hotely, firmy, ale aj sukromne osoby.
Obrusy, behune, zavesy, prikryvky, deky, zastery, utierky, obliecky na vankuse, vrecka, batohy ci tasky, to vsetko sijeme ako v standardnych velkostiach, tak aj podla poziadavky zakaznika. Nase portfolio ponuka siroku a pestru skalu ako prirodnych, tak aj calunnickych materialov. Priniesli sme na trh dizajnove materialy, ktore chybali v hoteloch, gastro prevadzkach, ale aj v domacnostiach. Rozziarili a obnovili sme nejeden priestor. Localhand, s.r.o. r.s.p. Krajcirska dielna, ktora zhotovuje bytovy, hotelovy a gastro textil na mieru. bytovy textil, na mieru, gastro textil, hotelovy textil, krajcirska vyroba, obrusy, zavesy, prikryvky, zastery, kuchyna, obyvacka, detska izba, calunicke latky, calunenie.           Register partnerov VS</v>
      </c>
      <c r="AQ305" s="37"/>
    </row>
    <row r="306" ht="15.75" customHeight="1">
      <c r="A306" s="43"/>
      <c r="B306" s="59">
        <v>334.0</v>
      </c>
      <c r="C306" s="75" t="s">
        <v>3407</v>
      </c>
      <c r="D306" s="168" t="s">
        <v>66</v>
      </c>
      <c r="E306" s="169" t="str">
        <f t="shared" si="1"/>
        <v>Žilinský kraj, &amp;#32celé Slovensko</v>
      </c>
      <c r="F306" s="168" t="s">
        <v>3408</v>
      </c>
      <c r="G306" s="169" t="str">
        <f t="shared" si="2"/>
        <v>čistiace a upratovacie služby, dom a záhrada, stavebníctvo, ubytovacie a stravovacie služby, iné (tovary a služby), &amp;#32všetky kategórie</v>
      </c>
      <c r="H306" s="168" t="s">
        <v>53</v>
      </c>
      <c r="I306" s="158" t="str">
        <f t="shared" si="3"/>
        <v>1 - 5, &amp;#32všetky možnosti</v>
      </c>
      <c r="J306" s="170" t="str">
        <f t="shared" si="7"/>
        <v>,,</v>
      </c>
      <c r="K306" s="45">
        <f t="shared" si="5"/>
        <v>8649.665306</v>
      </c>
      <c r="L306" s="158"/>
      <c r="M306" s="158" t="str">
        <f>IFERROR(__xludf.DUMMYFUNCTION("SPLIT(O306,"","")"),"Záborského 10/3")</f>
        <v>Záborského 10/3</v>
      </c>
      <c r="N306" s="158" t="str">
        <f>IFERROR(__xludf.DUMMYFUNCTION("""COMPUTED_VALUE""")," 036 01 Martin")</f>
        <v> 036 01 Martin</v>
      </c>
      <c r="O306" s="168" t="s">
        <v>3409</v>
      </c>
      <c r="P306" s="158">
        <v>49.06901</v>
      </c>
      <c r="Q306" s="158">
        <v>18.92784</v>
      </c>
      <c r="R306" s="166" t="s">
        <v>3410</v>
      </c>
      <c r="S306" s="166" t="s">
        <v>3411</v>
      </c>
      <c r="T306" s="161" t="s">
        <v>3412</v>
      </c>
      <c r="U306" s="162" t="s">
        <v>3413</v>
      </c>
      <c r="V306" s="171" t="s">
        <v>3414</v>
      </c>
      <c r="W306" s="172" t="s">
        <v>3415</v>
      </c>
      <c r="X306" s="166" t="s">
        <v>3407</v>
      </c>
      <c r="Y306" s="173" t="s">
        <v>3416</v>
      </c>
      <c r="Z306" s="174" t="s">
        <v>3417</v>
      </c>
      <c r="AA306" s="175" t="s">
        <v>129</v>
      </c>
      <c r="AB306" s="166" t="s">
        <v>3418</v>
      </c>
      <c r="AC306" s="167" t="s">
        <v>3419</v>
      </c>
      <c r="AD306" s="167" t="s">
        <v>244</v>
      </c>
      <c r="AE306" s="166"/>
      <c r="AF306" s="166"/>
      <c r="AG306" s="167"/>
      <c r="AH306" s="167"/>
      <c r="AI306" s="166"/>
      <c r="AJ306" s="166"/>
      <c r="AK306" s="167"/>
      <c r="AL306" s="167"/>
      <c r="AM306" s="166"/>
      <c r="AN306" s="166"/>
      <c r="AO306" s="176"/>
      <c r="AP306" s="145" t="str">
        <f t="shared" si="6"/>
        <v>P&amp;M CONSTRUCTA, s. r. o. cistiace a upratovacie sluzby, dom a zahrada, stavebnictvo, ubytovacie a stravovacie sluzby, ine (tovary a sluzby), &amp;#32vsetky kategorie  036 01 Martin Predavame kovove a betonove ploty, pergoly, pristresky, zamkovu dlazbu a tieniacu techniku. Realizujeme stavebne upravy a montaze vsetkych ponukanych prvkov. Zamestnavanie dlhodobo nezamestnanych a zdravotne znevyhodnenych osob. P&amp;M CONSTRUCTA, s. r. o. Predaj a realizacia betonovych a kovovych plotov, zamkovej dlazby, pristreskov, pergol, markiz, zaluzii, roliet a sietok na okna. zemne prace, ploty, pergoly, pristresky, rolety, zaluzie, stavebne prace, udrziavacie prace, zahrada, fast food, zamkova dlazba EL CHAPO Predaj mexickych street food jedal potraviny a napoje        </v>
      </c>
      <c r="AQ306" s="37"/>
    </row>
    <row r="307" ht="15.75" customHeight="1">
      <c r="A307" s="43"/>
      <c r="B307" s="59">
        <v>335.0</v>
      </c>
      <c r="C307" s="75" t="s">
        <v>3420</v>
      </c>
      <c r="D307" s="168" t="s">
        <v>66</v>
      </c>
      <c r="E307" s="169" t="str">
        <f t="shared" si="1"/>
        <v>Žilinský kraj, &amp;#32celé Slovensko</v>
      </c>
      <c r="F307" s="168" t="s">
        <v>3421</v>
      </c>
      <c r="G307" s="169" t="str">
        <f t="shared" si="2"/>
        <v>odevy a obuv, iné (tovary a služby), &amp;#32všetky kategórie</v>
      </c>
      <c r="H307" s="168" t="s">
        <v>53</v>
      </c>
      <c r="I307" s="158" t="str">
        <f t="shared" si="3"/>
        <v>1 - 5, &amp;#32všetky možnosti</v>
      </c>
      <c r="J307" s="170" t="str">
        <f t="shared" si="7"/>
        <v>,,</v>
      </c>
      <c r="K307" s="45">
        <f t="shared" si="5"/>
        <v>27409.71414</v>
      </c>
      <c r="L307" s="158"/>
      <c r="M307" s="158" t="str">
        <f>IFERROR(__xludf.DUMMYFUNCTION("SPLIT(O307,"","")"),"Dlhá 1103/61")</f>
        <v>Dlhá 1103/61</v>
      </c>
      <c r="N307" s="158" t="str">
        <f>IFERROR(__xludf.DUMMYFUNCTION("""COMPUTED_VALUE""")," 010 09  Žilina")</f>
        <v> 010 09  Žilina</v>
      </c>
      <c r="O307" s="168" t="s">
        <v>3422</v>
      </c>
      <c r="P307" s="158">
        <v>49.19223</v>
      </c>
      <c r="Q307" s="158">
        <v>18.73375</v>
      </c>
      <c r="R307" s="166" t="s">
        <v>3423</v>
      </c>
      <c r="S307" s="166" t="s">
        <v>3424</v>
      </c>
      <c r="T307" s="177" t="s">
        <v>3425</v>
      </c>
      <c r="U307" s="178" t="s">
        <v>3426</v>
      </c>
      <c r="V307" s="171" t="s">
        <v>3427</v>
      </c>
      <c r="W307" s="166" t="s">
        <v>3428</v>
      </c>
      <c r="X307" s="166" t="s">
        <v>3429</v>
      </c>
      <c r="Y307" s="173" t="s">
        <v>3430</v>
      </c>
      <c r="Z307" s="174" t="s">
        <v>3431</v>
      </c>
      <c r="AA307" s="175" t="s">
        <v>64</v>
      </c>
      <c r="AB307" s="166"/>
      <c r="AC307" s="167"/>
      <c r="AD307" s="167"/>
      <c r="AE307" s="166"/>
      <c r="AF307" s="166"/>
      <c r="AG307" s="167"/>
      <c r="AH307" s="167"/>
      <c r="AI307" s="166"/>
      <c r="AJ307" s="166"/>
      <c r="AK307" s="167"/>
      <c r="AL307" s="167"/>
      <c r="AM307" s="166"/>
      <c r="AN307" s="166"/>
      <c r="AO307" s="176"/>
      <c r="AP307" s="145" t="str">
        <f t="shared" si="6"/>
        <v>TZV s. r. o. odevy a obuv, ine (tovary a sluzby), &amp;#32vsetky kategorie  010 09  Zilina Ponukame kvalitne sportove oblecenie, sportovu a turisticku obuv, zimne a letne sportove potreby, ako aj sportove prislusenstvo prostrednictvom e-shopu www.topski.sk. Ak preferujete osobne nakupovanie, radi vas privitame v kamennej predajni na ulici Dlha 1103/61 v Ziline. U nas si vyberie kazdy.  K dosahovaniu pozitivneho socialneho vplyvu prispievame vytvaranim novych pracovnych miest aj pre znevyhodnene a/alebo zranitelne osoby, co im umozni uplatnit sa na trhu prace, ziskat pracovne zrucnosti a  prax, vdaka comu sa v buducnosti zaclenia do pracovneho kolektivu.   TZV s. r. o., r. s. p.  Zameriavame sa na predaj sportovej vybavy ako su lyze, lyziarky, bezky, snowboardy, prilby, lyziarske okuliare a lyziarske rukavice. Okrem vybavy na zimne sporty najdete v nasej ponuke aj sportovu obuv, bicykle, kolobezky, kolieskove korcule, lopty, batohy a mnohe dalsie sportove doplnky. Pri nakupe mozete vyuzit bazarovy predaj a istotne vas potesia aj pravidelne vypredaje.  sportove oblecenie, sportova obuv, zimne sporty, bezkovanie, skialpinizmus, zjazdove lyze, snowboardy, splitboarding,  letne sporty, elektrobicykle, bicykle, kolobezky, futbal, skateboardy, kolieskove korcule, fitness, vodne sporty, lopty, sportove doplnky           </v>
      </c>
      <c r="AQ307" s="37"/>
    </row>
    <row r="308" ht="15.75" customHeight="1">
      <c r="A308" s="43"/>
      <c r="B308" s="59">
        <v>336.0</v>
      </c>
      <c r="C308" s="75" t="s">
        <v>3432</v>
      </c>
      <c r="D308" s="168" t="s">
        <v>66</v>
      </c>
      <c r="E308" s="169" t="str">
        <f t="shared" si="1"/>
        <v>Žilinský kraj, &amp;#32celé Slovensko</v>
      </c>
      <c r="F308" s="42" t="s">
        <v>639</v>
      </c>
      <c r="G308" s="38" t="str">
        <f t="shared" si="2"/>
        <v>čistiace a upratovacie služby, dom a záhrada, &amp;#32všetky kategórie</v>
      </c>
      <c r="H308" s="42" t="s">
        <v>96</v>
      </c>
      <c r="I308" s="43" t="str">
        <f t="shared" si="3"/>
        <v>6 - 10, &amp;#32všetky možnosti</v>
      </c>
      <c r="J308" s="44" t="str">
        <f t="shared" si="7"/>
        <v>,,Náhradné plnenie</v>
      </c>
      <c r="K308" s="45">
        <f t="shared" si="5"/>
        <v>5151.935829</v>
      </c>
      <c r="L308" s="43"/>
      <c r="M308" s="43" t="str">
        <f>IFERROR(__xludf.DUMMYFUNCTION("SPLIT(O308,"","")"),"Červenej armády 1029/12")</f>
        <v>Červenej armády 1029/12</v>
      </c>
      <c r="N308" s="158" t="str">
        <f>IFERROR(__xludf.DUMMYFUNCTION("""COMPUTED_VALUE""")," 038 53 Turany")</f>
        <v> 038 53 Turany</v>
      </c>
      <c r="O308" s="168" t="s">
        <v>3433</v>
      </c>
      <c r="P308" s="158">
        <v>49.1075151999999</v>
      </c>
      <c r="Q308" s="158">
        <v>19.0385004</v>
      </c>
      <c r="R308" s="55" t="s">
        <v>3434</v>
      </c>
      <c r="S308" s="55" t="s">
        <v>3435</v>
      </c>
      <c r="T308" s="179" t="s">
        <v>86</v>
      </c>
      <c r="U308" s="180" t="s">
        <v>3436</v>
      </c>
      <c r="V308" s="84" t="s">
        <v>3437</v>
      </c>
      <c r="W308" s="55" t="s">
        <v>3438</v>
      </c>
      <c r="X308" s="55" t="s">
        <v>3439</v>
      </c>
      <c r="Y308" s="85" t="s">
        <v>3440</v>
      </c>
      <c r="Z308" s="156" t="s">
        <v>3441</v>
      </c>
      <c r="AA308" s="52" t="s">
        <v>64</v>
      </c>
      <c r="AB308" s="55"/>
      <c r="AC308" s="56"/>
      <c r="AD308" s="56"/>
      <c r="AE308" s="55"/>
      <c r="AF308" s="55"/>
      <c r="AG308" s="56"/>
      <c r="AH308" s="56"/>
      <c r="AI308" s="55"/>
      <c r="AJ308" s="55"/>
      <c r="AK308" s="56"/>
      <c r="AL308" s="56"/>
      <c r="AM308" s="34"/>
      <c r="AN308" s="34"/>
      <c r="AO308" s="131" t="s">
        <v>40</v>
      </c>
      <c r="AP308" s="145" t="str">
        <f t="shared" si="6"/>
        <v>La casa, s. r. o. cistiace a upratovacie sluzby, dom a zahrada, &amp;#32vsetky kategorie  038 53 Turany Nasa  firma je na trhu od roku 2007 a venuje sa vylucne upratovacim pracam. Poskytujeme svoje sluzby sirokej verejnosti, firmam, organizaciam. Nase produkty su site na mieru kazdemu zakaznikovi.  V spolocnosti pracuju vsetci tempom, ktore im vyhovuje, ale s chutou a usmevom. Zamestnavame tych, ktori radi upratuju a mozno sa nemozu zamestnat kvoli svojej jedinecnosti inde. Rozdavame dobru naladu a zanechavame sa za sebou cisto a poriadok. La casa s.r.o. Upratovanie bytov, domov, firemnych priestorov, spolocnych priestorov. upratovanie, okna,           </v>
      </c>
      <c r="AQ308" s="37"/>
    </row>
    <row r="309" ht="15.75" customHeight="1">
      <c r="A309" s="43"/>
      <c r="B309" s="59">
        <v>337.0</v>
      </c>
      <c r="C309" s="75" t="s">
        <v>3442</v>
      </c>
      <c r="D309" s="42" t="s">
        <v>134</v>
      </c>
      <c r="E309" s="38" t="str">
        <f t="shared" si="1"/>
        <v>Trenčiansky kraj, &amp;#32celé Slovensko</v>
      </c>
      <c r="F309" s="42" t="s">
        <v>1967</v>
      </c>
      <c r="G309" s="38" t="str">
        <f t="shared" si="2"/>
        <v>účtovníctvo a poradenstvo, &amp;#32všetky kategórie</v>
      </c>
      <c r="H309" s="42" t="s">
        <v>82</v>
      </c>
      <c r="I309" s="43" t="str">
        <f t="shared" si="3"/>
        <v>11 - 15, &amp;#32všetky možnosti</v>
      </c>
      <c r="J309" s="44" t="str">
        <f t="shared" si="7"/>
        <v>,Register partnerov VS,Náhradné plnenie</v>
      </c>
      <c r="K309" s="45">
        <f t="shared" si="5"/>
        <v>7441.326022</v>
      </c>
      <c r="L309" s="43"/>
      <c r="M309" s="43" t="str">
        <f>IFERROR(__xludf.DUMMYFUNCTION("SPLIT(O309,"","")"),"Gen. M.R.Štefánika 372/9")</f>
        <v>Gen. M.R.Štefánika 372/9</v>
      </c>
      <c r="N309" s="43" t="str">
        <f>IFERROR(__xludf.DUMMYFUNCTION("""COMPUTED_VALUE""")," 911 01 Trenčín")</f>
        <v> 911 01 Trenčín</v>
      </c>
      <c r="O309" s="42" t="s">
        <v>3443</v>
      </c>
      <c r="P309" s="158">
        <v>48.8922271</v>
      </c>
      <c r="Q309" s="158">
        <v>18.0538781</v>
      </c>
      <c r="R309" s="55" t="s">
        <v>3444</v>
      </c>
      <c r="S309" s="55" t="s">
        <v>3445</v>
      </c>
      <c r="T309" s="98" t="s">
        <v>3446</v>
      </c>
      <c r="U309" s="180" t="s">
        <v>3447</v>
      </c>
      <c r="V309" s="50" t="s">
        <v>3217</v>
      </c>
      <c r="W309" s="55" t="s">
        <v>3448</v>
      </c>
      <c r="X309" s="85" t="s">
        <v>3442</v>
      </c>
      <c r="Y309" s="85" t="s">
        <v>3449</v>
      </c>
      <c r="Z309" s="52" t="s">
        <v>3450</v>
      </c>
      <c r="AA309" s="52" t="s">
        <v>64</v>
      </c>
      <c r="AB309" s="55"/>
      <c r="AC309" s="56"/>
      <c r="AD309" s="56"/>
      <c r="AE309" s="55"/>
      <c r="AF309" s="55"/>
      <c r="AG309" s="56"/>
      <c r="AH309" s="56"/>
      <c r="AI309" s="55"/>
      <c r="AJ309" s="55"/>
      <c r="AK309" s="56"/>
      <c r="AL309" s="56"/>
      <c r="AM309" s="34"/>
      <c r="AN309" s="154" t="s">
        <v>39</v>
      </c>
      <c r="AO309" s="131" t="s">
        <v>40</v>
      </c>
      <c r="AP309" s="145" t="str">
        <f t="shared" si="6"/>
        <v>AreKont, s. r. o. uctovnictvo a poradenstvo, &amp;#32vsetky kategorie  911 01 Trencin Firma ponuka komplexne uctovne sluzby (spracovanie uctovnictva, dani, miezd a personalistiky), zastupovanie na uradoch a ekonomicke poradenstvo pre fyzicke i pravnicke osoby v ramci celeho Slovenska. Suhrn nasich podnikatelskych aktivit je prospesny pre spolocnost  v sirokom posobisku, kde v spolupraci so znevyhodnenymi a zranitelnymi osobami realizujeme poskytovanie sluzieb v ekonomickej oblasti. Meratelny pozitivny socialny vplyv plnime percentom zamestnanych znevyhodnenych a zranitelnych osob.
 AreKont, s. r. o. Ponukame spracovanie jednoducheho a podvojneho uctovnictva, dani, personalistiky a miezd, administrativne sluzby, ekonomicke poradenstvo, zastupovanie na uradoch, administrativne sluzby. uctovnictvo, mzdy, personalistika, poradenstvo, ekonomika, danove priznanie, dane           Register partnerov VS</v>
      </c>
      <c r="AQ309" s="37"/>
    </row>
    <row r="310" ht="15.75" customHeight="1">
      <c r="A310" s="43"/>
      <c r="B310" s="59">
        <v>338.0</v>
      </c>
      <c r="C310" s="75" t="s">
        <v>3451</v>
      </c>
      <c r="D310" s="42" t="s">
        <v>94</v>
      </c>
      <c r="E310" s="38" t="str">
        <f t="shared" si="1"/>
        <v>Bratislavský kraj, &amp;#32celé Slovensko</v>
      </c>
      <c r="F310" s="42" t="s">
        <v>3452</v>
      </c>
      <c r="G310" s="38" t="str">
        <f t="shared" si="2"/>
        <v>vzdelávanie, nábytok a bytové doplnky, galantéria, pre deti, bižutéria a darčekové predmety, iné (tovary a služby), &amp;#32všetky kategórie</v>
      </c>
      <c r="H310" s="42" t="s">
        <v>53</v>
      </c>
      <c r="I310" s="43" t="str">
        <f t="shared" si="3"/>
        <v>1 - 5, &amp;#32všetky možnosti</v>
      </c>
      <c r="J310" s="44" t="str">
        <f t="shared" si="7"/>
        <v>,,Náhradné plnenie</v>
      </c>
      <c r="K310" s="45">
        <f t="shared" si="5"/>
        <v>28150.03145</v>
      </c>
      <c r="L310" s="43"/>
      <c r="M310" s="43" t="str">
        <f>IFERROR(__xludf.DUMMYFUNCTION("SPLIT(O310,"","")"),"Pečnianska 1211/11")</f>
        <v>Pečnianska 1211/11</v>
      </c>
      <c r="N310" s="43" t="str">
        <f>IFERROR(__xludf.DUMMYFUNCTION("""COMPUTED_VALUE""")," 851 01 Bratislava")</f>
        <v> 851 01 Bratislava</v>
      </c>
      <c r="O310" s="42" t="s">
        <v>3453</v>
      </c>
      <c r="P310" s="158">
        <v>48.1306184</v>
      </c>
      <c r="Q310" s="158">
        <v>17.0958205</v>
      </c>
      <c r="R310" s="55" t="s">
        <v>3454</v>
      </c>
      <c r="S310" s="55" t="s">
        <v>3455</v>
      </c>
      <c r="T310" s="180" t="s">
        <v>3456</v>
      </c>
      <c r="U310" s="181" t="s">
        <v>3457</v>
      </c>
      <c r="V310" s="84" t="s">
        <v>3458</v>
      </c>
      <c r="W310" s="55" t="s">
        <v>3459</v>
      </c>
      <c r="X310" s="182" t="s">
        <v>3460</v>
      </c>
      <c r="Y310" s="55" t="s">
        <v>3461</v>
      </c>
      <c r="Z310" s="52" t="s">
        <v>3462</v>
      </c>
      <c r="AA310" s="52" t="s">
        <v>64</v>
      </c>
      <c r="AB310" s="55"/>
      <c r="AC310" s="56"/>
      <c r="AD310" s="56"/>
      <c r="AE310" s="55"/>
      <c r="AF310" s="55"/>
      <c r="AG310" s="56"/>
      <c r="AH310" s="56"/>
      <c r="AI310" s="55"/>
      <c r="AJ310" s="55"/>
      <c r="AK310" s="56"/>
      <c r="AL310" s="56"/>
      <c r="AM310" s="34"/>
      <c r="AN310" s="34"/>
      <c r="AO310" s="131" t="s">
        <v>40</v>
      </c>
      <c r="AP310" s="145" t="str">
        <f t="shared" si="6"/>
        <v>go-ok, o.z. vzdelavanie, nabytok a bytove doplnky, galanteria, pre deti, bizuteria a darcekove predmety, ine (tovary a sluzby), &amp;#32vsetky kategorie  851 01 Bratislava Vytvarame unikatny online priestor pre umelcov a vyrobcov so zdravotnym znevyhodnenim v projekte HendiKup. 
Preco by sme ste mali nakupovat cez HendiKup?
Pretoze je to spravne. Pretoze ucta by nemala byt len k hodnote (vyrobku), ale aj k cloveku – k tvorcovi, umelcovi, ktory ho vyrobil, k jeho namahe, energii a casu, ktory nad svojim dielom stravil. Obzvlast, ak vynalozil viac usilia napriek svojmu zdravotnemu znevyhodneniu. Nepredavame veci, ale vyznam.  HendiKup je internetova platforma, eshop, komunita, filozofia – ktorej cielom je vytvarat synergiu spolocenskej osvety, terapie pracou, mikropodnikania a empowerementu, scitlivovat spolocnost a burat myty. Vyrobcom pomahame s profesionalnou prezentaciou ich tvorby a jej predaj na e-shope. HendiKup.sk Prevadzkujeme eshop podporujuci komunitu sikovnych umelcov a vyrobcov roznych vyrobkov so zdravotnym znevyhodnenim. 
Nepredavame veci, ale vyznam.  handmade, rucna praca, textil, sklo, keramika, fotografia, obraz, umenie, sviecky, dekoracia, papier, prutie, knihy, spisovatel, dizajn, drevo, drevorezba, ruska, platenie, hackovanie, strikovanie, patchwork, drot, paracord, naramok, levandula, recyklacia, grafika, logo, ozdoby, vianoce, velka noc, ciapky, siltovky, klobuky, CD, hudba, spev, pohladnice, tricka, mydla, mydielka, nausnice, bizuteria           </v>
      </c>
      <c r="AQ310" s="37"/>
    </row>
    <row r="311" ht="15.75" customHeight="1">
      <c r="A311" s="43"/>
      <c r="B311" s="59">
        <v>339.0</v>
      </c>
      <c r="C311" s="75" t="s">
        <v>3463</v>
      </c>
      <c r="D311" s="42" t="s">
        <v>181</v>
      </c>
      <c r="E311" s="38" t="str">
        <f t="shared" si="1"/>
        <v>Banskobystrický kraj, &amp;#32celé Slovensko</v>
      </c>
      <c r="F311" s="42" t="s">
        <v>3464</v>
      </c>
      <c r="G311" s="38" t="str">
        <f t="shared" si="2"/>
        <v>vzdelávanie,  reklama, obaly, nábytok a bytové doplnky, elektro, bižutéria a darčekové predmety, iné (tovary a služby), kovovýroba, &amp;#32všetky kategórie</v>
      </c>
      <c r="H311" s="42" t="s">
        <v>53</v>
      </c>
      <c r="I311" s="43" t="str">
        <f t="shared" si="3"/>
        <v>1 - 5, &amp;#32všetky možnosti</v>
      </c>
      <c r="J311" s="44" t="str">
        <f t="shared" si="7"/>
        <v>,,</v>
      </c>
      <c r="K311" s="45">
        <f t="shared" si="5"/>
        <v>31512.36292</v>
      </c>
      <c r="L311" s="43"/>
      <c r="M311" s="43" t="str">
        <f>IFERROR(__xludf.DUMMYFUNCTION("SPLIT(O311,"","")"),"Na Zigmund šachtu 1655/23")</f>
        <v>Na Zigmund šachtu 1655/23</v>
      </c>
      <c r="N311" s="43" t="str">
        <f>IFERROR(__xludf.DUMMYFUNCTION("""COMPUTED_VALUE""")," 969 01 Banská Štiavnica")</f>
        <v> 969 01 Banská Štiavnica</v>
      </c>
      <c r="O311" s="42" t="s">
        <v>3465</v>
      </c>
      <c r="P311" s="158">
        <v>48.4528435</v>
      </c>
      <c r="Q311" s="158">
        <v>18.895878</v>
      </c>
      <c r="R311" s="55" t="s">
        <v>3466</v>
      </c>
      <c r="S311" s="55" t="s">
        <v>3467</v>
      </c>
      <c r="T311" s="180" t="s">
        <v>3468</v>
      </c>
      <c r="U311" s="98" t="s">
        <v>3469</v>
      </c>
      <c r="V311" s="50" t="s">
        <v>3470</v>
      </c>
      <c r="W311" s="55" t="s">
        <v>3471</v>
      </c>
      <c r="X311" s="55" t="s">
        <v>3472</v>
      </c>
      <c r="Y311" s="85" t="s">
        <v>3473</v>
      </c>
      <c r="Z311" s="85" t="s">
        <v>3474</v>
      </c>
      <c r="AA311" s="52" t="s">
        <v>64</v>
      </c>
      <c r="AB311" s="55"/>
      <c r="AC311" s="56"/>
      <c r="AD311" s="56"/>
      <c r="AE311" s="55"/>
      <c r="AF311" s="55"/>
      <c r="AG311" s="56"/>
      <c r="AH311" s="56"/>
      <c r="AI311" s="55"/>
      <c r="AJ311" s="55"/>
      <c r="AK311" s="56"/>
      <c r="AL311" s="56"/>
      <c r="AM311" s="34"/>
      <c r="AN311" s="34"/>
      <c r="AO311" s="131"/>
      <c r="AP311" s="145" t="str">
        <f t="shared" si="6"/>
        <v>millhill s.r.o. vzdelavanie,  reklama, obaly, nabytok a bytove doplnky, elektro, bizuteria a darcekove predmety, ine (tovary a sluzby), kovovyroba, &amp;#32vsetky kategorie  969 01 Banska Stiavnica Sme dizajnerske studio s vyrobou, poskytujeme siroke spektrum sluzieb – navrhovanie, 3D modelovanie a vizualizacia produktov, prototypovanie a vyroba novych produktov, ako aj vyroba z existujucich podkladov. Vyvijame nielen nove dizajny, ale specializujeme sa aj na produktovy redizajn. Vytvarame roznorode interierove doplnky, audio produkty, specialne pomocky, komponenty a darcekove predmety. Nasim zakaznikom je clovek, ktory potrebuje vyvinut produkt na mieru a vie ocenit kvalitu, estetiku a funkcnost. Vyrabame aj darcekove predmety (manzety na mieru, drobne drevene vyrobky, hracky) a predmety dennej potreby (penazenka, miska na ovocie, nastenne hodiny...), ktore si vie zakupit ktokolvek. Snazime sa dosahovat pozitivny socialny vplyv tym, ze zamestnavame socialne slabsie, zranitelne a znevyhodnene osoby, cim napomahame k ekonomickemu rastu spolocnosti a znizovaniu nezamestnanosti. 
Ako socialny podnik tiez poskytujeme skolenia pre studentov a ine znevyhodnene osoby prostrednictvom dualneho vzdelavania (prepojenie vzdelavania a praktickych zrucnosti), nakolko vacsina studentov, absolventov skol, ale aj nezamestnani a zranitelni, nemaju moznost ziskat prakticke zrucnosti v tejto oblasti, cim maju stazeny pristup na pracovny trh. millhill s.r.o., r.s.p. Navrhujeme a produkujeme jedinecne vyrobky z dreva, umeleho kamena, plastovych komponentov atd., mame aj stalu ponuku roznych predmetov (gramofony a reproduktory, svietidla, lavice, predelove steny a ine). Nase studio sidli na Zigmund sachte 23 v Banskej Stiavnici. Tu sa nachadzaju aj nase vyrobne priestory, kde na vyrobu prototypov a vyrobkov pouzivame rozne stroje a zariadenia (CNC freza, CO2 laser, 3D tlaciaren, vakuova komora...). dizajn, redizajn, navrh, produkt, prototyp, 3D modelovanie, vyroba, CNC freza, laser, gravirovanie, 3D tlaciaren, skolenie, darcek, darcekove predmety, audio, svietidla, nabytok, vakuove liatie, formy, polymery, drevovyroba, vizualizacia, skice           </v>
      </c>
      <c r="AQ311" s="37"/>
    </row>
    <row r="312" ht="15.75" customHeight="1">
      <c r="A312" s="43"/>
      <c r="B312" s="59">
        <v>340.0</v>
      </c>
      <c r="C312" s="75" t="s">
        <v>3475</v>
      </c>
      <c r="D312" s="42" t="s">
        <v>94</v>
      </c>
      <c r="E312" s="38" t="str">
        <f t="shared" si="1"/>
        <v>Bratislavský kraj, &amp;#32celé Slovensko</v>
      </c>
      <c r="F312" s="42" t="s">
        <v>3476</v>
      </c>
      <c r="G312" s="38" t="str">
        <f t="shared" si="2"/>
        <v>dom a záhrada, nábytok a bytové doplnky, bižutéria a darčekové predmety, &amp;#32všetky kategórie</v>
      </c>
      <c r="H312" s="183" t="s">
        <v>53</v>
      </c>
      <c r="I312" s="43" t="str">
        <f t="shared" si="3"/>
        <v>1 - 5, &amp;#32všetky možnosti</v>
      </c>
      <c r="J312" s="44" t="str">
        <f t="shared" si="7"/>
        <v>,,Náhradné plnenie</v>
      </c>
      <c r="K312" s="45">
        <f t="shared" si="5"/>
        <v>45451.00666</v>
      </c>
      <c r="L312" s="43"/>
      <c r="M312" s="43" t="str">
        <f>IFERROR(__xludf.DUMMYFUNCTION("SPLIT(O312,"","")"),"Obchodná 784/8")</f>
        <v>Obchodná 784/8</v>
      </c>
      <c r="N312" s="43" t="str">
        <f>IFERROR(__xludf.DUMMYFUNCTION("""COMPUTED_VALUE""")," 900 26 Slovenský Grob")</f>
        <v> 900 26 Slovenský Grob</v>
      </c>
      <c r="O312" s="184" t="s">
        <v>3477</v>
      </c>
      <c r="P312" s="185">
        <v>48.2566213</v>
      </c>
      <c r="Q312" s="185">
        <v>17.2807393</v>
      </c>
      <c r="R312" s="186" t="s">
        <v>3478</v>
      </c>
      <c r="S312" s="187" t="s">
        <v>3479</v>
      </c>
      <c r="T312" s="98" t="s">
        <v>86</v>
      </c>
      <c r="U312" s="188" t="s">
        <v>3480</v>
      </c>
      <c r="V312" s="189" t="s">
        <v>3481</v>
      </c>
      <c r="W312" s="187" t="s">
        <v>3482</v>
      </c>
      <c r="X312" s="187" t="s">
        <v>3483</v>
      </c>
      <c r="Y312" s="186" t="s">
        <v>3484</v>
      </c>
      <c r="Z312" s="190" t="s">
        <v>3485</v>
      </c>
      <c r="AA312" s="191" t="s">
        <v>64</v>
      </c>
      <c r="AB312" s="37"/>
      <c r="AC312" s="192"/>
      <c r="AD312" s="192"/>
      <c r="AE312" s="37"/>
      <c r="AF312" s="37"/>
      <c r="AG312" s="192"/>
      <c r="AH312" s="192"/>
      <c r="AI312" s="37"/>
      <c r="AJ312" s="37"/>
      <c r="AK312" s="192"/>
      <c r="AL312" s="192"/>
      <c r="AM312" s="193"/>
      <c r="AN312" s="193"/>
      <c r="AO312" s="131" t="s">
        <v>40</v>
      </c>
      <c r="AP312" s="145" t="str">
        <f t="shared" si="6"/>
        <v>EVENIT, s.r.o. dom a zahrada, nabytok a bytove doplnky, bizuteria a darcekove predmety, &amp;#32vsetky kategorie  900 26 Slovensky Grob Nas sortiment tvori bytovy textil a doplnky, ktorych jedinecny vzhlad vynikajuco dotvara kazdy interier.         
V sucasnosti ponukame nasim klientom bohatu skalu textilu, ktoru tvoria deky, postelne obliecky, prehozy, prestieradla, navliecky, paplony, vankuse a matrace. Tento sortiment doplnaju rovnako kvalitne bytove doplnky, napriklad dekoracne vankuse, obrusy, bytove vone, kozmeticke a osetrovacie pripravky. Na zaklade poziadaviek nasich partnerov sme do ponuky pridali kvalitne lokalne potravinarske vyrobky, ako medy, medoviny, caje, cokolady, mandle, hrozienka a ine drobne pochutiny.
V casti "Kupelna" najdete kvalitne a znackove uteraky, osusky, zupany, z ktorych si mozete vybrat tie, ktore presne zodpovedaju Vasim predstavam. Spolu hravo vycaruju z Vasho domova miesto jedinecne vystihujuce Vas styl a osobnost.
Radost vsak mozete spravit nielen sebe, ale aj svojim blizkym, ci rodinnym priatelom. Urcite sa potesia, ak ich prekvapite originalnym darcekom v podobe rozlicnych doplnkov alebo vychytavok urcenych pre celu domacnost.
Vdaka dynamickej, uzkej a intenzivnej praci nasich aj externych spolupracovnikov presla nasa rodinna firma rozsiahlym vyvojom.
Registrovane socialne podniky su v ramci socialneho aspektu favorizovane a je mozne nam zadat zakazku jednoduchsie (vyhradene zakazky, vynimky z postupov verejneho obstaravania), cim verejny obstaravatel moze naplnat kvoty pre povinne socialne hladisko vo vyhlasenych verejnych obstaravaniach.  Socialny podnik Evenit uz niekolko rokov zamestnava vylucne ZTP obcanov, vzdelava a zabezpecuje im primeranu pracu vzhladom na zdravotne postihnutie. Evenit, s.r.o. Predajna zamerana na predaj kvalitneho bytoveho textilu a doplnkov do domacnosti ako zdrave flase, termosky, termonadoby, dekoracne doplnky. Zaroven pripravujeme na mieru darcekove balenia (med, medovina, mandle, caje, cokolady, hrozienka, oriesky, cokolady, pralinky). V nasej predajni najdete aj najznamejsie znacky na trhu ako Matejovsky, ScanQuilt, Praktik, Greno, Eurofirany, Materasso, Issimo, Texicop, Stexo...
Vzhladom k mnozstvu nasich spokojnych zakaznikov je aj nadalej nasim cielom, aby sme nas sortiment neustale doplnali o novinky, ktore su prakticke a vyuzitelne v kazdodennom zivote. Budeme radi, ak navstivite nasu stranku a verime, ze Vas nasa siroka ponuka zaujme. Budeme nesmierne radi, ak sa pridate k nasim dalsim zakaznikom.  bytovy textil, uterkaky, deky, postelne obliecky, plachty, paplony, vankuse, darcekove predmety, darcekove balenia, med, mandle, medovina, cokolada, vianocne dekoracie, ozdoby, zupany, pyzama, nocne kosele, nepremokave plachty, matracove chranice, kuchynske utierky, zdrave flase, termosky, termoflase, bambusove uteraky, podsedaky, obliecky, navleky na topanky, prehozy, bytove vone           </v>
      </c>
      <c r="AQ312" s="37"/>
    </row>
    <row r="313" ht="15.75" customHeight="1">
      <c r="A313" s="43"/>
      <c r="B313" s="59">
        <v>341.0</v>
      </c>
      <c r="C313" s="194" t="s">
        <v>3486</v>
      </c>
      <c r="D313" s="168" t="s">
        <v>134</v>
      </c>
      <c r="E313" s="38" t="str">
        <f t="shared" si="1"/>
        <v>Trenčiansky kraj, &amp;#32celé Slovensko</v>
      </c>
      <c r="F313" s="157" t="s">
        <v>3487</v>
      </c>
      <c r="G313" s="38" t="str">
        <f t="shared" si="2"/>
        <v>kultúra a šport, pre deti, &amp;#32všetky kategórie</v>
      </c>
      <c r="H313" s="168" t="s">
        <v>53</v>
      </c>
      <c r="I313" s="43" t="str">
        <f t="shared" si="3"/>
        <v>1 - 5, &amp;#32všetky možnosti</v>
      </c>
      <c r="J313" s="44" t="str">
        <f t="shared" si="7"/>
        <v>Servisné poukážky,,</v>
      </c>
      <c r="K313" s="45">
        <f t="shared" si="5"/>
        <v>31771.01151</v>
      </c>
      <c r="L313" s="43"/>
      <c r="M313" s="43" t="str">
        <f>IFERROR(__xludf.DUMMYFUNCTION("SPLIT(O313,"","")"),"A. Žarnova 820/16 ")</f>
        <v>A. Žarnova 820/16 </v>
      </c>
      <c r="N313" s="43" t="str">
        <f>IFERROR(__xludf.DUMMYFUNCTION("""COMPUTED_VALUE""")," 971 01 Prievidza")</f>
        <v> 971 01 Prievidza</v>
      </c>
      <c r="O313" s="168" t="s">
        <v>3488</v>
      </c>
      <c r="P313" s="195">
        <v>48.7827889</v>
      </c>
      <c r="Q313" s="195">
        <v>18.6230612</v>
      </c>
      <c r="R313" s="167" t="s">
        <v>3489</v>
      </c>
      <c r="S313" s="196" t="s">
        <v>3490</v>
      </c>
      <c r="T313" s="197" t="s">
        <v>86</v>
      </c>
      <c r="U313" s="198" t="s">
        <v>3491</v>
      </c>
      <c r="V313" s="199" t="s">
        <v>3492</v>
      </c>
      <c r="W313" s="200" t="s">
        <v>3493</v>
      </c>
      <c r="X313" s="175" t="s">
        <v>3494</v>
      </c>
      <c r="Y313" s="201" t="s">
        <v>3495</v>
      </c>
      <c r="Z313" s="201" t="s">
        <v>3496</v>
      </c>
      <c r="AA313" s="202" t="s">
        <v>64</v>
      </c>
      <c r="AB313" s="200"/>
      <c r="AC313" s="201"/>
      <c r="AD313" s="201"/>
      <c r="AE313" s="166"/>
      <c r="AF313" s="166"/>
      <c r="AG313" s="167"/>
      <c r="AH313" s="167"/>
      <c r="AI313" s="166"/>
      <c r="AJ313" s="166"/>
      <c r="AK313" s="167"/>
      <c r="AL313" s="167"/>
      <c r="AM313" s="153" t="s">
        <v>321</v>
      </c>
      <c r="AN313" s="166"/>
      <c r="AO313" s="203"/>
      <c r="AP313" s="145" t="str">
        <f t="shared" si="6"/>
        <v>Baby plavanie, s. r. o. kultura a sport, pre deti, &amp;#32vsetky kategorie  971 01 Prievidza Ponukame sluzby v oblasti plavania, konktretne prevadzkujeme kurzy plavania pre deti od 4 mesiacov do 5 rokov.  Cielova skupina zakaznikov su rodicia s detmi.  Nas podnik sa odlisuje od ostatnych tym, ze je aj zdraviu prospesny pre deticky, ktore su predcasne narodene alebo su pohybovo zaostalejsie. Prostrednictvom kurzov plavania dokazu tieto zdravotne problemy odstranit. Baby plavanie, s.r.o. Ponukame kurzy plavania pre deti vo veku od 4 mesiacov do 5 rokov. kurz plavania, baby plavanie, plavanie pre deti          Servisne poukazky </v>
      </c>
      <c r="AQ313" s="37"/>
    </row>
    <row r="314" ht="15.75" customHeight="1">
      <c r="A314" s="204"/>
      <c r="B314" s="59">
        <v>342.0</v>
      </c>
      <c r="C314" s="205" t="s">
        <v>3497</v>
      </c>
      <c r="D314" s="206" t="s">
        <v>80</v>
      </c>
      <c r="E314" s="38" t="str">
        <f t="shared" si="1"/>
        <v>Trnavský kraj, &amp;#32celé Slovensko</v>
      </c>
      <c r="F314" s="206" t="s">
        <v>1009</v>
      </c>
      <c r="G314" s="38" t="str">
        <f t="shared" si="2"/>
        <v>stavebníctvo, &amp;#32všetky kategórie</v>
      </c>
      <c r="H314" s="206" t="s">
        <v>68</v>
      </c>
      <c r="I314" s="43" t="str">
        <f t="shared" si="3"/>
        <v>16 - 20, &amp;#32všetky možnosti</v>
      </c>
      <c r="J314" s="44" t="str">
        <f t="shared" si="7"/>
        <v>,,</v>
      </c>
      <c r="K314" s="45">
        <f t="shared" si="5"/>
        <v>34694.52436</v>
      </c>
      <c r="L314" s="43"/>
      <c r="M314" s="43" t="str">
        <f>IFERROR(__xludf.DUMMYFUNCTION("SPLIT(O314,"","")"),"Kajal 186")</f>
        <v>Kajal 186</v>
      </c>
      <c r="N314" s="43" t="str">
        <f>IFERROR(__xludf.DUMMYFUNCTION("""COMPUTED_VALUE""")," 925 92 Kajal")</f>
        <v> 925 92 Kajal</v>
      </c>
      <c r="O314" s="206" t="s">
        <v>3498</v>
      </c>
      <c r="P314" s="207">
        <v>48.1866691</v>
      </c>
      <c r="Q314" s="207">
        <v>17.7872433</v>
      </c>
      <c r="R314" s="208" t="s">
        <v>3499</v>
      </c>
      <c r="S314" s="209" t="s">
        <v>3500</v>
      </c>
      <c r="T314" s="210" t="s">
        <v>86</v>
      </c>
      <c r="U314" s="211" t="s">
        <v>3501</v>
      </c>
      <c r="V314" s="212" t="s">
        <v>3502</v>
      </c>
      <c r="W314" s="213" t="s">
        <v>3503</v>
      </c>
      <c r="X314" s="214" t="s">
        <v>3497</v>
      </c>
      <c r="Y314" s="215" t="s">
        <v>3504</v>
      </c>
      <c r="Z314" s="215" t="s">
        <v>3505</v>
      </c>
      <c r="AA314" s="216" t="s">
        <v>64</v>
      </c>
      <c r="AB314" s="213"/>
      <c r="AC314" s="215"/>
      <c r="AD314" s="215"/>
      <c r="AE314" s="217"/>
      <c r="AF314" s="217"/>
      <c r="AG314" s="208"/>
      <c r="AH314" s="208"/>
      <c r="AI314" s="217"/>
      <c r="AJ314" s="217"/>
      <c r="AK314" s="208"/>
      <c r="AL314" s="208"/>
      <c r="AM314" s="208"/>
      <c r="AN314" s="217"/>
      <c r="AO314" s="218"/>
      <c r="AP314" s="145" t="str">
        <f t="shared" si="6"/>
        <v>Hydro Real Group s.r.o. stavebnictvo, &amp;#32vsetky kategorie  925 92 Kajal Zakladnou prioritou nasej spolocnosti uz od roku 2010 je vrtanie studni. Roky skusenosti a mnozstvo spokojnych zakaznikov su nasou najlepsou vizitkou.
Poskytujeme kompletny servis od bezplatnej obhliadky a nezavaznej ponuky, az po vypracovanie celej dokumentacie pre stavebny urad, samotne vyvrtanie studne a zapojenie Vasho noveho zdroja vody. Zameriavame sa na lokality Juhozapadneho Slovenska, Podunajskej niziny a okolia Bratislavy. V oblasti vrtania studni poskytujeme siroku ponuku sluzieb, priamo ci nepriamo suvisiacich s vrtnymi pracami a prislusenstvom. Primarnym cielom nasej spolocnosti ako socialneho podniku je poskytovanie pracovnych prilezitosti a vzdelavanie najma pre osoby, ktore su socialne vylucene, ktorym vytvarame stimulujuce a podporujuce prostredie.  
Transformaciou spolocnosti na socialny podnik integracneho charakteru sa nasa spolocnost sustredi na zamestnavanie ludi, ktori maju  stazene uplatnenie na trhu prace bud zo zdravotneho znevyhodnenia alebo inych ako zdravotnych dovodov. 
Spolocensky dopad aktivit nasej spolocnosti je  najma v zamestnani  znevyhodnenych a zranitelnych  osob. 
 Hydro Real Group s.r.o. vrtanie studni, cistenie studni, dodavka a montaz studnicnych sacht a cerpacej techniky, studnicne sachty vrtanie studni, studnicne sachty, cerpacia technika, zemne a vykopove prace            </v>
      </c>
      <c r="AQ314" s="37"/>
    </row>
    <row r="315" ht="15.75" customHeight="1">
      <c r="A315" s="43"/>
      <c r="B315" s="59">
        <v>343.0</v>
      </c>
      <c r="C315" s="219" t="s">
        <v>3506</v>
      </c>
      <c r="D315" s="42" t="s">
        <v>181</v>
      </c>
      <c r="E315" s="38" t="str">
        <f t="shared" si="1"/>
        <v>Banskobystrický kraj, &amp;#32celé Slovensko</v>
      </c>
      <c r="F315" s="42" t="s">
        <v>244</v>
      </c>
      <c r="G315" s="38" t="str">
        <f t="shared" si="2"/>
        <v>potraviny a nápoje, &amp;#32všetky kategórie</v>
      </c>
      <c r="H315" s="42" t="s">
        <v>170</v>
      </c>
      <c r="I315" s="43" t="str">
        <f t="shared" si="3"/>
        <v>21 a viac, &amp;#32všetky možnosti</v>
      </c>
      <c r="J315" s="44" t="str">
        <f t="shared" si="7"/>
        <v>,Register partnerov VS,</v>
      </c>
      <c r="K315" s="45">
        <f t="shared" si="5"/>
        <v>39103.76183</v>
      </c>
      <c r="L315" s="43"/>
      <c r="M315" s="43" t="str">
        <f>IFERROR(__xludf.DUMMYFUNCTION("SPLIT(O315,"","")"),"Gottwaldova 49")</f>
        <v>Gottwaldova 49</v>
      </c>
      <c r="N315" s="43" t="str">
        <f>IFERROR(__xludf.DUMMYFUNCTION("""COMPUTED_VALUE""")," 991 06 Želovce")</f>
        <v> 991 06 Želovce</v>
      </c>
      <c r="O315" s="42" t="s">
        <v>3507</v>
      </c>
      <c r="P315" s="81">
        <v>48.1255570999999</v>
      </c>
      <c r="Q315" s="81">
        <v>19.3525262</v>
      </c>
      <c r="R315" s="82" t="s">
        <v>3508</v>
      </c>
      <c r="S315" s="85" t="s">
        <v>3509</v>
      </c>
      <c r="T315" s="98" t="s">
        <v>3510</v>
      </c>
      <c r="U315" s="180" t="s">
        <v>3511</v>
      </c>
      <c r="V315" s="84" t="s">
        <v>3512</v>
      </c>
      <c r="W315" s="85" t="s">
        <v>3513</v>
      </c>
      <c r="X315" s="85" t="s">
        <v>3506</v>
      </c>
      <c r="Y315" s="82" t="s">
        <v>3514</v>
      </c>
      <c r="Z315" s="86" t="s">
        <v>3515</v>
      </c>
      <c r="AA315" s="156" t="s">
        <v>64</v>
      </c>
      <c r="AB315" s="55"/>
      <c r="AC315" s="56"/>
      <c r="AD315" s="56"/>
      <c r="AE315" s="55"/>
      <c r="AF315" s="55"/>
      <c r="AG315" s="56"/>
      <c r="AH315" s="56"/>
      <c r="AI315" s="55"/>
      <c r="AJ315" s="55"/>
      <c r="AK315" s="56"/>
      <c r="AL315" s="56"/>
      <c r="AM315" s="83"/>
      <c r="AN315" s="154" t="s">
        <v>39</v>
      </c>
      <c r="AO315" s="56"/>
      <c r="AP315" s="145" t="str">
        <f t="shared" si="6"/>
        <v>COBAK, s.r.o. potraviny a napoje, &amp;#32vsetky kategorie  991 06 Zelovce Cukraren, vyroba a predaj cukrarenskych vyrobkov - cerstve a balene zakusky, torty na rozne prilezitosti. Vyse polovicu nasich zamestnancov tvoria znevyhodneni zamestnanci. COBAK, s.r.o. Vyroba a predaj cukrarskych vyrobkov cukraren, makronky, kolace, torty           Register partnerov VS</v>
      </c>
      <c r="AQ315" s="37"/>
    </row>
    <row r="316" ht="15.75" customHeight="1">
      <c r="A316" s="43"/>
      <c r="B316" s="59">
        <v>344.0</v>
      </c>
      <c r="C316" s="219" t="s">
        <v>3516</v>
      </c>
      <c r="D316" s="42" t="s">
        <v>66</v>
      </c>
      <c r="E316" s="38" t="str">
        <f t="shared" si="1"/>
        <v>Žilinský kraj, &amp;#32celé Slovensko</v>
      </c>
      <c r="F316" s="42" t="s">
        <v>3517</v>
      </c>
      <c r="G316" s="38" t="str">
        <f t="shared" si="2"/>
        <v>dom a záhrada, stavebníctvo, iné (tovary a služby), &amp;#32všetky kategórie</v>
      </c>
      <c r="H316" s="42" t="s">
        <v>96</v>
      </c>
      <c r="I316" s="43" t="str">
        <f t="shared" si="3"/>
        <v>6 - 10, &amp;#32všetky možnosti</v>
      </c>
      <c r="J316" s="44" t="str">
        <f t="shared" si="7"/>
        <v>,,</v>
      </c>
      <c r="K316" s="45">
        <f t="shared" si="5"/>
        <v>36414.52376</v>
      </c>
      <c r="L316" s="43"/>
      <c r="M316" s="43" t="str">
        <f>IFERROR(__xludf.DUMMYFUNCTION("SPLIT(O316,"","")"),"Ďurčiná 370")</f>
        <v>Ďurčiná 370</v>
      </c>
      <c r="N316" s="43" t="str">
        <f>IFERROR(__xludf.DUMMYFUNCTION("""COMPUTED_VALUE""")," 015 01  Ďurčiná")</f>
        <v> 015 01  Ďurčiná</v>
      </c>
      <c r="O316" s="42" t="s">
        <v>3518</v>
      </c>
      <c r="P316" s="81">
        <v>49.0622939</v>
      </c>
      <c r="Q316" s="81">
        <v>18.6541263</v>
      </c>
      <c r="R316" s="82" t="s">
        <v>3519</v>
      </c>
      <c r="S316" s="85" t="s">
        <v>3520</v>
      </c>
      <c r="T316" s="98" t="s">
        <v>86</v>
      </c>
      <c r="U316" s="180" t="s">
        <v>3521</v>
      </c>
      <c r="V316" s="84" t="s">
        <v>3522</v>
      </c>
      <c r="W316" s="85" t="s">
        <v>3523</v>
      </c>
      <c r="X316" s="85" t="s">
        <v>3524</v>
      </c>
      <c r="Y316" s="82" t="s">
        <v>3525</v>
      </c>
      <c r="Z316" s="86" t="s">
        <v>3526</v>
      </c>
      <c r="AA316" s="156" t="s">
        <v>64</v>
      </c>
      <c r="AB316" s="55"/>
      <c r="AC316" s="56"/>
      <c r="AD316" s="56"/>
      <c r="AE316" s="55"/>
      <c r="AF316" s="55"/>
      <c r="AG316" s="56"/>
      <c r="AH316" s="56"/>
      <c r="AI316" s="55"/>
      <c r="AJ316" s="55"/>
      <c r="AK316" s="56"/>
      <c r="AL316" s="56"/>
      <c r="AM316" s="83"/>
      <c r="AN316" s="83"/>
      <c r="AO316" s="56"/>
      <c r="AP316" s="145" t="str">
        <f t="shared" si="6"/>
        <v>Sluzby obce Durcina s.r.o. dom a zahrada, stavebnictvo, ine (tovary a sluzby), &amp;#32vsetky kategorie  015 01  Durcina Ponukame obcanom pomocne prace v zahradach, kosenie, orez a vyrez krovin a stromov, stiepanie dreva. Pozitivny socialny vplyv podniku je naplneny najma poskytovanim sluzieb obcanom, ktori si svojpomocne nevedia zabezpecit pomocne prace v zahradach. Sluzby obce Durcina s.r.o. RSP Poskytovanie pomocnych sluzieb v zahradach a na verejnych priestranstvach. kosenie, orez drevin, zahradne prace, stiepanie dreva           </v>
      </c>
      <c r="AQ316" s="37"/>
    </row>
    <row r="317" ht="15.75" customHeight="1">
      <c r="A317" s="43"/>
      <c r="B317" s="59">
        <v>345.0</v>
      </c>
      <c r="C317" s="219" t="s">
        <v>3527</v>
      </c>
      <c r="D317" s="42" t="s">
        <v>218</v>
      </c>
      <c r="E317" s="38" t="str">
        <f t="shared" si="1"/>
        <v>Košický kraj, &amp;#32celé Slovensko</v>
      </c>
      <c r="F317" s="42" t="s">
        <v>3528</v>
      </c>
      <c r="G317" s="38" t="str">
        <f t="shared" si="2"/>
        <v>ochrana a bezpečnosť, vzdelávanie, iné (tovary a služby), &amp;#32všetky kategórie</v>
      </c>
      <c r="H317" s="42" t="s">
        <v>53</v>
      </c>
      <c r="I317" s="43" t="str">
        <f t="shared" si="3"/>
        <v>1 - 5, &amp;#32všetky možnosti</v>
      </c>
      <c r="J317" s="44" t="str">
        <f t="shared" si="7"/>
        <v>,,</v>
      </c>
      <c r="K317" s="45">
        <f t="shared" si="5"/>
        <v>42908.91576</v>
      </c>
      <c r="L317" s="43"/>
      <c r="M317" s="43" t="str">
        <f>IFERROR(__xludf.DUMMYFUNCTION("SPLIT(O317,"","")"),"Ďumbierska 9")</f>
        <v>Ďumbierska 9</v>
      </c>
      <c r="N317" s="43" t="str">
        <f>IFERROR(__xludf.DUMMYFUNCTION("""COMPUTED_VALUE""")," 040 01 Košice")</f>
        <v> 040 01 Košice</v>
      </c>
      <c r="O317" s="42" t="s">
        <v>3529</v>
      </c>
      <c r="P317" s="81">
        <v>48.7519348</v>
      </c>
      <c r="Q317" s="81">
        <v>21.2447887</v>
      </c>
      <c r="R317" s="82" t="s">
        <v>3530</v>
      </c>
      <c r="S317" s="85" t="s">
        <v>3531</v>
      </c>
      <c r="T317" s="98" t="s">
        <v>86</v>
      </c>
      <c r="U317" s="180" t="s">
        <v>3532</v>
      </c>
      <c r="V317" s="84" t="s">
        <v>3533</v>
      </c>
      <c r="W317" s="85" t="s">
        <v>3534</v>
      </c>
      <c r="X317" s="85" t="s">
        <v>3527</v>
      </c>
      <c r="Y317" s="82" t="s">
        <v>3535</v>
      </c>
      <c r="Z317" s="86" t="s">
        <v>3536</v>
      </c>
      <c r="AA317" s="156" t="s">
        <v>64</v>
      </c>
      <c r="AB317" s="55"/>
      <c r="AC317" s="56"/>
      <c r="AD317" s="56"/>
      <c r="AE317" s="55"/>
      <c r="AF317" s="55"/>
      <c r="AG317" s="56"/>
      <c r="AH317" s="56"/>
      <c r="AI317" s="55"/>
      <c r="AJ317" s="55"/>
      <c r="AK317" s="56"/>
      <c r="AL317" s="56"/>
      <c r="AM317" s="83"/>
      <c r="AN317" s="83"/>
      <c r="AO317" s="56"/>
      <c r="AP317" s="145" t="str">
        <f t="shared" si="6"/>
        <v>Haspo-tex, s.r.o., r.s.p. ochrana a bezpecnost, vzdelavanie, ine (tovary a sluzby), &amp;#32vsetky kategorie  040 01 Kosice Nasa spolocnost poskytuje sluzby v oblasti bezpecnosti a ochrany zdravia pri praci, civilnej ochrany a poziarnej ochrany. Nasim cielom je podpora zamestnanosti zranitelnych a znevyhodnenych osob, vdaka comu sa aktivne zapajaju do bezneho zivota. Haspo-tex, s.r.o., r.s.p. Dodavatelskym sposobom zabezpecujeme komplexne sluzby v oblasti bezpecnosti a ochrany zdravia pri praci, civilnej ochrany a poziarnej ochrany. bezpecnost a ochrana zdravia pri praci, protipoziarna ochrana, civilna ochrana, kontrola poziarnych zariadeni           </v>
      </c>
      <c r="AQ317" s="37"/>
    </row>
    <row r="318" ht="15.75" customHeight="1">
      <c r="A318" s="43"/>
      <c r="B318" s="59">
        <v>346.0</v>
      </c>
      <c r="C318" s="219" t="s">
        <v>3537</v>
      </c>
      <c r="D318" s="42" t="s">
        <v>94</v>
      </c>
      <c r="E318" s="38" t="str">
        <f t="shared" si="1"/>
        <v>Bratislavský kraj, &amp;#32celé Slovensko</v>
      </c>
      <c r="F318" s="42" t="s">
        <v>3538</v>
      </c>
      <c r="G318" s="38" t="str">
        <f t="shared" si="2"/>
        <v>vzdelávanie, pre deti,, &amp;#32všetky kategórie</v>
      </c>
      <c r="H318" s="42" t="s">
        <v>96</v>
      </c>
      <c r="I318" s="43" t="str">
        <f t="shared" si="3"/>
        <v>6 - 10, &amp;#32všetky možnosti</v>
      </c>
      <c r="J318" s="44" t="str">
        <f t="shared" si="7"/>
        <v>,,</v>
      </c>
      <c r="K318" s="45">
        <f t="shared" si="5"/>
        <v>33289.18738</v>
      </c>
      <c r="L318" s="43"/>
      <c r="M318" s="43" t="str">
        <f>IFERROR(__xludf.DUMMYFUNCTION("SPLIT(O318,"","")"),"Mandľová 1937/32")</f>
        <v>Mandľová 1937/32</v>
      </c>
      <c r="N318" s="43" t="str">
        <f>IFERROR(__xludf.DUMMYFUNCTION("""COMPUTED_VALUE""")," 900 42 Dunajská Lužná")</f>
        <v> 900 42 Dunajská Lužná</v>
      </c>
      <c r="O318" s="42" t="s">
        <v>3539</v>
      </c>
      <c r="P318" s="81">
        <v>48.0773783</v>
      </c>
      <c r="Q318" s="81">
        <v>17.2649621</v>
      </c>
      <c r="R318" s="82" t="s">
        <v>3540</v>
      </c>
      <c r="S318" s="85" t="s">
        <v>3541</v>
      </c>
      <c r="T318" s="220" t="s">
        <v>86</v>
      </c>
      <c r="U318" s="188" t="s">
        <v>3542</v>
      </c>
      <c r="V318" s="84" t="s">
        <v>3543</v>
      </c>
      <c r="W318" s="85" t="s">
        <v>3544</v>
      </c>
      <c r="X318" s="85" t="s">
        <v>3545</v>
      </c>
      <c r="Y318" s="85" t="s">
        <v>3546</v>
      </c>
      <c r="Z318" s="85" t="s">
        <v>3547</v>
      </c>
      <c r="AA318" s="85" t="s">
        <v>64</v>
      </c>
      <c r="AB318" s="85"/>
      <c r="AC318" s="85"/>
      <c r="AD318" s="85"/>
      <c r="AE318" s="85"/>
      <c r="AF318" s="85"/>
      <c r="AG318" s="85"/>
      <c r="AH318" s="85"/>
      <c r="AI318" s="85"/>
      <c r="AJ318" s="85"/>
      <c r="AK318" s="85"/>
      <c r="AL318" s="85"/>
      <c r="AM318" s="83"/>
      <c r="AN318" s="83"/>
      <c r="AO318" s="56"/>
      <c r="AP318" s="145" t="str">
        <f t="shared" si="6"/>
        <v>Festikovo DL, s.r.o. vzdelavanie, pre deti,, &amp;#32vsetky kategorie  900 42 Dunajska Luzna Venujeme sa dennej starostlivosti o deti - mala skolka v krasnom prostredi rodinneho domu v Dunajskej Luznej, zamerana na individualny pristup. Ponukame pracovne prilezitosti aj pre znevyhodnene a zranitelne osoby. DC Festikovo Poskytujeme dennu starostlivost o deti - nase detske centrum poskytuje dlhodobu, kratkodobu a flexibilnu starostlivost o deti uz od 18 mesiacov, integrujeme tiez deti so specialnymi vychovno-vzdelavacimi potrebami. skolka, materska skola, Dunajska Luzna, deti, starostlivost o deti, vzdelavanie, vychova, alternativne metody, individualny pristup k detom, inkluzia           </v>
      </c>
      <c r="AQ318" s="37"/>
    </row>
    <row r="319" ht="15.75" customHeight="1">
      <c r="A319" s="43"/>
      <c r="B319" s="59">
        <v>347.0</v>
      </c>
      <c r="C319" s="219" t="s">
        <v>3548</v>
      </c>
      <c r="D319" s="42" t="s">
        <v>181</v>
      </c>
      <c r="E319" s="38" t="str">
        <f t="shared" si="1"/>
        <v>Banskobystrický kraj, &amp;#32celé Slovensko</v>
      </c>
      <c r="F319" s="42" t="s">
        <v>3549</v>
      </c>
      <c r="G319" s="38" t="str">
        <f t="shared" si="2"/>
        <v>čistiace a upratovacie služby, ochrana a bezpečnosť, odevy a obuv, &amp;#32všetky kategórie</v>
      </c>
      <c r="H319" s="42" t="s">
        <v>82</v>
      </c>
      <c r="I319" s="43" t="str">
        <f t="shared" si="3"/>
        <v>11 - 15, &amp;#32všetky možnosti</v>
      </c>
      <c r="J319" s="44" t="str">
        <f t="shared" si="7"/>
        <v>,Register partnerov VS,Náhradné plnenie</v>
      </c>
      <c r="K319" s="45">
        <f t="shared" si="5"/>
        <v>28079.79097</v>
      </c>
      <c r="L319" s="43"/>
      <c r="M319" s="43" t="str">
        <f>IFERROR(__xludf.DUMMYFUNCTION("SPLIT(O319,"","")"),"ČSA 79/79")</f>
        <v>ČSA 79/79</v>
      </c>
      <c r="N319" s="43" t="str">
        <f>IFERROR(__xludf.DUMMYFUNCTION("""COMPUTED_VALUE""")," 962 23 Očová")</f>
        <v> 962 23 Očová</v>
      </c>
      <c r="O319" s="42" t="s">
        <v>3550</v>
      </c>
      <c r="P319" s="81">
        <v>48.5992304</v>
      </c>
      <c r="Q319" s="81">
        <v>19.2846091</v>
      </c>
      <c r="R319" s="82" t="s">
        <v>3551</v>
      </c>
      <c r="S319" s="85" t="s">
        <v>3078</v>
      </c>
      <c r="T319" s="220" t="s">
        <v>86</v>
      </c>
      <c r="U319" s="188" t="s">
        <v>3552</v>
      </c>
      <c r="V319" s="84" t="s">
        <v>3553</v>
      </c>
      <c r="W319" s="85" t="s">
        <v>3554</v>
      </c>
      <c r="X319" s="85" t="s">
        <v>3555</v>
      </c>
      <c r="Y319" s="85" t="s">
        <v>3556</v>
      </c>
      <c r="Z319" s="85" t="s">
        <v>3557</v>
      </c>
      <c r="AA319" s="85" t="s">
        <v>64</v>
      </c>
      <c r="AB319" s="85"/>
      <c r="AC319" s="85"/>
      <c r="AD319" s="85"/>
      <c r="AE319" s="85"/>
      <c r="AF319" s="85"/>
      <c r="AG319" s="85"/>
      <c r="AH319" s="85"/>
      <c r="AI319" s="85"/>
      <c r="AJ319" s="85"/>
      <c r="AK319" s="85"/>
      <c r="AL319" s="85"/>
      <c r="AM319" s="83"/>
      <c r="AN319" s="83" t="s">
        <v>39</v>
      </c>
      <c r="AO319" s="131" t="s">
        <v>40</v>
      </c>
      <c r="AP319" s="145" t="str">
        <f t="shared" si="6"/>
        <v>Peron Slovakia, s.r.o. cistiace a upratovacie sluzby, ochrana a bezpecnost, odevy a obuv, &amp;#32vsetky kategorie  962 23 Ocova Ponukame komplexne sluzby cistiarne a pracovne, a to najma v oblasti starostlivosti o ochranne pracovne odevy pre priemyselne podniky. Tu vsak nase sluzby nekoncia. Vieme sa postarat aj o reprezentativny a cisty vzhlad pre zamestnancov hotelov, penzionov ci restauracii a tiez o cistotu a hygienu textilu, ktory pouzivaju. Sucastou sluzieb, ktore ponukame, je aj servisny prenajom pracovneho oblecenia. Prave tato sluzba je flexibilnym, modernym a inteligentnym riesenim pre vsetky spolocnosti, ktore sa staraju o bezpecnost a zdravie svojich zamestnancov. Pomaha im setrit cas, skladove priestory a financie. Zamestnavame obcanov zo skupiny zranitelnych a znevyhodnenych osob. Peron Slovakia, s.r.o. - RSP Pracovna a cistiaren odevov, oprava a predaj osobnych ochrannych pracovnych prostriedkov a pomocok, predaj obuvi. Pracovna a cistiaren, obchod s osobnymi ochrannymi odevami a obuvou (OOPP), internetovy obchod           Register partnerov VS</v>
      </c>
      <c r="AQ319" s="37"/>
    </row>
    <row r="320" ht="15.75" customHeight="1">
      <c r="A320" s="43"/>
      <c r="B320" s="59">
        <v>348.0</v>
      </c>
      <c r="C320" s="219" t="s">
        <v>3558</v>
      </c>
      <c r="D320" s="42" t="s">
        <v>51</v>
      </c>
      <c r="E320" s="38" t="str">
        <f t="shared" si="1"/>
        <v>Prešovský kraj, &amp;#32celé Slovensko</v>
      </c>
      <c r="F320" s="42" t="s">
        <v>3559</v>
      </c>
      <c r="G320" s="38" t="str">
        <f t="shared" si="2"/>
        <v>čistiace a upratovacie služby, dom a záhrada, stavebníctvo, doprava, ubytovacie a stravovacie služby, kultúra a šport, potraviny a nápoje, odpady a recyklácia, pre deti, iné (tovary a služby), &amp;#32všetky kategórie</v>
      </c>
      <c r="H320" s="42" t="s">
        <v>96</v>
      </c>
      <c r="I320" s="43" t="str">
        <f t="shared" si="3"/>
        <v>6 - 10, &amp;#32všetky možnosti</v>
      </c>
      <c r="J320" s="44" t="str">
        <f t="shared" si="7"/>
        <v>,Register partnerov VS,</v>
      </c>
      <c r="K320" s="45">
        <f t="shared" si="5"/>
        <v>5002.764716</v>
      </c>
      <c r="L320" s="43"/>
      <c r="M320" s="43" t="str">
        <f>IFERROR(__xludf.DUMMYFUNCTION("SPLIT(O320,"","")"),"Štúrova 228/109")</f>
        <v>Štúrova 228/109</v>
      </c>
      <c r="N320" s="43" t="str">
        <f>IFERROR(__xludf.DUMMYFUNCTION("""COMPUTED_VALUE""")," 061 01 Spišská Stará Ves")</f>
        <v> 061 01 Spišská Stará Ves</v>
      </c>
      <c r="O320" s="42" t="s">
        <v>3560</v>
      </c>
      <c r="P320" s="81">
        <v>49.3832469</v>
      </c>
      <c r="Q320" s="81">
        <v>20.3583995</v>
      </c>
      <c r="R320" s="82" t="s">
        <v>3561</v>
      </c>
      <c r="S320" s="85" t="s">
        <v>3562</v>
      </c>
      <c r="T320" s="220" t="s">
        <v>86</v>
      </c>
      <c r="U320" s="188" t="s">
        <v>3563</v>
      </c>
      <c r="V320" s="84" t="s">
        <v>3564</v>
      </c>
      <c r="W320" s="85" t="s">
        <v>3565</v>
      </c>
      <c r="X320" s="85" t="s">
        <v>3566</v>
      </c>
      <c r="Y320" s="85" t="s">
        <v>3567</v>
      </c>
      <c r="Z320" s="85" t="s">
        <v>3568</v>
      </c>
      <c r="AA320" s="85" t="s">
        <v>64</v>
      </c>
      <c r="AB320" s="85"/>
      <c r="AC320" s="85"/>
      <c r="AD320" s="85"/>
      <c r="AE320" s="85"/>
      <c r="AF320" s="85"/>
      <c r="AG320" s="85"/>
      <c r="AH320" s="85"/>
      <c r="AI320" s="85"/>
      <c r="AJ320" s="85"/>
      <c r="AK320" s="85"/>
      <c r="AL320" s="85"/>
      <c r="AM320" s="83"/>
      <c r="AN320" s="83" t="s">
        <v>39</v>
      </c>
      <c r="AO320" s="56"/>
      <c r="AP320" s="145" t="str">
        <f t="shared" si="6"/>
        <v>Mestsky podnik Spisska Stara Ves, s.r.o. cistiace a upratovacie sluzby, dom a zahrada, stavebnictvo, doprava, ubytovacie a stravovacie sluzby, kultura a sport, potraviny a napoje, odpady a recyklacia, pre deti, ine (tovary a sluzby), &amp;#32vsetky kategorie  061 01 Spisska Stara Ves Mestsky podnik Spisska Stara Ves, s.r.o. vznikol v roku 2021 ako prispevkova organizacia mesta Spisska Stara Ves so statutom pravnicka osoba s pravnou subjektivitou. Medzi hlavne cinnosti organizacie patria: upratovacie sluzby, drobne stavebne a zemne prace, maliarske prace, kosenie travnatych ploch a doprava. Hlavnym cielom socialneho podniku je podpora zamestnanosti znevyhodnenych osob, integracia ludi s fyzickym znevyhodnenim. Prispievame k rozvoju sluzieb v obci a regione. Mestsky podnik Spisska Stara Ves s.r.o. Medzi hlavne cinnosti organizacie patria: upratovacie sluzby, drobne stavebne a zemne prace, maliarske prace a doprava. Upratovacie sluzby, drobne stavebne a zemne prace, maliarske prace, kosenie travnatych ploch, doprava           Register partnerov VS</v>
      </c>
      <c r="AQ320" s="37"/>
    </row>
    <row r="321" ht="15.75" customHeight="1">
      <c r="A321" s="43"/>
      <c r="B321" s="59">
        <v>349.0</v>
      </c>
      <c r="C321" s="219" t="s">
        <v>3569</v>
      </c>
      <c r="D321" s="42" t="s">
        <v>94</v>
      </c>
      <c r="E321" s="38" t="str">
        <f t="shared" si="1"/>
        <v>Bratislavský kraj, &amp;#32celé Slovensko</v>
      </c>
      <c r="F321" s="42" t="s">
        <v>911</v>
      </c>
      <c r="G321" s="38" t="str">
        <f t="shared" si="2"/>
        <v>krása-zdravie-relax, &amp;#32všetky kategórie</v>
      </c>
      <c r="H321" s="42" t="s">
        <v>82</v>
      </c>
      <c r="I321" s="43" t="str">
        <f t="shared" si="3"/>
        <v>11 - 15, &amp;#32všetky možnosti</v>
      </c>
      <c r="J321" s="44" t="str">
        <f t="shared" si="7"/>
        <v>,,Náhradné plnenie</v>
      </c>
      <c r="K321" s="45">
        <f t="shared" si="5"/>
        <v>3868.471227</v>
      </c>
      <c r="L321" s="43"/>
      <c r="M321" s="43" t="str">
        <f>IFERROR(__xludf.DUMMYFUNCTION("SPLIT(O321,"","")"),"Martinčekova 781/16")</f>
        <v>Martinčekova 781/16</v>
      </c>
      <c r="N321" s="43" t="str">
        <f>IFERROR(__xludf.DUMMYFUNCTION("""COMPUTED_VALUE""")," 821 09 Bratislava")</f>
        <v> 821 09 Bratislava</v>
      </c>
      <c r="O321" s="42" t="s">
        <v>3570</v>
      </c>
      <c r="P321" s="81">
        <v>48.1490541999999</v>
      </c>
      <c r="Q321" s="81">
        <v>17.1470437</v>
      </c>
      <c r="R321" s="82" t="s">
        <v>3571</v>
      </c>
      <c r="S321" s="85" t="s">
        <v>3572</v>
      </c>
      <c r="T321" s="98" t="s">
        <v>86</v>
      </c>
      <c r="U321" s="180" t="s">
        <v>3573</v>
      </c>
      <c r="V321" s="84" t="s">
        <v>3574</v>
      </c>
      <c r="W321" s="85" t="s">
        <v>3575</v>
      </c>
      <c r="X321" s="85" t="s">
        <v>3569</v>
      </c>
      <c r="Y321" s="82" t="s">
        <v>3576</v>
      </c>
      <c r="Z321" s="86" t="s">
        <v>3577</v>
      </c>
      <c r="AA321" s="156" t="s">
        <v>64</v>
      </c>
      <c r="AB321" s="55"/>
      <c r="AC321" s="56"/>
      <c r="AD321" s="56"/>
      <c r="AE321" s="55"/>
      <c r="AF321" s="55"/>
      <c r="AG321" s="56"/>
      <c r="AH321" s="56"/>
      <c r="AI321" s="55"/>
      <c r="AJ321" s="55"/>
      <c r="AK321" s="56"/>
      <c r="AL321" s="56"/>
      <c r="AM321" s="83"/>
      <c r="AN321" s="83"/>
      <c r="AO321" s="131" t="s">
        <v>40</v>
      </c>
      <c r="AP321" s="145" t="str">
        <f t="shared" si="6"/>
        <v>Slovensky integracny podnik, o. z. krasa-zdravie-relax, &amp;#32vsetky kategorie  821 09 Bratislava Ponukame maserske sluzby. Umoznujeme zaradenie zdravotne znevyhodnenych ludi do spolocnosti. Slovensky integracny podnik, o. z. Ponukame masaze rozneho typu (klasicka, sportova, reflexna, lavove kamene, bankovanie, manualna lymfodrenaz). masaze           </v>
      </c>
      <c r="AQ321" s="37"/>
    </row>
    <row r="322" ht="15.75" customHeight="1">
      <c r="A322" s="43"/>
      <c r="B322" s="59">
        <v>350.0</v>
      </c>
      <c r="C322" s="219" t="s">
        <v>3578</v>
      </c>
      <c r="D322" s="42" t="s">
        <v>94</v>
      </c>
      <c r="E322" s="38" t="str">
        <f t="shared" si="1"/>
        <v>Bratislavský kraj, &amp;#32celé Slovensko</v>
      </c>
      <c r="F322" s="42" t="s">
        <v>3579</v>
      </c>
      <c r="G322" s="38" t="str">
        <f t="shared" si="2"/>
        <v>potraviny a nápoje, iné (tovary a služby), vzdelávanie, &amp;#32všetky kategórie</v>
      </c>
      <c r="H322" s="42" t="s">
        <v>53</v>
      </c>
      <c r="I322" s="43" t="str">
        <f t="shared" si="3"/>
        <v>1 - 5, &amp;#32všetky možnosti</v>
      </c>
      <c r="J322" s="44" t="str">
        <f t="shared" si="7"/>
        <v>,,Náhradné plnenie</v>
      </c>
      <c r="K322" s="45">
        <f t="shared" si="5"/>
        <v>41554.30418</v>
      </c>
      <c r="L322" s="43"/>
      <c r="M322" s="43" t="str">
        <f>IFERROR(__xludf.DUMMYFUNCTION("SPLIT(O322,"","")"),"Karola Šišku 40")</f>
        <v>Karola Šišku 40</v>
      </c>
      <c r="N322" s="43" t="str">
        <f>IFERROR(__xludf.DUMMYFUNCTION("""COMPUTED_VALUE""")," 903 01 Senec")</f>
        <v> 903 01 Senec</v>
      </c>
      <c r="O322" s="42" t="s">
        <v>3580</v>
      </c>
      <c r="P322" s="81">
        <v>48.2108035</v>
      </c>
      <c r="Q322" s="81">
        <v>17.3798626</v>
      </c>
      <c r="R322" s="82" t="s">
        <v>3581</v>
      </c>
      <c r="S322" s="85" t="s">
        <v>3582</v>
      </c>
      <c r="T322" s="98" t="s">
        <v>3583</v>
      </c>
      <c r="U322" s="180" t="s">
        <v>3584</v>
      </c>
      <c r="V322" s="84" t="s">
        <v>3585</v>
      </c>
      <c r="W322" s="85" t="s">
        <v>3586</v>
      </c>
      <c r="X322" s="85" t="s">
        <v>3587</v>
      </c>
      <c r="Y322" s="82" t="s">
        <v>3588</v>
      </c>
      <c r="Z322" s="86" t="s">
        <v>3589</v>
      </c>
      <c r="AA322" s="156" t="s">
        <v>64</v>
      </c>
      <c r="AB322" s="55"/>
      <c r="AC322" s="56"/>
      <c r="AD322" s="56"/>
      <c r="AE322" s="55"/>
      <c r="AF322" s="55"/>
      <c r="AG322" s="56"/>
      <c r="AH322" s="56"/>
      <c r="AI322" s="55"/>
      <c r="AJ322" s="55"/>
      <c r="AK322" s="56"/>
      <c r="AL322" s="56"/>
      <c r="AM322" s="34"/>
      <c r="AN322" s="34"/>
      <c r="AO322" s="131" t="s">
        <v>40</v>
      </c>
      <c r="AP322" s="145" t="str">
        <f t="shared" si="6"/>
        <v>Medovnikovy domcek s.r.o., registrovany socialny podnik potraviny a napoje, ine (tovary a sluzby), vzdelavanie, &amp;#32vsetky kategorie  903 01 Senec Vyroba a predaj medovnikov Nas integracny socialny podnik v prvom rade zamestnava osoby znevyhodnene a zranitelne osoby. Zaroven je nasou snahou sirit krasne medovnikarske remeslo aj pomocou kurzov na zdobenie medovnikov. Medovnikovy domcek s.r.o. Pecieme a predavame medovniky.
Medovnikarske remeslo sa snazime sirit aj  pomocou kurzov na ich zdobenie. vyroba, predajna, kaviaren, medovnik, kurzy, zdobenie           </v>
      </c>
      <c r="AQ322" s="37"/>
    </row>
    <row r="323" ht="15.75" customHeight="1">
      <c r="A323" s="43"/>
      <c r="B323" s="59">
        <v>351.0</v>
      </c>
      <c r="C323" s="219" t="s">
        <v>3590</v>
      </c>
      <c r="D323" s="42" t="s">
        <v>80</v>
      </c>
      <c r="E323" s="38" t="str">
        <f t="shared" si="1"/>
        <v>Trnavský kraj, &amp;#32celé Slovensko</v>
      </c>
      <c r="F323" s="42" t="s">
        <v>1967</v>
      </c>
      <c r="G323" s="38" t="str">
        <f t="shared" si="2"/>
        <v>účtovníctvo a poradenstvo, &amp;#32všetky kategórie</v>
      </c>
      <c r="H323" s="42" t="s">
        <v>96</v>
      </c>
      <c r="I323" s="43" t="str">
        <f t="shared" si="3"/>
        <v>6 - 10, &amp;#32všetky možnosti</v>
      </c>
      <c r="J323" s="44" t="str">
        <f t="shared" si="7"/>
        <v>,,</v>
      </c>
      <c r="K323" s="45">
        <f t="shared" si="5"/>
        <v>36934.95564</v>
      </c>
      <c r="L323" s="43"/>
      <c r="M323" s="43" t="str">
        <f>IFERROR(__xludf.DUMMYFUNCTION("SPLIT(O323,"","")"),"Sadová 3/A")</f>
        <v>Sadová 3/A</v>
      </c>
      <c r="N323" s="43" t="str">
        <f>IFERROR(__xludf.DUMMYFUNCTION("""COMPUTED_VALUE""")," 905 01 Senica")</f>
        <v> 905 01 Senica</v>
      </c>
      <c r="O323" s="80" t="s">
        <v>3591</v>
      </c>
      <c r="P323" s="81">
        <v>48.6845835</v>
      </c>
      <c r="Q323" s="81">
        <v>17.3689298</v>
      </c>
      <c r="R323" s="221" t="s">
        <v>3592</v>
      </c>
      <c r="S323" s="222" t="s">
        <v>3593</v>
      </c>
      <c r="T323" s="223" t="s">
        <v>86</v>
      </c>
      <c r="U323" s="224" t="s">
        <v>3594</v>
      </c>
      <c r="V323" s="212" t="s">
        <v>3595</v>
      </c>
      <c r="W323" s="225" t="s">
        <v>3596</v>
      </c>
      <c r="X323" s="221" t="s">
        <v>3590</v>
      </c>
      <c r="Y323" s="221" t="s">
        <v>3597</v>
      </c>
      <c r="Z323" s="226" t="s">
        <v>3598</v>
      </c>
      <c r="AA323" s="226" t="s">
        <v>64</v>
      </c>
      <c r="AB323" s="227"/>
      <c r="AC323" s="228"/>
      <c r="AD323" s="229"/>
      <c r="AE323" s="229"/>
      <c r="AF323" s="228"/>
      <c r="AG323" s="228"/>
      <c r="AH323" s="229"/>
      <c r="AI323" s="229"/>
      <c r="AJ323" s="228"/>
      <c r="AK323" s="228"/>
      <c r="AL323" s="229"/>
      <c r="AM323" s="222"/>
      <c r="AN323" s="222"/>
      <c r="AO323" s="221"/>
      <c r="AP323" s="145" t="str">
        <f t="shared" si="6"/>
        <v>ekoposs+ s.r.o. uctovnictvo a poradenstvo, &amp;#32vsetky kategorie  905 01 Senica Uctovnicke a auditorske cinnosti, vedenie uctovnych knih; danove poradenstvo. Zamestnavanie zdravotne znevyhodnenych osob. ekoposs+ s.r.o. Uctovnicke a auditorske cinnosti, vedenie uctovnych knih a danove poradenstvo uctovnictvo, poradenstvo           </v>
      </c>
      <c r="AQ323" s="37"/>
    </row>
    <row r="324" ht="15.75" customHeight="1">
      <c r="A324" s="43"/>
      <c r="B324" s="59">
        <v>352.0</v>
      </c>
      <c r="C324" s="219" t="s">
        <v>3599</v>
      </c>
      <c r="D324" s="42" t="s">
        <v>181</v>
      </c>
      <c r="E324" s="38" t="str">
        <f t="shared" si="1"/>
        <v>Banskobystrický kraj, &amp;#32celé Slovensko</v>
      </c>
      <c r="F324" s="42" t="s">
        <v>3600</v>
      </c>
      <c r="G324" s="38" t="str">
        <f t="shared" si="2"/>
        <v>čistiace a upratovacie služby, ochrana a bezpečnosť, ubytovacie a stravovacie služby, &amp;#32všetky kategórie</v>
      </c>
      <c r="H324" s="42" t="s">
        <v>170</v>
      </c>
      <c r="I324" s="43" t="str">
        <f t="shared" si="3"/>
        <v>21 a viac, &amp;#32všetky možnosti</v>
      </c>
      <c r="J324" s="44" t="str">
        <f t="shared" si="7"/>
        <v>,Register partnerov VS,Náhradné plnenie</v>
      </c>
      <c r="K324" s="45">
        <f t="shared" si="5"/>
        <v>45611.75473</v>
      </c>
      <c r="L324" s="43"/>
      <c r="M324" s="43" t="str">
        <f>IFERROR(__xludf.DUMMYFUNCTION("SPLIT(O324,"","")"),"T.G. Masaryka 6")</f>
        <v>T.G. Masaryka 6</v>
      </c>
      <c r="N324" s="43" t="str">
        <f>IFERROR(__xludf.DUMMYFUNCTION("""COMPUTED_VALUE""")," 960 01 Zvolen")</f>
        <v> 960 01 Zvolen</v>
      </c>
      <c r="O324" s="80" t="s">
        <v>3601</v>
      </c>
      <c r="P324" s="81">
        <v>48.5723402</v>
      </c>
      <c r="Q324" s="81">
        <v>19.1034903</v>
      </c>
      <c r="R324" s="82" t="s">
        <v>3602</v>
      </c>
      <c r="S324" s="85" t="s">
        <v>3603</v>
      </c>
      <c r="T324" s="98" t="s">
        <v>3604</v>
      </c>
      <c r="U324" s="180" t="s">
        <v>3605</v>
      </c>
      <c r="V324" s="84" t="s">
        <v>3606</v>
      </c>
      <c r="W324" s="85" t="s">
        <v>3607</v>
      </c>
      <c r="X324" s="85" t="s">
        <v>3599</v>
      </c>
      <c r="Y324" s="82" t="s">
        <v>3608</v>
      </c>
      <c r="Z324" s="86" t="s">
        <v>3609</v>
      </c>
      <c r="AA324" s="156" t="s">
        <v>64</v>
      </c>
      <c r="AB324" s="55"/>
      <c r="AC324" s="56"/>
      <c r="AD324" s="56"/>
      <c r="AE324" s="55"/>
      <c r="AF324" s="55"/>
      <c r="AG324" s="56"/>
      <c r="AH324" s="56"/>
      <c r="AI324" s="55"/>
      <c r="AJ324" s="55"/>
      <c r="AK324" s="56"/>
      <c r="AL324" s="56"/>
      <c r="AM324" s="83"/>
      <c r="AN324" s="83" t="s">
        <v>39</v>
      </c>
      <c r="AO324" s="131" t="s">
        <v>40</v>
      </c>
      <c r="AP324" s="43" t="str">
        <f t="shared" si="6"/>
        <v>Fair Facility SK s.r.o. cistiace a upratovacie sluzby, ochrana a bezpecnost, ubytovacie a stravovacie sluzby, &amp;#32vsetky kategorie  960 01 Zvolen Bezpecnostne sluzby, cistiace a upratovacie sluzby, sprava nehnutelnosti spojena s poskytovanim ubytovacich sluzieb. Pomahame znevyhodnenym ludom uplatnit sa na trhu prace, zaclenujeme ich do kolektivu a pracovneho procesu. Vedieme ludi k socialno-pracovnym navykom. Fair Facility SK s.r.o. Zameriavame sa predovsetkym na strazne sluzby, upratovacie a cistiace sluzby. Nasim cielom je vytvaranie spolocensko-prospesnej sluzby a to najma podporou regionalneho rozvoja a nezamestnanosti. Posobime na celom uzemi Slovenskej republiky. bezpecnost, upratovanie           Register partnerov VS</v>
      </c>
      <c r="AQ324" s="37"/>
    </row>
    <row r="325" ht="15.75" customHeight="1">
      <c r="A325" s="43"/>
      <c r="B325" s="59">
        <v>353.0</v>
      </c>
      <c r="C325" s="219" t="s">
        <v>3610</v>
      </c>
      <c r="D325" s="42" t="s">
        <v>66</v>
      </c>
      <c r="E325" s="38" t="str">
        <f t="shared" si="1"/>
        <v>Žilinský kraj, &amp;#32celé Slovensko</v>
      </c>
      <c r="F325" s="80" t="s">
        <v>3611</v>
      </c>
      <c r="G325" s="38" t="str">
        <f t="shared" si="2"/>
        <v>bižutéria a darčekové predmety, nábytok a bytové doplnky, ochrana a bezpečnosť, iné (tovary a služby), &amp;#32všetky kategórie</v>
      </c>
      <c r="H325" s="42" t="s">
        <v>53</v>
      </c>
      <c r="I325" s="43" t="str">
        <f t="shared" si="3"/>
        <v>1 - 5, &amp;#32všetky možnosti</v>
      </c>
      <c r="J325" s="44" t="str">
        <f t="shared" si="7"/>
        <v>,,Náhradné plnenie</v>
      </c>
      <c r="K325" s="45">
        <f t="shared" si="5"/>
        <v>36598.76503</v>
      </c>
      <c r="L325" s="43"/>
      <c r="M325" s="43" t="str">
        <f>IFERROR(__xludf.DUMMYFUNCTION("SPLIT(O325,"","")"),"Ratkovo 36")</f>
        <v>Ratkovo 36</v>
      </c>
      <c r="N325" s="43" t="str">
        <f>IFERROR(__xludf.DUMMYFUNCTION("""COMPUTED_VALUE""")," 038 54 Krpeľany")</f>
        <v> 038 54 Krpeľany</v>
      </c>
      <c r="O325" s="80" t="s">
        <v>3612</v>
      </c>
      <c r="P325" s="81">
        <v>49.134579</v>
      </c>
      <c r="Q325" s="81">
        <v>19.0836611</v>
      </c>
      <c r="R325" s="82" t="s">
        <v>3613</v>
      </c>
      <c r="S325" s="85" t="s">
        <v>3614</v>
      </c>
      <c r="T325" s="98" t="s">
        <v>3615</v>
      </c>
      <c r="U325" s="180" t="s">
        <v>3616</v>
      </c>
      <c r="V325" s="84" t="s">
        <v>3617</v>
      </c>
      <c r="W325" s="85" t="s">
        <v>3618</v>
      </c>
      <c r="X325" s="85" t="s">
        <v>3619</v>
      </c>
      <c r="Y325" s="82" t="s">
        <v>3620</v>
      </c>
      <c r="Z325" s="86" t="s">
        <v>3621</v>
      </c>
      <c r="AA325" s="156" t="s">
        <v>64</v>
      </c>
      <c r="AB325" s="55"/>
      <c r="AC325" s="56"/>
      <c r="AD325" s="56"/>
      <c r="AE325" s="55"/>
      <c r="AF325" s="55"/>
      <c r="AG325" s="56"/>
      <c r="AH325" s="56"/>
      <c r="AI325" s="55"/>
      <c r="AJ325" s="55"/>
      <c r="AK325" s="56"/>
      <c r="AL325" s="56"/>
      <c r="AM325" s="83"/>
      <c r="AN325" s="83"/>
      <c r="AO325" s="131" t="s">
        <v>40</v>
      </c>
      <c r="AP325" s="43" t="str">
        <f t="shared" si="6"/>
        <v>CIVA s. r. o. bizuteria a darcekove predmety, nabytok a bytove doplnky, ochrana a bezpecnost, ine (tovary a sluzby), &amp;#32vsetky kategorie  038 54 Krpelany Kreativna dielna realizuje rucnu tvorbu umeleckych diel, doplnkov, vyraba reklamne a darcekove predmety. Rucnu tvorbu predstavuje zdobenie vianocnych predmetov podkladovym farbenim, tvorba vzorovaneho povrchu, vyroba brosni, vyroba masli, rucne odlievane vzory a ich prilepenie, lepenie dalsich doplnkov a dekoracii, farbenie, tienovanie a finalizacia diela. 
Spolocnost zabezpecuje aj vysoko specializovane sluzby projektoveho manazmentu, pripravu projektov ESIF a siroke spektrum sluzieb v oblasti informacnej a kybernetickej bezpecnosti. Registrovany socialny podnik CIVA s. r. o. je novym podnikom a pozitivny socialny vplyv  dosahuje vytvorenim a udrzanim pracovnych miest pre osoby s tazkym zdravotnym postihnutim, zdravotne znevyhodnenym a zranitelnym osobam. Podnik zapaja zamestnancov do procesu tvorby originalnych diel vo vznikajucej kreativnej dielni, kde podporuje zrucnosti a tvorivost. 
Podnik sa venuje aj vysoko specializovanej intelektualnej cinnosti riadenia projektov ESIF a informacnej a kybernetickej bezpecnosti. S ohladom na zdravotny a osobny stav zamestnancov vytvara podnik individualne podmienky na pracu z domu, cim zapaja do pracovneho pomeru znevyhodnene osoby.  CIVA Kreativna dielna - rucna tvorba umeleckych diel, doplnkov, reklamnych a darcekovych predmetov. Zdobime vianocne predmety podkladovym farbenim, vzorovanim povrchu, v nasej ponuke je vyroba brosni, vyroba masli, rucne odlievane vzory a ich prilepenie, lepenie dalsich doplnkov a dekoracii, farbenie, tienovanie a finalizacia diela.  
Ponukame dekoracne predmety s temou Vianoc i Velkej noci.
Zabezpecujeme aj vysoko specializovane sluzby projektoveho manazmentu, pripravu projektov ESIF a siroke spektrum sluzieb v oblasti informacnej a kybernetickej bezpecnosti. informacna a kyberneticka bezpecnost, riadenie projektov ESIF, vykon manazera kybernetickej bezpecnosti, reklamne a darcekove predmety, vianocne darcekove predmety, personalizovane darcekove firemne predmety, vianocne dekoracie , velkonocne dekoracie, darceky           </v>
      </c>
      <c r="AQ325" s="37"/>
    </row>
    <row r="326" ht="15.75" customHeight="1">
      <c r="A326" s="43"/>
      <c r="B326" s="59">
        <v>354.0</v>
      </c>
      <c r="C326" s="219" t="s">
        <v>3622</v>
      </c>
      <c r="D326" s="42" t="s">
        <v>229</v>
      </c>
      <c r="E326" s="38" t="str">
        <f t="shared" si="1"/>
        <v>Nitriansky kraj, &amp;#32celé Slovensko</v>
      </c>
      <c r="F326" s="80" t="s">
        <v>451</v>
      </c>
      <c r="G326" s="230" t="str">
        <f t="shared" si="2"/>
        <v>potraviny a nápoje, iné (tovary a služby), &amp;#32všetky kategórie</v>
      </c>
      <c r="H326" s="42" t="s">
        <v>170</v>
      </c>
      <c r="I326" s="43" t="str">
        <f t="shared" si="3"/>
        <v>21 a viac, &amp;#32všetky možnosti</v>
      </c>
      <c r="J326" s="44" t="str">
        <f t="shared" si="7"/>
        <v>Servisné poukážky,Register partnerov VS,Náhradné plnenie</v>
      </c>
      <c r="K326" s="45">
        <f t="shared" si="5"/>
        <v>2069.082252</v>
      </c>
      <c r="L326" s="43"/>
      <c r="M326" s="43" t="str">
        <f>IFERROR(__xludf.DUMMYFUNCTION("SPLIT(O326,"","")"),"Kováčova 608/13")</f>
        <v>Kováčova 608/13</v>
      </c>
      <c r="N326" s="43" t="str">
        <f>IFERROR(__xludf.DUMMYFUNCTION("""COMPUTED_VALUE""")," 935 26 Starý Tekov")</f>
        <v> 935 26 Starý Tekov</v>
      </c>
      <c r="O326" s="80" t="s">
        <v>3623</v>
      </c>
      <c r="P326" s="81">
        <v>48.2425432</v>
      </c>
      <c r="Q326" s="81">
        <v>18.5356075</v>
      </c>
      <c r="R326" s="55" t="s">
        <v>3624</v>
      </c>
      <c r="S326" s="55" t="s">
        <v>3625</v>
      </c>
      <c r="T326" s="231" t="s">
        <v>3626</v>
      </c>
      <c r="U326" s="232" t="s">
        <v>3627</v>
      </c>
      <c r="V326" s="84" t="s">
        <v>3628</v>
      </c>
      <c r="W326" s="51" t="s">
        <v>3629</v>
      </c>
      <c r="X326" s="52" t="s">
        <v>3630</v>
      </c>
      <c r="Y326" s="52" t="s">
        <v>3631</v>
      </c>
      <c r="Z326" s="52" t="s">
        <v>3632</v>
      </c>
      <c r="AA326" s="52" t="s">
        <v>129</v>
      </c>
      <c r="AB326" s="51" t="s">
        <v>3633</v>
      </c>
      <c r="AC326" s="52" t="s">
        <v>3634</v>
      </c>
      <c r="AD326" s="52"/>
      <c r="AE326" s="55" t="s">
        <v>64</v>
      </c>
      <c r="AF326" s="55"/>
      <c r="AG326" s="55"/>
      <c r="AH326" s="55"/>
      <c r="AI326" s="55"/>
      <c r="AJ326" s="55"/>
      <c r="AK326" s="55"/>
      <c r="AL326" s="55"/>
      <c r="AM326" s="55" t="s">
        <v>321</v>
      </c>
      <c r="AN326" s="83" t="s">
        <v>39</v>
      </c>
      <c r="AO326" s="131" t="s">
        <v>40</v>
      </c>
      <c r="AP326" s="43" t="str">
        <f t="shared" si="6"/>
        <v>VIERA - NIKA s.r.o. potraviny a napoje, ine (tovary a sluzby), &amp;#32vsetky kategorie  935 26 Stary Tekov V nasej cukrarenskej vyrobni pecieme tradicne vyrobky ako tahane strudle, pagace, bryndzove a nivove pecivo, pracliky s Tekovskym udenym syrom, sladke pecivo (vianocne pecivo, medovnicky, linecke, snehove a pod.) a taktiez zakusky a torty. Momentalne su velmi popularne domace "polotovary", napriklad korpusy na torty, laskonky, vyrezavane medove cisla na torty alebo domace linecke a medove cesto. 
Okrem toho prevadzkujeme obchod a eshop s roznymi potrebami na pecenie aj varenie. Hlavnym cielom podniku je vytvorenie novych pracovnych miest z radov (zdravotne) znevyhodnenych obcanov, ich uplatnenie sa na trhu prace a nasledne aj vytvorenie pocitu, ze su potrebni a spolocnost im dava sancu na plnohodnotny zivot. 
Podnik tak prispieva k dosahovaniu pozitivneho socialneho vplyvu poskytovanim spolocensky prospesnej sluzby v oblasti zamestnanosti, a to zamestnavanim znevyhodnenych osob alebo zranitelnych osob. Tieto si osvoja pracovne navyky a ziskaju nove zrucnosti pre vykon povolania, co zvysi sance na ich opatovne spolocenske zaclenenie beruc do uvahy ich novonadobudnutu mieru financnej autonomie a samostatnosti, sebadovery ci schopnosti fungovat v prostredi pracovneho kolektivu. Cukrarenska vyrobna Vierkine maskrty Vyroba cukrarskych produktov - zakuskov, kolacov, toriet, tahanych strudli, pagacov, slaneho a sladkeho peciva, domacich polotovarov a vyrobkov bez lepku, laktozy a inych alergenov. 
Okrem toho ponukame oblozene misy a chlebicky na rozne oslavy a akcie. 
Pre firmy ponukame aj moznost tlace loga na medovniky a pecivo a rozne vyrobky podla zelania. zakusky, torty, cukrarenske vyrobky, tahane strudle, pagace, slane pecivo, sladke pecivo, vianocne pecivo, medovniky, medovnicky, vyrobky s logom firmy, oblozene misy, chlebicky, suroviny na pecenie, jedle obrazky, jedle figurky, obaly, bezlepkove vyrobky, bezlaktozove vyrobky Obchodik u Vierky - predajna a eshop cukrarskych a kucharskych potrieb Obchodik u Vierky je zamerany na ponuku roznych surovin a potrieb pre cukrarov (kvalitne suroviny na pecenie, tlac jedlych obrazkov, jedle aj nejedle figurky a dekoracie, formy, rozne kuchynske pomocky, obaly, zmrzlinove kornutky, tartaletky a ine).        Servisne poukazky Register partnerov VS</v>
      </c>
      <c r="AQ326" s="37"/>
    </row>
    <row r="327" ht="15.75" customHeight="1">
      <c r="A327" s="43"/>
      <c r="B327" s="59">
        <v>355.0</v>
      </c>
      <c r="C327" s="219" t="s">
        <v>3635</v>
      </c>
      <c r="D327" s="42" t="s">
        <v>94</v>
      </c>
      <c r="E327" s="38" t="str">
        <f t="shared" si="1"/>
        <v>Bratislavský kraj, &amp;#32celé Slovensko</v>
      </c>
      <c r="F327" s="80" t="s">
        <v>3636</v>
      </c>
      <c r="G327" s="38" t="str">
        <f t="shared" si="2"/>
        <v>čistiace a upratovacie služby, stavebníctvo, odpady a recyklácia, &amp;#32všetky kategórie</v>
      </c>
      <c r="H327" s="42" t="s">
        <v>170</v>
      </c>
      <c r="I327" s="43" t="str">
        <f t="shared" si="3"/>
        <v>21 a viac, &amp;#32všetky možnosti</v>
      </c>
      <c r="J327" s="44" t="str">
        <f t="shared" si="7"/>
        <v>,Register partnerov VS,</v>
      </c>
      <c r="K327" s="45">
        <f t="shared" si="5"/>
        <v>24292.9509</v>
      </c>
      <c r="L327" s="43"/>
      <c r="M327" s="43" t="str">
        <f>IFERROR(__xludf.DUMMYFUNCTION("SPLIT(O327,"","")"),"Budmerice 525")</f>
        <v>Budmerice 525</v>
      </c>
      <c r="N327" s="43" t="str">
        <f>IFERROR(__xludf.DUMMYFUNCTION("""COMPUTED_VALUE""")," 900 86 Budmerice")</f>
        <v> 900 86 Budmerice</v>
      </c>
      <c r="O327" s="80" t="s">
        <v>3637</v>
      </c>
      <c r="P327" s="81">
        <v>48.3543409</v>
      </c>
      <c r="Q327" s="81">
        <v>17.4097475</v>
      </c>
      <c r="R327" s="82" t="s">
        <v>3638</v>
      </c>
      <c r="S327" s="85" t="s">
        <v>3639</v>
      </c>
      <c r="T327" s="98" t="s">
        <v>3640</v>
      </c>
      <c r="U327" s="180" t="s">
        <v>3641</v>
      </c>
      <c r="V327" s="84" t="s">
        <v>3642</v>
      </c>
      <c r="W327" s="85" t="s">
        <v>3643</v>
      </c>
      <c r="X327" s="85" t="s">
        <v>3644</v>
      </c>
      <c r="Y327" s="82" t="s">
        <v>3645</v>
      </c>
      <c r="Z327" s="86" t="s">
        <v>3646</v>
      </c>
      <c r="AA327" s="156" t="s">
        <v>64</v>
      </c>
      <c r="AB327" s="55"/>
      <c r="AC327" s="56"/>
      <c r="AD327" s="56"/>
      <c r="AE327" s="55"/>
      <c r="AF327" s="55"/>
      <c r="AG327" s="56"/>
      <c r="AH327" s="56"/>
      <c r="AI327" s="55"/>
      <c r="AJ327" s="55"/>
      <c r="AK327" s="56"/>
      <c r="AL327" s="56"/>
      <c r="AM327" s="83"/>
      <c r="AN327" s="83" t="s">
        <v>39</v>
      </c>
      <c r="AO327" s="233"/>
      <c r="AP327" s="43" t="str">
        <f t="shared" si="6"/>
        <v>Obecne sluzby Budmerice s. r. o. cistiace a upratovacie sluzby, stavebnictvo, odpady a recyklacia, &amp;#32vsetky kategorie  900 86 Budmerice Ponukame prevazne stavebnu cinnost a udrzbarske prace. V ramci podnikatelskej cinnosti chceme ponukat sluzby obcanom obce: uprava zelene na pozemkoch, drobne stavebne prace, kanalizacne pripojky, pokladky zamkovej dlazby, vykopy, odvoz stavebnej sute a pod. Zamestnavame znevyhodnenych  obcanov obce Budmerice. Obecne sluzby Budmerice Stavebna a udrzbarska cinnost pre obec a dalsie sluzby obcanom obce: uprava zelene na pozemkoch, drobne stavebne prace, kanalizacne pripojky, pokladky zamkovej dlazby, vykopy, odvoz stavebnej sute a pod. Stavebna cinnost, upratovanie, udrzbarske prace, uprava zelene, pokladka zamkovej dlazby, vykopove prace, odvoz stavebnej sute           Register partnerov VS</v>
      </c>
      <c r="AQ327" s="37"/>
    </row>
    <row r="328" ht="15.75" customHeight="1">
      <c r="A328" s="43"/>
      <c r="B328" s="59">
        <v>356.0</v>
      </c>
      <c r="C328" s="219" t="s">
        <v>3647</v>
      </c>
      <c r="D328" s="42" t="s">
        <v>94</v>
      </c>
      <c r="E328" s="38" t="str">
        <f t="shared" si="1"/>
        <v>Bratislavský kraj, &amp;#32celé Slovensko</v>
      </c>
      <c r="F328" s="80" t="s">
        <v>911</v>
      </c>
      <c r="G328" s="38" t="str">
        <f t="shared" si="2"/>
        <v>krása-zdravie-relax, &amp;#32všetky kategórie</v>
      </c>
      <c r="H328" s="42" t="s">
        <v>96</v>
      </c>
      <c r="I328" s="43" t="str">
        <f t="shared" si="3"/>
        <v>6 - 10, &amp;#32všetky možnosti</v>
      </c>
      <c r="J328" s="44" t="str">
        <f t="shared" si="7"/>
        <v>,,Náhradné plnenie</v>
      </c>
      <c r="K328" s="45">
        <f t="shared" si="5"/>
        <v>29359.24886</v>
      </c>
      <c r="L328" s="43"/>
      <c r="M328" s="43" t="str">
        <f>IFERROR(__xludf.DUMMYFUNCTION("SPLIT(O328,"","")"),"Hybešova 51")</f>
        <v>Hybešova 51</v>
      </c>
      <c r="N328" s="43" t="str">
        <f>IFERROR(__xludf.DUMMYFUNCTION("""COMPUTED_VALUE""")," 831 06 Bratislava")</f>
        <v> 831 06 Bratislava</v>
      </c>
      <c r="O328" s="80" t="s">
        <v>3648</v>
      </c>
      <c r="P328" s="81">
        <v>48.2046725999999</v>
      </c>
      <c r="Q328" s="81">
        <v>17.155327</v>
      </c>
      <c r="R328" s="82" t="s">
        <v>3649</v>
      </c>
      <c r="S328" s="85" t="s">
        <v>3650</v>
      </c>
      <c r="T328" s="98" t="s">
        <v>3651</v>
      </c>
      <c r="U328" s="180" t="s">
        <v>3652</v>
      </c>
      <c r="V328" s="84" t="s">
        <v>3653</v>
      </c>
      <c r="W328" s="85" t="s">
        <v>3654</v>
      </c>
      <c r="X328" s="85" t="s">
        <v>3655</v>
      </c>
      <c r="Y328" s="82" t="s">
        <v>3656</v>
      </c>
      <c r="Z328" s="86" t="s">
        <v>3657</v>
      </c>
      <c r="AA328" s="156" t="s">
        <v>64</v>
      </c>
      <c r="AB328" s="55"/>
      <c r="AC328" s="56"/>
      <c r="AD328" s="56"/>
      <c r="AE328" s="55"/>
      <c r="AF328" s="55"/>
      <c r="AG328" s="56"/>
      <c r="AH328" s="56"/>
      <c r="AI328" s="55"/>
      <c r="AJ328" s="55"/>
      <c r="AK328" s="56"/>
      <c r="AL328" s="56"/>
      <c r="AM328" s="83"/>
      <c r="AN328" s="83"/>
      <c r="AO328" s="131" t="s">
        <v>40</v>
      </c>
      <c r="AP328" s="43" t="str">
        <f t="shared" si="6"/>
        <v>AIMI,s.r.o., r.s.p. krasa-zdravie-relax, &amp;#32vsetky kategorie  831 06 Bratislava Rehabilitacne centrum AIMI ponuka siroku ponuku masazi rehabilitacnych i relaxacnych, fyzioterapiu, infrasaunu, oxygenoterapiu. AIMI s.r.o. naplna podmienku dosahovania pozitivneho socialneho vplyvu v spolocnosti tym, ze zamestnava obcanov so zdravotnym znevyhodnenim a poskytuje im prilezitost pracovat a zlepsovat svoje zrucnosti a schopnosti. Rehabilitacne centrum AIMI, s.r.o. Ponukame siroku ponuku masazi rehabilitacnych i relaxacnych, fyzioterapiu, infrasaunu, oxygenoterapiu. klasicka masaz, bazalna stimulacia, reflexna masaz chodidiel, manualna lymfodrenaz, masaz kokosovym olejom, raselinove zabaly, masaz lavovymi kamenmi, francuzska zilova masaz, orientalna olejova masaz chodidiel, pristrojova lymfodrenaz, post-covidova rehabilitacia           </v>
      </c>
      <c r="AQ328" s="37"/>
    </row>
    <row r="329" ht="15.75" customHeight="1">
      <c r="A329" s="43"/>
      <c r="B329" s="59">
        <v>357.0</v>
      </c>
      <c r="C329" s="219" t="s">
        <v>3658</v>
      </c>
      <c r="D329" s="42" t="s">
        <v>218</v>
      </c>
      <c r="E329" s="38" t="str">
        <f t="shared" si="1"/>
        <v>Košický kraj, &amp;#32celé Slovensko</v>
      </c>
      <c r="F329" s="80" t="s">
        <v>870</v>
      </c>
      <c r="G329" s="38" t="str">
        <f t="shared" si="2"/>
        <v>čistiace a upratovacie služby, poľnohospodárstvo a lesníctvo, dom a záhrada, stavebníctvo, &amp;#32všetky kategórie</v>
      </c>
      <c r="H329" s="42" t="s">
        <v>53</v>
      </c>
      <c r="I329" s="43" t="str">
        <f t="shared" si="3"/>
        <v>1 - 5, &amp;#32všetky možnosti</v>
      </c>
      <c r="J329" s="44" t="str">
        <f t="shared" si="7"/>
        <v>,,Náhradné plnenie</v>
      </c>
      <c r="K329" s="45">
        <f t="shared" si="5"/>
        <v>41706.02097</v>
      </c>
      <c r="L329" s="43"/>
      <c r="M329" s="43" t="str">
        <f>IFERROR(__xludf.DUMMYFUNCTION("SPLIT(O329,"","")"),"Kósu-Schoppera 141/22")</f>
        <v>Kósu-Schoppera 141/22</v>
      </c>
      <c r="N329" s="43" t="str">
        <f>IFERROR(__xludf.DUMMYFUNCTION("""COMPUTED_VALUE""")," 048 01 Rožňava")</f>
        <v> 048 01 Rožňava</v>
      </c>
      <c r="O329" s="80" t="s">
        <v>3659</v>
      </c>
      <c r="P329" s="81">
        <v>48.6607683</v>
      </c>
      <c r="Q329" s="81">
        <v>20.5280212</v>
      </c>
      <c r="R329" s="82" t="s">
        <v>3660</v>
      </c>
      <c r="S329" s="85" t="s">
        <v>3661</v>
      </c>
      <c r="T329" s="98" t="s">
        <v>3662</v>
      </c>
      <c r="U329" s="180" t="s">
        <v>3663</v>
      </c>
      <c r="V329" s="84" t="s">
        <v>3664</v>
      </c>
      <c r="W329" s="85" t="s">
        <v>3665</v>
      </c>
      <c r="X329" s="85" t="s">
        <v>3658</v>
      </c>
      <c r="Y329" s="82" t="s">
        <v>3666</v>
      </c>
      <c r="Z329" s="86" t="s">
        <v>3667</v>
      </c>
      <c r="AA329" s="156" t="s">
        <v>64</v>
      </c>
      <c r="AB329" s="55"/>
      <c r="AC329" s="56"/>
      <c r="AD329" s="56"/>
      <c r="AE329" s="55"/>
      <c r="AF329" s="55"/>
      <c r="AG329" s="56"/>
      <c r="AH329" s="56"/>
      <c r="AI329" s="55"/>
      <c r="AJ329" s="55"/>
      <c r="AK329" s="56"/>
      <c r="AL329" s="56"/>
      <c r="AM329" s="83"/>
      <c r="AN329" s="83"/>
      <c r="AO329" s="131" t="s">
        <v>40</v>
      </c>
      <c r="AP329" s="43" t="str">
        <f t="shared" si="6"/>
        <v>CESTA Roznava n.o., registrovany socialny podnik cistiace a upratovacie sluzby, polnohospodarstvo a lesnictvo, dom a zahrada, stavebnictvo, &amp;#32vsetky kategorie  048 01 Roznava Nas socialny podnik poskytuje sluzby v lesnictve, polnohospodarstve a zahradnictve, cinnosti suvisiace s cistenim a udrzbou zariadeni a krajinnou upravou. Zamestnanci chodia kosit aj do zahrad k rodinnym domom v meste a okolitych obciach. Hlavnym cielom podniku je vytvorit pracovne prilezitosti  na zamestnanie dlhodobo nezamestnanych, osob so zdravotnym znevyhodnenim. Nase sluzby maju komunitny charakter s pozitivnym dopadom na eliminaciu predsudkov voci MRK. CESTA Roznava n.o., registrovany socialny podnik poskytuje sluzby v lesnictve, polnohospodarstve a zahradnictve, cinnosti suvisiace s cistenim a udrzbou zariadeni a krajinnou upravou. Zamestnanci chodia kosit aj do zahrad k rodinnym domom v meste a okolitych obciach. kosenie, cistenie pozemkov, palivove drevo, odpratavanie snehu           </v>
      </c>
      <c r="AQ329" s="37"/>
    </row>
    <row r="330" ht="15.75" customHeight="1">
      <c r="A330" s="43"/>
      <c r="B330" s="59">
        <v>358.0</v>
      </c>
      <c r="C330" s="234" t="s">
        <v>3668</v>
      </c>
      <c r="D330" s="42" t="s">
        <v>94</v>
      </c>
      <c r="E330" s="38" t="str">
        <f t="shared" si="1"/>
        <v>Bratislavský kraj, &amp;#32celé Slovensko</v>
      </c>
      <c r="F330" s="80" t="s">
        <v>3669</v>
      </c>
      <c r="G330" s="38" t="str">
        <f t="shared" si="2"/>
        <v>reklama, bižutéria a darčekové predmety, potraviny a nápoje, odevy a obuv, pre deti,, &amp;#32všetky kategórie</v>
      </c>
      <c r="H330" s="42" t="s">
        <v>96</v>
      </c>
      <c r="I330" s="43" t="str">
        <f t="shared" si="3"/>
        <v>6 - 10, &amp;#32všetky možnosti</v>
      </c>
      <c r="J330" s="44" t="str">
        <f t="shared" si="7"/>
        <v>,,Náhradné plnenie</v>
      </c>
      <c r="K330" s="45">
        <f t="shared" si="5"/>
        <v>18580.61099</v>
      </c>
      <c r="L330" s="43"/>
      <c r="M330" s="43" t="str">
        <f>IFERROR(__xludf.DUMMYFUNCTION("SPLIT(O330,"","")"),"Grösslingová 2466/47")</f>
        <v>Grösslingová 2466/47</v>
      </c>
      <c r="N330" s="43" t="str">
        <f>IFERROR(__xludf.DUMMYFUNCTION("""COMPUTED_VALUE""")," 811 09 Bratislava")</f>
        <v> 811 09 Bratislava</v>
      </c>
      <c r="O330" s="80" t="s">
        <v>3670</v>
      </c>
      <c r="P330" s="81">
        <v>48.1450513</v>
      </c>
      <c r="Q330" s="81">
        <v>17.1202461</v>
      </c>
      <c r="R330" s="235" t="s">
        <v>3671</v>
      </c>
      <c r="S330" s="235" t="s">
        <v>3672</v>
      </c>
      <c r="T330" s="98" t="s">
        <v>3673</v>
      </c>
      <c r="U330" s="180" t="s">
        <v>3674</v>
      </c>
      <c r="V330" s="84" t="s">
        <v>3675</v>
      </c>
      <c r="W330" s="235" t="s">
        <v>3676</v>
      </c>
      <c r="X330" s="236" t="s">
        <v>3677</v>
      </c>
      <c r="Y330" s="235" t="s">
        <v>3678</v>
      </c>
      <c r="Z330" s="237" t="s">
        <v>3679</v>
      </c>
      <c r="AA330" s="237" t="s">
        <v>64</v>
      </c>
      <c r="AB330" s="238"/>
      <c r="AC330" s="238"/>
      <c r="AD330" s="239"/>
      <c r="AE330" s="238"/>
      <c r="AF330" s="238"/>
      <c r="AG330" s="238"/>
      <c r="AH330" s="239"/>
      <c r="AI330" s="238"/>
      <c r="AJ330" s="238"/>
      <c r="AK330" s="238"/>
      <c r="AL330" s="239"/>
      <c r="AM330" s="235"/>
      <c r="AN330" s="235"/>
      <c r="AO330" s="131" t="s">
        <v>40</v>
      </c>
      <c r="AP330" s="43" t="str">
        <f t="shared" si="6"/>
        <v>Bol raz jeden clovek reklama, bizuteria a darcekove predmety, potraviny a napoje, odevy a obuv, pre deti,, &amp;#32vsetky kategorie  811 09 Bratislava Nasim produktom je kresba s nenapodobnitelnym rukopisom kreslicov s mentalnym postihnutim a jej aplikacia na rozne produkty je v zasade bez hranic. Ponukame svoju vlastnu tvorbu pod znackou Hento Toto v podobe brosni, odznakov, triciek, ponoziek, tasiek, pohladnic, cokolad, tetovaciek, nalepiek atd. Viac na www.hentototo.sk . Ale radi tvorime aj jedinecne produkty na zakazku podla preferencii a potrieb zakaznika. Sme kreativne graficke studio,zalozene pre kolegov s mentalnym postihnutim, vychadzajuc z ich potrieb a zaujmov. Tie sme spolocne rozvijali viac ako 10 rokov v ramci pracovno-terapeutickych aktivit a vysledkom tejto prace je, ze zo zaluby v umeleckych aktivitach sa stalo platene zamestnanie a z kamaratov nasi kolegovia-kreslici. Pracu nasich kreslicov doplnaju profesionali z roznych oblasti a preto su vystupy z tvorby originalne a kvalitne. Snazime sa rucat stereotypne predstavy a predsudky verejnosti o ludoch s mentalnym postihnutim, ktori boli a su najtazsie zamestnatelnou skupinou na trhu prace . Specifikom nasho socialneho podniku je tiez skutocnost, ze davame priestor na profesionalne uplatnenie aj ludom s inym druhom znevyhodneni. Snazime sa objavit a podporit v kazdom to najlepsie. www.hentototo.sk Nasim produktom je kresba s nenapodobnitelnym rukopisom kreslicov s mentalnym postihnutim a jej aplikacia je v zasade bez hranic. Ponukame svoju vlastnu tvorbu pod znackou Hento Toto v podobe brosni, odznakov, triciek, ponoziek, tasiek, pohladnic, cokolad, tetovaciek, nalepiek atd. Viac na www.hentototo.sk . Ale radi tvorime aj jedinecne produkty na zakazku podla preferencii a potrieb zakaznika. Vlastne produkty – kovove brosne na pin, odznaky (buttons), pohladnice, tricka, ponozky, tasky, tetovacky, nalepky, pexeso, omalovanky, cokolady, cukriky, hrnceky, kalendar atd. Personalizovane produkty na zakazku – ilustracia, graficke spracovanie nametu podla zadania zakaznika a aplikacia na rozne darcekove predmety - od personalizovanych baliacich obalov, cez ktorykolvek z vyrobkov ktory ponukame, az po vytvarne realizacie napadov zakaznika.           </v>
      </c>
      <c r="AQ330" s="37"/>
    </row>
    <row r="331" ht="15.75" customHeight="1">
      <c r="A331" s="43"/>
      <c r="B331" s="59">
        <v>359.0</v>
      </c>
      <c r="C331" s="234" t="s">
        <v>3680</v>
      </c>
      <c r="D331" s="42" t="s">
        <v>218</v>
      </c>
      <c r="E331" s="38" t="str">
        <f t="shared" si="1"/>
        <v>Košický kraj, &amp;#32celé Slovensko</v>
      </c>
      <c r="F331" s="80" t="s">
        <v>244</v>
      </c>
      <c r="G331" s="38" t="str">
        <f t="shared" si="2"/>
        <v>potraviny a nápoje, &amp;#32všetky kategórie</v>
      </c>
      <c r="H331" s="42" t="s">
        <v>53</v>
      </c>
      <c r="I331" s="43" t="str">
        <f t="shared" si="3"/>
        <v>1 - 5, &amp;#32všetky možnosti</v>
      </c>
      <c r="J331" s="44" t="str">
        <f t="shared" si="7"/>
        <v>,,Náhradné plnenie</v>
      </c>
      <c r="K331" s="45">
        <f t="shared" si="5"/>
        <v>40125.22712</v>
      </c>
      <c r="L331" s="43"/>
      <c r="M331" s="43" t="str">
        <f>IFERROR(__xludf.DUMMYFUNCTION("SPLIT(O331,"","")"),"Puškinova 1423/12")</f>
        <v>Puškinova 1423/12</v>
      </c>
      <c r="N331" s="43" t="str">
        <f>IFERROR(__xludf.DUMMYFUNCTION("""COMPUTED_VALUE""")," 052 01 Spišská Nová Ves")</f>
        <v> 052 01 Spišská Nová Ves</v>
      </c>
      <c r="O331" s="240" t="s">
        <v>3681</v>
      </c>
      <c r="P331" s="81">
        <v>48.1450513</v>
      </c>
      <c r="Q331" s="81">
        <v>17.1202461</v>
      </c>
      <c r="R331" s="235" t="s">
        <v>3682</v>
      </c>
      <c r="S331" s="235" t="s">
        <v>3683</v>
      </c>
      <c r="T331" s="241" t="s">
        <v>3684</v>
      </c>
      <c r="U331" s="242" t="s">
        <v>3685</v>
      </c>
      <c r="V331" s="243" t="s">
        <v>3686</v>
      </c>
      <c r="W331" s="235" t="s">
        <v>3687</v>
      </c>
      <c r="X331" s="235" t="s">
        <v>3688</v>
      </c>
      <c r="Y331" s="235" t="s">
        <v>3689</v>
      </c>
      <c r="Z331" s="237" t="s">
        <v>3690</v>
      </c>
      <c r="AA331" s="237" t="s">
        <v>64</v>
      </c>
      <c r="AB331" s="238"/>
      <c r="AC331" s="238"/>
      <c r="AD331" s="239"/>
      <c r="AE331" s="238"/>
      <c r="AF331" s="238"/>
      <c r="AG331" s="238"/>
      <c r="AH331" s="239"/>
      <c r="AI331" s="238"/>
      <c r="AJ331" s="238"/>
      <c r="AK331" s="238"/>
      <c r="AL331" s="239"/>
      <c r="AM331" s="235"/>
      <c r="AN331" s="238"/>
      <c r="AO331" s="131" t="s">
        <v>40</v>
      </c>
      <c r="AP331" s="43" t="str">
        <f t="shared" si="6"/>
        <v>MGBIZ, s.r.o.  potraviny a napoje, &amp;#32vsetky kategorie  052 01 Spisska Nova Ves Gurmanske speciality najma zo Slovenska a z Europskej unie - darceky a debnicky plne delikates. 
 Prinasame na slovensky trh speciality, ktore sme sami ochutnali a za ktorymi si stojime. Dbame na kvalitu, ale aj na zivotne prostredie, takze okrem delikates u nas najdete aj vyrobky, vdaka ktorym nebudete vytvarat dalsi odpad napr. v podobe PET flias. Zamestnavame znevyhodnene osoby a redukciou tvorby odpadu sa snazime prispiet k ochrane zivotneho prostredia. Som gurman Predaj delikates, vina, alkoholu, remeselneho piva a nealko vina. delikatesy, gurmanske darceky, vino, pivo, talianske speciality, syry, prosciutto, cestoviny, caj, kava, dzemy, mixit, vino hruska, pesto, olivovy olej, flase na vodu, termosky, ginger shot, brandy, rum, gin, nealko vino, nealko alkohol           </v>
      </c>
      <c r="AQ331" s="37"/>
    </row>
    <row r="332" ht="15.75" customHeight="1">
      <c r="A332" s="43"/>
      <c r="B332" s="59">
        <v>360.0</v>
      </c>
      <c r="C332" s="234" t="s">
        <v>3691</v>
      </c>
      <c r="D332" s="42" t="s">
        <v>181</v>
      </c>
      <c r="E332" s="38" t="str">
        <f t="shared" si="1"/>
        <v>Banskobystrický kraj, &amp;#32celé Slovensko</v>
      </c>
      <c r="F332" s="80" t="s">
        <v>1838</v>
      </c>
      <c r="G332" s="38" t="str">
        <f t="shared" si="2"/>
        <v>ubytovacie a stravovacie služby, &amp;#32všetky kategórie</v>
      </c>
      <c r="H332" s="42" t="s">
        <v>96</v>
      </c>
      <c r="I332" s="43" t="str">
        <f t="shared" si="3"/>
        <v>6 - 10, &amp;#32všetky možnosti</v>
      </c>
      <c r="J332" s="44" t="str">
        <f t="shared" si="7"/>
        <v>,,</v>
      </c>
      <c r="K332" s="45">
        <f t="shared" si="5"/>
        <v>923.3726249</v>
      </c>
      <c r="L332" s="43"/>
      <c r="M332" s="43" t="str">
        <f>IFERROR(__xludf.DUMMYFUNCTION("SPLIT(O332,"","")"),"Tajovského 22")</f>
        <v>Tajovského 22</v>
      </c>
      <c r="N332" s="43" t="str">
        <f>IFERROR(__xludf.DUMMYFUNCTION("""COMPUTED_VALUE""")," 97401 Banská Bystrica")</f>
        <v> 97401 Banská Bystrica</v>
      </c>
      <c r="O332" s="240" t="s">
        <v>3692</v>
      </c>
      <c r="P332" s="81">
        <v>48.7389108</v>
      </c>
      <c r="Q332" s="81">
        <v>19.1336572</v>
      </c>
      <c r="R332" s="235" t="s">
        <v>3693</v>
      </c>
      <c r="S332" s="235" t="s">
        <v>3694</v>
      </c>
      <c r="T332" s="98" t="s">
        <v>86</v>
      </c>
      <c r="U332" s="242" t="s">
        <v>3695</v>
      </c>
      <c r="V332" s="237" t="s">
        <v>3696</v>
      </c>
      <c r="W332" s="235" t="s">
        <v>3697</v>
      </c>
      <c r="X332" s="235" t="s">
        <v>3698</v>
      </c>
      <c r="Y332" s="235" t="s">
        <v>3699</v>
      </c>
      <c r="Z332" s="237" t="s">
        <v>1838</v>
      </c>
      <c r="AA332" s="237" t="s">
        <v>64</v>
      </c>
      <c r="AB332" s="238"/>
      <c r="AC332" s="238"/>
      <c r="AD332" s="239"/>
      <c r="AE332" s="238"/>
      <c r="AF332" s="238"/>
      <c r="AG332" s="238"/>
      <c r="AH332" s="239"/>
      <c r="AI332" s="238"/>
      <c r="AJ332" s="238"/>
      <c r="AK332" s="238"/>
      <c r="AL332" s="239"/>
      <c r="AM332" s="235"/>
      <c r="AN332" s="238"/>
      <c r="AO332" s="131"/>
      <c r="AP332" s="43" t="str">
        <f t="shared" si="6"/>
        <v>Servis JK s.r.o. ubytovacie a stravovacie sluzby, &amp;#32vsetky kategorie  97401 Banska Bystrica Ponukame ubytovanie v penzione Alcorso Sme integracny socialny podnik Penzion Alcorso ubytovanie v penzione Alcorso ubytovacie a stravovacie sluzby           </v>
      </c>
      <c r="AQ332" s="37"/>
    </row>
    <row r="333" ht="15.75" customHeight="1">
      <c r="A333" s="43"/>
      <c r="B333" s="244">
        <v>361.0</v>
      </c>
      <c r="C333" s="194" t="s">
        <v>3700</v>
      </c>
      <c r="D333" s="168" t="s">
        <v>94</v>
      </c>
      <c r="E333" s="169" t="str">
        <f t="shared" si="1"/>
        <v>Bratislavský kraj, &amp;#32celé Slovensko</v>
      </c>
      <c r="F333" s="168" t="s">
        <v>3701</v>
      </c>
      <c r="G333" s="169" t="str">
        <f t="shared" si="2"/>
        <v>čistiace a upratovacie služby, poľnohospodárstvo a lesníctvo, dom a záhrada, stavebníctvo, doprava, kultúra a šport, odpady a recyklácia, iné (tovary a služby), &amp;#32všetky kategórie</v>
      </c>
      <c r="H333" s="168" t="s">
        <v>96</v>
      </c>
      <c r="I333" s="158" t="str">
        <f t="shared" si="3"/>
        <v>6 - 10, &amp;#32všetky možnosti</v>
      </c>
      <c r="J333" s="170" t="str">
        <f t="shared" si="7"/>
        <v>,,</v>
      </c>
      <c r="K333" s="245">
        <f t="shared" si="5"/>
        <v>20659.2178</v>
      </c>
      <c r="L333" s="158"/>
      <c r="M333" s="158" t="str">
        <f>IFERROR(__xludf.DUMMYFUNCTION("SPLIT(O333,"","")"),"Boldog 89")</f>
        <v>Boldog 89</v>
      </c>
      <c r="N333" s="158" t="str">
        <f>IFERROR(__xludf.DUMMYFUNCTION("""COMPUTED_VALUE""")," 925 26 Boldog")</f>
        <v> 925 26 Boldog</v>
      </c>
      <c r="O333" s="157" t="s">
        <v>3702</v>
      </c>
      <c r="P333" s="246">
        <v>48.2389842</v>
      </c>
      <c r="Q333" s="246">
        <v>17.4295552</v>
      </c>
      <c r="R333" s="247" t="s">
        <v>3703</v>
      </c>
      <c r="S333" s="247" t="s">
        <v>3704</v>
      </c>
      <c r="T333" s="98" t="s">
        <v>86</v>
      </c>
      <c r="U333" s="248" t="s">
        <v>3705</v>
      </c>
      <c r="V333" s="249" t="s">
        <v>3706</v>
      </c>
      <c r="W333" s="247" t="s">
        <v>3707</v>
      </c>
      <c r="X333" s="247" t="s">
        <v>3708</v>
      </c>
      <c r="Y333" s="247" t="s">
        <v>3709</v>
      </c>
      <c r="Z333" s="249" t="s">
        <v>3710</v>
      </c>
      <c r="AA333" s="249" t="s">
        <v>64</v>
      </c>
      <c r="AB333" s="166"/>
      <c r="AC333" s="166"/>
      <c r="AD333" s="166"/>
      <c r="AE333" s="166"/>
      <c r="AF333" s="166"/>
      <c r="AG333" s="166"/>
      <c r="AH333" s="166"/>
      <c r="AI333" s="166"/>
      <c r="AJ333" s="166"/>
      <c r="AK333" s="166"/>
      <c r="AL333" s="166"/>
      <c r="AM333" s="166"/>
      <c r="AN333" s="166"/>
      <c r="AO333" s="250"/>
      <c r="AP333" s="43" t="str">
        <f t="shared" si="6"/>
        <v>Obecne sluzby Boldog, s.r.o. cistiace a upratovacie sluzby, polnohospodarstvo a lesnictvo, dom a zahrada, stavebnictvo, doprava, kultura a sport, odpady a recyklacia, ine (tovary a sluzby), &amp;#32vsetky kategorie  925 26 Boldog Nas podnik ponuka sirsi zaber sluzieb. Od cistiacich a upratovacich prac, upravu a udrzbu zahrad, orez stromov, spracovanie drevneho odpadu, sluzby v oblasti dobravy a prepravy osob, a do buducna planujeme rozsirit aktivity aj na pestovatelsku cinnost a vyrobu stiepky/peliet. Nasimi zakaznikmi su najma obyvatelia obce Boldog a jej okolia (mesto Senec, obec Reca), fyzicke i pravnicke osoby a tiez obec Boldog. Ponukame profesionalny a citlivy pristup. Pri praci pouzivame profesionalne naradie a pomocky, ktorych rozsah neustale rozsirujeme. Vacsinu nasich zamestnancov tvoria osoby zo znevyhodnenej a zranitelnej skupiny obyvatelstva. Zaroven svojou cinnostou prispievaju k zlepseniu spolocenskeho postavenia tychto osob vo vseobecnosti a odburaniu mytov o "neschopnosti" ludi so znevyhodnenim, zapojit sa do spolocenskeho a pracovneho zivota. Zaroven svojou cinnostou napomahaju zlepsovat zivotne podmienky obyvatelov obce a rozsah poskytovanych sluzieb. Obecne sluzby Boldog Nas RSP sa zaobera upratovacimi a cistiacimi sluzbami, tepovanim, udrzbou zahrad a verejnych priestranstiev, kosenim, orezavanim stromov, spracovanim drevneho odpadu, drobnymi stavebnymi pracami, dopravnymi a prepravnymi sluzbami cistiace a upratovacie sluzby, polnohospodarstvo a lesnictvo, dom a zahrada, stavebnictvo, doprava, odpady a recyklacia           </v>
      </c>
      <c r="AQ333" s="37"/>
    </row>
    <row r="334" ht="15.75" customHeight="1">
      <c r="A334" s="43"/>
      <c r="B334" s="59">
        <v>363.0</v>
      </c>
      <c r="C334" s="219" t="s">
        <v>3711</v>
      </c>
      <c r="D334" s="42" t="s">
        <v>181</v>
      </c>
      <c r="E334" s="38" t="str">
        <f t="shared" si="1"/>
        <v>Banskobystrický kraj, &amp;#32celé Slovensko</v>
      </c>
      <c r="F334" s="42" t="s">
        <v>244</v>
      </c>
      <c r="G334" s="38" t="str">
        <f t="shared" si="2"/>
        <v>potraviny a nápoje, &amp;#32všetky kategórie</v>
      </c>
      <c r="H334" s="42" t="s">
        <v>53</v>
      </c>
      <c r="I334" s="43" t="str">
        <f t="shared" si="3"/>
        <v>1 - 5, &amp;#32všetky možnosti</v>
      </c>
      <c r="J334" s="44" t="str">
        <f t="shared" si="7"/>
        <v>,,</v>
      </c>
      <c r="K334" s="45">
        <f t="shared" si="5"/>
        <v>43519.51485</v>
      </c>
      <c r="L334" s="43"/>
      <c r="M334" s="43" t="str">
        <f>IFERROR(__xludf.DUMMYFUNCTION("SPLIT(O334,"","")"),"Hronská 1037/27")</f>
        <v>Hronská 1037/27</v>
      </c>
      <c r="N334" s="43" t="str">
        <f>IFERROR(__xludf.DUMMYFUNCTION("""COMPUTED_VALUE""")," 962 31 Sliač")</f>
        <v> 962 31 Sliač</v>
      </c>
      <c r="O334" s="80" t="s">
        <v>3712</v>
      </c>
      <c r="P334" s="81">
        <v>48.617081</v>
      </c>
      <c r="Q334" s="81">
        <v>19.1401124</v>
      </c>
      <c r="R334" s="221" t="s">
        <v>3713</v>
      </c>
      <c r="S334" s="222" t="s">
        <v>521</v>
      </c>
      <c r="T334" s="223" t="s">
        <v>86</v>
      </c>
      <c r="U334" s="251" t="s">
        <v>3714</v>
      </c>
      <c r="V334" s="252" t="s">
        <v>3715</v>
      </c>
      <c r="W334" s="225" t="s">
        <v>3716</v>
      </c>
      <c r="X334" s="221" t="s">
        <v>3717</v>
      </c>
      <c r="Y334" s="253" t="s">
        <v>3718</v>
      </c>
      <c r="Z334" s="226" t="s">
        <v>3719</v>
      </c>
      <c r="AA334" s="226" t="s">
        <v>64</v>
      </c>
      <c r="AB334" s="227"/>
      <c r="AC334" s="228"/>
      <c r="AD334" s="229"/>
      <c r="AE334" s="229"/>
      <c r="AF334" s="228"/>
      <c r="AG334" s="228"/>
      <c r="AH334" s="229"/>
      <c r="AI334" s="229"/>
      <c r="AJ334" s="228"/>
      <c r="AK334" s="228"/>
      <c r="AL334" s="229"/>
      <c r="AM334" s="222"/>
      <c r="AN334" s="222"/>
      <c r="AO334" s="221"/>
      <c r="AP334" s="43" t="str">
        <f t="shared" si="6"/>
        <v>BELSPOL SP, s.r.o. potraviny a napoje, &amp;#32vsetky kategorie  962 31 Sliac Zasobovanie ovocim a zeleninou gastro prevadzky. Cistenie, spracovanie, balenie ovocia zeleniny a zemiakov podla potrieb zakaznika. Nas registrovany socialny podnik zamestnava zdravotne znevyhodnene osoby a osoby, ktore si dlhodobo nemozu najst pracu. Sklad BELSPOL Sklad ovocia a zeleniny, vyroba, cistenie balenie ovocia a zeleniny Ovocie, zelenina, zemiaky.           </v>
      </c>
      <c r="AQ334" s="37"/>
    </row>
    <row r="335" ht="15.75" customHeight="1">
      <c r="A335" s="43"/>
      <c r="B335" s="59">
        <v>364.0</v>
      </c>
      <c r="C335" s="219" t="s">
        <v>3720</v>
      </c>
      <c r="D335" s="42" t="s">
        <v>181</v>
      </c>
      <c r="E335" s="38" t="str">
        <f t="shared" si="1"/>
        <v>Banskobystrický kraj, &amp;#32celé Slovensko</v>
      </c>
      <c r="F335" s="42" t="s">
        <v>911</v>
      </c>
      <c r="G335" s="38" t="str">
        <f t="shared" si="2"/>
        <v>krása-zdravie-relax, &amp;#32všetky kategórie</v>
      </c>
      <c r="H335" s="42" t="s">
        <v>82</v>
      </c>
      <c r="I335" s="43" t="str">
        <f t="shared" si="3"/>
        <v>11 - 15, &amp;#32všetky možnosti</v>
      </c>
      <c r="J335" s="44" t="str">
        <f t="shared" si="7"/>
        <v>,Register partnerov VS,</v>
      </c>
      <c r="K335" s="45">
        <f t="shared" si="5"/>
        <v>41405.98791</v>
      </c>
      <c r="L335" s="43"/>
      <c r="M335" s="43" t="str">
        <f>IFERROR(__xludf.DUMMYFUNCTION("SPLIT(O335,"","")"),"Fraňa Kráľa 11")</f>
        <v>Fraňa Kráľa 11</v>
      </c>
      <c r="N335" s="43" t="str">
        <f>IFERROR(__xludf.DUMMYFUNCTION("""COMPUTED_VALUE""")," Brezno 97701")</f>
        <v> Brezno 97701</v>
      </c>
      <c r="O335" s="80" t="s">
        <v>3721</v>
      </c>
      <c r="P335" s="81">
        <v>48.8036965</v>
      </c>
      <c r="Q335" s="81">
        <v>19.6296235</v>
      </c>
      <c r="R335" s="82" t="s">
        <v>3722</v>
      </c>
      <c r="S335" s="85" t="s">
        <v>3723</v>
      </c>
      <c r="T335" s="98" t="s">
        <v>86</v>
      </c>
      <c r="U335" s="180" t="s">
        <v>3724</v>
      </c>
      <c r="V335" s="106" t="s">
        <v>3725</v>
      </c>
      <c r="W335" s="85" t="s">
        <v>3726</v>
      </c>
      <c r="X335" s="82" t="s">
        <v>3727</v>
      </c>
      <c r="Y335" s="253" t="s">
        <v>3728</v>
      </c>
      <c r="Z335" s="86" t="s">
        <v>3729</v>
      </c>
      <c r="AA335" s="156" t="s">
        <v>64</v>
      </c>
      <c r="AB335" s="55"/>
      <c r="AC335" s="56"/>
      <c r="AD335" s="56"/>
      <c r="AE335" s="55"/>
      <c r="AF335" s="55"/>
      <c r="AG335" s="56"/>
      <c r="AH335" s="56"/>
      <c r="AI335" s="55"/>
      <c r="AJ335" s="55"/>
      <c r="AK335" s="56"/>
      <c r="AL335" s="56"/>
      <c r="AM335" s="83"/>
      <c r="AN335" s="83" t="s">
        <v>39</v>
      </c>
      <c r="AO335" s="131"/>
      <c r="AP335" s="43" t="str">
        <f t="shared" si="6"/>
        <v>neurogym s. r. o., registrovany socialny podnik  krasa-zdravie-relax, &amp;#32vsetky kategorie  Brezno 97701 neurorehabilitacia, regeneracne a rekondicne cvicenie Pomahame ludom po uraze miechy, s neurologickym ochorenim alebo detom s DMO zlepsit ich zdravotny stav a vratit sa spat do zivota. NEUROGYM Neurorehabilitacia inak. Unikatna forma rehabilitacie formou individualneho, aktivneho cvicenia. neurorehabilitacia, fyzioterapia, regeneracia, rehabilitacia           Register partnerov VS</v>
      </c>
      <c r="AQ335" s="37"/>
    </row>
    <row r="336" ht="15.75" customHeight="1">
      <c r="A336" s="43"/>
      <c r="B336" s="59">
        <v>365.0</v>
      </c>
      <c r="C336" s="219" t="s">
        <v>3730</v>
      </c>
      <c r="D336" s="42" t="s">
        <v>51</v>
      </c>
      <c r="E336" s="38" t="str">
        <f t="shared" si="1"/>
        <v>Prešovský kraj, &amp;#32celé Slovensko</v>
      </c>
      <c r="F336" s="80" t="s">
        <v>3731</v>
      </c>
      <c r="G336" s="38" t="str">
        <f t="shared" si="2"/>
        <v>čistiace a upratovacie služby, poľnohospodárstvo a lesníctvo, dom a záhrada, stavebníctvo, doprava, kultúra a šport, odpady a recyklácia, reklama, &amp;#32všetky kategórie</v>
      </c>
      <c r="H336" s="42" t="s">
        <v>170</v>
      </c>
      <c r="I336" s="43" t="str">
        <f t="shared" si="3"/>
        <v>21 a viac, &amp;#32všetky možnosti</v>
      </c>
      <c r="J336" s="44" t="str">
        <f t="shared" si="7"/>
        <v>Servisné poukážky,Register partnerov VS,Náhradné plnenie</v>
      </c>
      <c r="K336" s="45">
        <f t="shared" si="5"/>
        <v>29933.51184</v>
      </c>
      <c r="L336" s="43"/>
      <c r="M336" s="43" t="str">
        <f>IFERROR(__xludf.DUMMYFUNCTION("SPLIT(O336,"","")"),"Stropkovská 717/82")</f>
        <v>Stropkovská 717/82</v>
      </c>
      <c r="N336" s="43" t="str">
        <f>IFERROR(__xludf.DUMMYFUNCTION("""COMPUTED_VALUE""")," 089 01 Svidník")</f>
        <v> 089 01 Svidník</v>
      </c>
      <c r="O336" s="80" t="s">
        <v>3732</v>
      </c>
      <c r="P336" s="81">
        <v>49.2976068</v>
      </c>
      <c r="Q336" s="81">
        <v>21.5814956</v>
      </c>
      <c r="R336" s="82" t="s">
        <v>3733</v>
      </c>
      <c r="S336" s="85" t="s">
        <v>3734</v>
      </c>
      <c r="T336" s="98" t="s">
        <v>86</v>
      </c>
      <c r="U336" s="180" t="s">
        <v>3735</v>
      </c>
      <c r="V336" s="106" t="s">
        <v>3736</v>
      </c>
      <c r="W336" s="85" t="s">
        <v>3737</v>
      </c>
      <c r="X336" s="82" t="s">
        <v>3730</v>
      </c>
      <c r="Y336" s="253" t="s">
        <v>3738</v>
      </c>
      <c r="Z336" s="86" t="s">
        <v>3739</v>
      </c>
      <c r="AA336" s="156" t="s">
        <v>64</v>
      </c>
      <c r="AB336" s="55"/>
      <c r="AC336" s="56"/>
      <c r="AD336" s="56"/>
      <c r="AE336" s="55"/>
      <c r="AF336" s="55"/>
      <c r="AG336" s="56"/>
      <c r="AH336" s="56"/>
      <c r="AI336" s="55"/>
      <c r="AJ336" s="55"/>
      <c r="AK336" s="56"/>
      <c r="AL336" s="56"/>
      <c r="AM336" s="83" t="s">
        <v>321</v>
      </c>
      <c r="AN336" s="83" t="s">
        <v>39</v>
      </c>
      <c r="AO336" s="131" t="s">
        <v>40</v>
      </c>
      <c r="AP336" s="43" t="str">
        <f t="shared" si="6"/>
        <v>Socialny podnik mesta Svidnik, s. r. o. cistiace a upratovacie sluzby, polnohospodarstvo a lesnictvo, dom a zahrada, stavebnictvo, doprava, kultura a sport, odpady a recyklacia, reklama, &amp;#32vsetky kategorie  089 01 Svidnik Socialny podnik mesta Svidnik bol zalozeny v aprili 2021 v sucasnosti  zamestnava 21 ludi. Kolektiv Socialneho podniku ma za sebou velke mnozstvo uspesne zrealizovanych projektov v meste Svidnik a blizkom okoli. Venujeme sa hlavne oblasti stavebnictva, taktiez vykonavame dalsie cinnosti ktore su cistiace a upratovacie sluzby, zahradnictvo, polnohospodarstvo a lesnictvo, stahovacie sluzby, skladove, pomocne a prepravne sluzby v doprave, reklamne, marketingove, fotograficke a informacne sluzby, prieskum trhu a verejnej mienky, prevadzkovanie kulturnych, spolocenskych, zabavnych, udrzba. Podpora regionalneho rozvoja a zamestnanosti, socialna pomoc, kultura, vzdelavanie Socialny podnik mesta Svidnik, s. r. o. Stavebnictvo, dom a zahrada, cistiace sluzby. Stavebnictvo, zemne prace, buranie, kosenie, upratovacie sluzby.          Servisne poukazky Register partnerov VS</v>
      </c>
      <c r="AQ336" s="37"/>
    </row>
    <row r="337" ht="15.75" customHeight="1">
      <c r="A337" s="43"/>
      <c r="B337" s="59">
        <v>366.0</v>
      </c>
      <c r="C337" s="219" t="s">
        <v>3740</v>
      </c>
      <c r="D337" s="42" t="s">
        <v>134</v>
      </c>
      <c r="E337" s="38" t="str">
        <f t="shared" si="1"/>
        <v>Trenčiansky kraj, &amp;#32celé Slovensko</v>
      </c>
      <c r="F337" s="80" t="s">
        <v>3741</v>
      </c>
      <c r="G337" s="230" t="str">
        <f t="shared" si="2"/>
        <v>čistiace a upratovacie služby, dom a záhrada, stavebníctvo, doprava, &amp;#32všetky kategórie</v>
      </c>
      <c r="H337" s="42" t="s">
        <v>96</v>
      </c>
      <c r="I337" s="43" t="str">
        <f t="shared" si="3"/>
        <v>6 - 10, &amp;#32všetky možnosti</v>
      </c>
      <c r="J337" s="44" t="str">
        <f t="shared" si="7"/>
        <v>,Register partnerov VS,</v>
      </c>
      <c r="K337" s="45">
        <f t="shared" si="5"/>
        <v>14859.92763</v>
      </c>
      <c r="L337" s="43"/>
      <c r="M337" s="43" t="str">
        <f>IFERROR(__xludf.DUMMYFUNCTION("SPLIT(O337,"","")"),"Melčice-Lieskové 119")</f>
        <v>Melčice-Lieskové 119</v>
      </c>
      <c r="N337" s="43" t="str">
        <f>IFERROR(__xludf.DUMMYFUNCTION("""COMPUTED_VALUE""")," 913 05 Melčice")</f>
        <v> 913 05 Melčice</v>
      </c>
      <c r="O337" s="80" t="s">
        <v>3742</v>
      </c>
      <c r="P337" s="81">
        <v>48.8400137</v>
      </c>
      <c r="Q337" s="81">
        <v>17.9119115</v>
      </c>
      <c r="R337" s="55" t="s">
        <v>3743</v>
      </c>
      <c r="S337" s="55" t="s">
        <v>3744</v>
      </c>
      <c r="T337" s="98" t="s">
        <v>86</v>
      </c>
      <c r="U337" s="180" t="s">
        <v>3745</v>
      </c>
      <c r="V337" s="84" t="s">
        <v>3746</v>
      </c>
      <c r="W337" s="51" t="s">
        <v>3747</v>
      </c>
      <c r="X337" s="52" t="s">
        <v>3748</v>
      </c>
      <c r="Y337" s="253" t="s">
        <v>3749</v>
      </c>
      <c r="Z337" s="52" t="s">
        <v>3750</v>
      </c>
      <c r="AA337" s="52" t="s">
        <v>64</v>
      </c>
      <c r="AB337" s="51"/>
      <c r="AC337" s="52"/>
      <c r="AD337" s="52"/>
      <c r="AE337" s="55"/>
      <c r="AF337" s="55"/>
      <c r="AG337" s="55"/>
      <c r="AH337" s="55"/>
      <c r="AI337" s="55"/>
      <c r="AJ337" s="55"/>
      <c r="AK337" s="55"/>
      <c r="AL337" s="55"/>
      <c r="AM337" s="55"/>
      <c r="AN337" s="83" t="s">
        <v>39</v>
      </c>
      <c r="AO337" s="131"/>
      <c r="AP337" s="43" t="str">
        <f t="shared" si="6"/>
        <v>Obecny podnik Melcice-Lieskove s.r.o. cistiace a upratovacie sluzby, dom a zahrada, stavebnictvo, doprava, &amp;#32vsetky kategorie  913 05 Melcice Nasa firma realizuje stavebne prace - rekonstrukcne prace, terenne upravy, vykopove rucne prace, zasypanie vykopu rucne, betonarske prace, sluzby prepravy materialu a sluzby starostlivost o domacnost a zahradu. Ponukame sluzby na podporu regionalneho rozvoja a zamestnanosti. Obecny podnik Melcice -Lieskove s.r.o. Nasa firma sa realizuje stavebne prace - rekonstrukcne prace, terenne upravy, vykopove rucne prace, zasypanie vykopu rucne, betonarske prace, sluzby prepravy materialu a sluzby starostlivost o domacnost a zahradu. Stavebnictvo, preprava.           Register partnerov VS</v>
      </c>
      <c r="AQ337" s="37"/>
    </row>
    <row r="338" ht="15.75" customHeight="1">
      <c r="A338" s="43"/>
      <c r="B338" s="59">
        <v>367.0</v>
      </c>
      <c r="C338" s="219" t="s">
        <v>3751</v>
      </c>
      <c r="D338" s="42" t="s">
        <v>134</v>
      </c>
      <c r="E338" s="38" t="str">
        <f t="shared" si="1"/>
        <v>Trenčiansky kraj, &amp;#32celé Slovensko</v>
      </c>
      <c r="F338" s="80" t="s">
        <v>2340</v>
      </c>
      <c r="G338" s="38" t="str">
        <f t="shared" si="2"/>
        <v>čistiace a upratovacie služby, účtovníctvo a poradenstvo, &amp;#32všetky kategórie</v>
      </c>
      <c r="H338" s="42" t="s">
        <v>96</v>
      </c>
      <c r="I338" s="43" t="str">
        <f t="shared" si="3"/>
        <v>6 - 10, &amp;#32všetky možnosti</v>
      </c>
      <c r="J338" s="44" t="str">
        <f t="shared" ref="J338:J344" si="8">AM337&amp;","&amp;AN338&amp;","&amp;AO338</f>
        <v>,Register partnerov VS,</v>
      </c>
      <c r="K338" s="45">
        <f t="shared" si="5"/>
        <v>6175.211492</v>
      </c>
      <c r="L338" s="43"/>
      <c r="M338" s="43" t="str">
        <f>IFERROR(__xludf.DUMMYFUNCTION("SPLIT(O338,"","")"),"Rudnianska Lehota 306")</f>
        <v>Rudnianska Lehota 306</v>
      </c>
      <c r="N338" s="43" t="str">
        <f>IFERROR(__xludf.DUMMYFUNCTION("""COMPUTED_VALUE""")," 97226 Rudnianska Lehota")</f>
        <v> 97226 Rudnianska Lehota</v>
      </c>
      <c r="O338" s="80" t="s">
        <v>3752</v>
      </c>
      <c r="P338" s="81">
        <v>48.8057831</v>
      </c>
      <c r="Q338" s="81">
        <v>18.4631925</v>
      </c>
      <c r="R338" s="82" t="s">
        <v>3753</v>
      </c>
      <c r="S338" s="85" t="s">
        <v>3754</v>
      </c>
      <c r="T338" s="98" t="s">
        <v>86</v>
      </c>
      <c r="U338" s="180" t="s">
        <v>3755</v>
      </c>
      <c r="V338" s="106" t="s">
        <v>3756</v>
      </c>
      <c r="W338" s="85" t="s">
        <v>3757</v>
      </c>
      <c r="X338" s="82" t="s">
        <v>3751</v>
      </c>
      <c r="Y338" s="253" t="s">
        <v>3758</v>
      </c>
      <c r="Z338" s="86" t="s">
        <v>3759</v>
      </c>
      <c r="AA338" s="156" t="s">
        <v>129</v>
      </c>
      <c r="AB338" s="55" t="s">
        <v>3751</v>
      </c>
      <c r="AC338" s="56" t="s">
        <v>3760</v>
      </c>
      <c r="AD338" s="56" t="s">
        <v>639</v>
      </c>
      <c r="AE338" s="55"/>
      <c r="AF338" s="55"/>
      <c r="AG338" s="56"/>
      <c r="AH338" s="56"/>
      <c r="AI338" s="55"/>
      <c r="AJ338" s="55"/>
      <c r="AK338" s="56"/>
      <c r="AL338" s="56"/>
      <c r="AM338" s="83"/>
      <c r="AN338" s="83" t="s">
        <v>39</v>
      </c>
      <c r="AO338" s="233"/>
      <c r="AP338" s="43" t="str">
        <f t="shared" si="6"/>
        <v>Pani Sova s.r.o. cistiace a upratovacie sluzby, uctovnictvo a poradenstvo, &amp;#32vsetky kategorie  97226 Rudnianska Lehota Dynamicky sa rozvijajuca spolocnost, ktora sa specializuje na poskytovanie komplexnych sluzieb v oblasti uctovnictva, upratovania a udrzby. Nasim cielom je poskytovat kvalitne a spolahlive sluzby, ktore uspokoja potreby nasich zakaznikov a prispeju k ich uspechu a pohodliu. Nas podnik, Pani Sova, s.r.o., sa snazi byt spolocensky prospesny vo viacerych aspektoch, cim prispieva k zlepseniu kvality zivota v nasej komunite a k ochrane zivotneho prostredia. Tu su hlavne oblasti, v ktorych nas podnik prinasa spolocensky prospech: Zamestnanost a pracovna integracia, Ekologicka zodpovednost, Podpora komunity Pani Sova s.r.o. Nasa prevadzkaren sa specializuje na poskytovanie komplexnych uctovnych sluzieb a odbornych skoleni. Uctovne sluzby, Mzdy a personalistika, Dezinfekcia priestorov, Ekologicke cistenie, Udrzba budov, Opravarske sluzby Pani Sova s.r.o. Nasa prevadzkaren sa specializuje na poskytovanie upratovacich sluzieb a udrzby okolia pre seniorov a dochodcov.  cistiace a upratovacie sluzby, dom a zahrada        Register partnerov VS</v>
      </c>
      <c r="AQ338" s="37"/>
    </row>
    <row r="339" ht="15.75" customHeight="1">
      <c r="A339" s="43"/>
      <c r="B339" s="59">
        <v>368.0</v>
      </c>
      <c r="C339" s="219" t="s">
        <v>3761</v>
      </c>
      <c r="D339" s="42" t="s">
        <v>229</v>
      </c>
      <c r="E339" s="38" t="str">
        <f t="shared" si="1"/>
        <v>Nitriansky kraj, &amp;#32celé Slovensko</v>
      </c>
      <c r="F339" s="80" t="s">
        <v>947</v>
      </c>
      <c r="G339" s="38" t="str">
        <f t="shared" si="2"/>
        <v>čistiace a upratovacie služby, dom a záhrada, stavebníctvo, &amp;#32všetky kategórie</v>
      </c>
      <c r="H339" s="42" t="s">
        <v>53</v>
      </c>
      <c r="I339" s="43" t="str">
        <f t="shared" si="3"/>
        <v>1 - 5, &amp;#32všetky možnosti</v>
      </c>
      <c r="J339" s="44" t="str">
        <f t="shared" si="8"/>
        <v>,,</v>
      </c>
      <c r="K339" s="45">
        <f t="shared" si="5"/>
        <v>9213.421286</v>
      </c>
      <c r="L339" s="43"/>
      <c r="M339" s="43" t="str">
        <f>IFERROR(__xludf.DUMMYFUNCTION("SPLIT(O339,"","")"),"Gaštanova 167/1")</f>
        <v>Gaštanova 167/1</v>
      </c>
      <c r="N339" s="43" t="str">
        <f>IFERROR(__xludf.DUMMYFUNCTION("""COMPUTED_VALUE""")," Beladice 951 75")</f>
        <v> Beladice 951 75</v>
      </c>
      <c r="O339" s="80" t="s">
        <v>3762</v>
      </c>
      <c r="P339" s="81">
        <v>48.3393252</v>
      </c>
      <c r="Q339" s="81">
        <v>18.2983173</v>
      </c>
      <c r="R339" s="82" t="s">
        <v>3763</v>
      </c>
      <c r="S339" s="85" t="s">
        <v>3764</v>
      </c>
      <c r="T339" s="98" t="s">
        <v>3765</v>
      </c>
      <c r="U339" s="180" t="s">
        <v>3766</v>
      </c>
      <c r="V339" s="254" t="s">
        <v>3767</v>
      </c>
      <c r="W339" s="255" t="s">
        <v>3768</v>
      </c>
      <c r="X339" s="255" t="s">
        <v>3761</v>
      </c>
      <c r="Y339" s="46" t="s">
        <v>3769</v>
      </c>
      <c r="Z339" s="142" t="s">
        <v>3770</v>
      </c>
      <c r="AA339" s="254" t="s">
        <v>64</v>
      </c>
      <c r="AB339" s="55"/>
      <c r="AC339" s="56"/>
      <c r="AD339" s="56"/>
      <c r="AE339" s="55"/>
      <c r="AF339" s="55"/>
      <c r="AG339" s="56"/>
      <c r="AH339" s="56"/>
      <c r="AI339" s="55"/>
      <c r="AJ339" s="55"/>
      <c r="AK339" s="56"/>
      <c r="AL339" s="56"/>
      <c r="AM339" s="255"/>
      <c r="AN339" s="83"/>
      <c r="AO339" s="255"/>
      <c r="AP339" s="43" t="str">
        <f t="shared" si="6"/>
        <v>DREVENICA, s.r.o. cistiace a upratovacie sluzby, dom a zahrada, stavebnictvo, &amp;#32vsetky kategorie  Beladice 951 75 komunalne, technicke a upratovacie sluzby Odlisuje sa predovsetkym v zamestnavani znevyhodnenych a zranitelnych ludi DREVENICA, s.r.o. Zaoberame sa technickymi, komunalnymi a upratovacimi sluzbami kosenie, upratovanie, cistenie, stavebne prace            </v>
      </c>
      <c r="AQ339" s="37"/>
    </row>
    <row r="340" ht="15.75" customHeight="1">
      <c r="A340" s="43"/>
      <c r="B340" s="59">
        <v>369.0</v>
      </c>
      <c r="C340" s="219" t="s">
        <v>3771</v>
      </c>
      <c r="D340" s="42" t="s">
        <v>181</v>
      </c>
      <c r="E340" s="38" t="str">
        <f t="shared" si="1"/>
        <v>Banskobystrický kraj, &amp;#32celé Slovensko</v>
      </c>
      <c r="F340" s="80" t="s">
        <v>3772</v>
      </c>
      <c r="G340" s="38" t="str">
        <f t="shared" si="2"/>
        <v>stavebníctvo, vzdelávanie, účtovníctvo a poradenstvo, reklama, iné (tovary a služby), kovovýroba, &amp;#32všetky kategórie</v>
      </c>
      <c r="H340" s="42" t="s">
        <v>96</v>
      </c>
      <c r="I340" s="43" t="str">
        <f t="shared" si="3"/>
        <v>6 - 10, &amp;#32všetky možnosti</v>
      </c>
      <c r="J340" s="44" t="str">
        <f t="shared" si="8"/>
        <v>,Register partnerov VS,</v>
      </c>
      <c r="K340" s="45">
        <f t="shared" si="5"/>
        <v>37504.64935</v>
      </c>
      <c r="L340" s="43"/>
      <c r="M340" s="43" t="str">
        <f>IFERROR(__xludf.DUMMYFUNCTION("SPLIT(O340,"","")"),"Andreja Kmeťa 12")</f>
        <v>Andreja Kmeťa 12</v>
      </c>
      <c r="N340" s="43" t="str">
        <f>IFERROR(__xludf.DUMMYFUNCTION("""COMPUTED_VALUE""")," 969 01  Banská Štiavnica ")</f>
        <v> 969 01  Banská Štiavnica </v>
      </c>
      <c r="O340" s="80" t="s">
        <v>3773</v>
      </c>
      <c r="P340" s="81">
        <v>48.4586550999999</v>
      </c>
      <c r="Q340" s="81">
        <v>18.8948202</v>
      </c>
      <c r="R340" s="82" t="s">
        <v>3774</v>
      </c>
      <c r="S340" s="85" t="s">
        <v>3775</v>
      </c>
      <c r="T340" s="98" t="s">
        <v>3776</v>
      </c>
      <c r="U340" s="180" t="s">
        <v>3777</v>
      </c>
      <c r="V340" s="254" t="s">
        <v>3778</v>
      </c>
      <c r="W340" s="255" t="s">
        <v>3779</v>
      </c>
      <c r="X340" s="255" t="s">
        <v>3780</v>
      </c>
      <c r="Y340" s="46" t="s">
        <v>3781</v>
      </c>
      <c r="Z340" s="142" t="s">
        <v>3782</v>
      </c>
      <c r="AA340" s="254" t="s">
        <v>64</v>
      </c>
      <c r="AB340" s="55"/>
      <c r="AC340" s="56"/>
      <c r="AD340" s="56"/>
      <c r="AE340" s="55"/>
      <c r="AF340" s="55"/>
      <c r="AG340" s="56"/>
      <c r="AH340" s="56"/>
      <c r="AI340" s="55"/>
      <c r="AJ340" s="55"/>
      <c r="AK340" s="56"/>
      <c r="AL340" s="56"/>
      <c r="AM340" s="255"/>
      <c r="AN340" s="83" t="s">
        <v>39</v>
      </c>
      <c r="AO340" s="255"/>
      <c r="AP340" s="43" t="str">
        <f t="shared" si="6"/>
        <v>Libela s.r.o.  stavebnictvo, vzdelavanie, uctovnictvo a poradenstvo, reklama, ine (tovary a sluzby), kovovyroba, &amp;#32vsetky kategorie  969 01  Banska Stiavnica  Predmetom nasej cinnosti je architektura, projekcia a dizajn najma v oblasti pamiatkovych objektov a atypickych realizacii, ako aj komplexna obnova pamiatok. Svoju cinnost sme rozsirili aj o manualne cinnosti, ako je spracovanie drevnej hmoty a stolarstvo, stavebne prace na pamiatkovych objektoch, projekcnu cinnost, drobne murarske, omietkarske a maliarske prace. Nase sluzby su urcene nielen pre organy statnej spravy a samospravy, ale aj pre ich obcanov a podnikatelske subjekty.  Zamestnavame osoby so zdravotnym znevyhodnenim, ktorymi su sluchovo postihnute osoby a osoby s inym telesnym postihnutim.  Davame tak moznost uplatnit sa skupinam znevyhodnenych obyvatelov na trhu prace, najma v regione Banskobystrickeho kraja.  Libela s.r.o. Architektura, projekcia, dizajn, obnova pamiatok, restaurovanie, stavebnictvo, stolarstvo, murarstvo, kamenarstvo, tesarstvo, maliarstvo, stavebny dozor, stavbyveduci, vyucovanie, vzdelanie, umenie, sprostredkovanie.  Architektura, projekcia, dizajn, obnova pamiatok, restaurovanie, stavebnictvo, stolarstvo, murarstvo, kamenarstvo, tesarstvo, maliarstvo, stavebny dozor, stavbyveduci, vyucovanie, vzdelanie, umenie, poradenstvo, sprostredkovanie.            Register partnerov VS</v>
      </c>
      <c r="AQ340" s="37"/>
    </row>
    <row r="341" ht="15.75" customHeight="1">
      <c r="A341" s="43"/>
      <c r="B341" s="59">
        <v>370.0</v>
      </c>
      <c r="C341" s="219" t="s">
        <v>3783</v>
      </c>
      <c r="D341" s="42" t="s">
        <v>66</v>
      </c>
      <c r="E341" s="38" t="str">
        <f t="shared" si="1"/>
        <v>Žilinský kraj, &amp;#32celé Slovensko</v>
      </c>
      <c r="F341" s="80" t="s">
        <v>1838</v>
      </c>
      <c r="G341" s="38" t="str">
        <f t="shared" si="2"/>
        <v>ubytovacie a stravovacie služby, &amp;#32všetky kategórie</v>
      </c>
      <c r="H341" s="42" t="s">
        <v>96</v>
      </c>
      <c r="I341" s="43" t="str">
        <f t="shared" si="3"/>
        <v>6 - 10, &amp;#32všetky možnosti</v>
      </c>
      <c r="J341" s="44" t="str">
        <f t="shared" si="8"/>
        <v>,Register partnerov VS,</v>
      </c>
      <c r="K341" s="45">
        <f t="shared" si="5"/>
        <v>4232.71204</v>
      </c>
      <c r="L341" s="43"/>
      <c r="M341" s="43" t="str">
        <f>IFERROR(__xludf.DUMMYFUNCTION("SPLIT(O341,"","")"),"29.augusta 2033/104")</f>
        <v>29.augusta 2033/104</v>
      </c>
      <c r="N341" s="43" t="str">
        <f>IFERROR(__xludf.DUMMYFUNCTION("""COMPUTED_VALUE""")," 038 52 Sučany")</f>
        <v> 038 52 Sučany</v>
      </c>
      <c r="O341" s="41" t="s">
        <v>3784</v>
      </c>
      <c r="P341" s="81">
        <v>49.0980146</v>
      </c>
      <c r="Q341" s="81">
        <v>18.9923248</v>
      </c>
      <c r="R341" s="82" t="s">
        <v>3785</v>
      </c>
      <c r="S341" s="85" t="s">
        <v>3786</v>
      </c>
      <c r="T341" s="98" t="s">
        <v>3787</v>
      </c>
      <c r="U341" s="180" t="s">
        <v>3788</v>
      </c>
      <c r="V341" s="254" t="s">
        <v>3789</v>
      </c>
      <c r="W341" s="255" t="s">
        <v>3790</v>
      </c>
      <c r="X341" s="255" t="s">
        <v>3791</v>
      </c>
      <c r="Y341" s="46" t="s">
        <v>3792</v>
      </c>
      <c r="Z341" s="142" t="s">
        <v>3793</v>
      </c>
      <c r="AA341" s="254" t="s">
        <v>64</v>
      </c>
      <c r="AB341" s="55"/>
      <c r="AC341" s="56"/>
      <c r="AD341" s="56"/>
      <c r="AE341" s="55"/>
      <c r="AF341" s="55"/>
      <c r="AG341" s="56"/>
      <c r="AH341" s="56"/>
      <c r="AI341" s="55"/>
      <c r="AJ341" s="55"/>
      <c r="AK341" s="56"/>
      <c r="AL341" s="56"/>
      <c r="AM341" s="255"/>
      <c r="AN341" s="83" t="s">
        <v>39</v>
      </c>
      <c r="AO341" s="255"/>
      <c r="AP341" s="43" t="str">
        <f t="shared" si="6"/>
        <v>Milena Kristofova registrovany socialny podnik ubytovacie a stravovacie sluzby, &amp;#32vsetky kategorie  038 52 Sucany - restauracia, catering, denne menu, ubytovanie, krstiny, svate prijimanie, birmovka, konfirmacia, svadby, plesy, smutocne posedenie, firemne vecierky, zavodne stravovanie - zamestnavame socialne znevyhodnenych a zranitelnych, pomahame dochodcom prispevkami na stravu, Penzion Esprit - restauracia, ubytovanie restauracia, ubytovanie, penzion           Register partnerov VS</v>
      </c>
      <c r="AQ341" s="37"/>
    </row>
    <row r="342" ht="15.75" customHeight="1">
      <c r="A342" s="43"/>
      <c r="B342" s="59">
        <v>371.0</v>
      </c>
      <c r="C342" s="219" t="s">
        <v>3794</v>
      </c>
      <c r="D342" s="42" t="s">
        <v>229</v>
      </c>
      <c r="E342" s="38" t="str">
        <f t="shared" si="1"/>
        <v>Nitriansky kraj, &amp;#32celé Slovensko</v>
      </c>
      <c r="F342" s="80" t="s">
        <v>3795</v>
      </c>
      <c r="G342" s="38" t="str">
        <f t="shared" si="2"/>
        <v>čistiace a upratovacie služby, dom a záhrada, stavebníctvo, doprava, auto-moto, elektro, iné (tovary a služby), kovovýroba, &amp;#32všetky kategórie</v>
      </c>
      <c r="H342" s="42" t="s">
        <v>170</v>
      </c>
      <c r="I342" s="43" t="str">
        <f t="shared" si="3"/>
        <v>21 a viac, &amp;#32všetky možnosti</v>
      </c>
      <c r="J342" s="44" t="str">
        <f t="shared" si="8"/>
        <v>,Register partnerov VS,Náhradné plnenie</v>
      </c>
      <c r="K342" s="45">
        <f t="shared" si="5"/>
        <v>43483.94811</v>
      </c>
      <c r="L342" s="43"/>
      <c r="M342" s="43" t="str">
        <f>IFERROR(__xludf.DUMMYFUNCTION("SPLIT(O342,"","")"),"Okoličná na Ostrove 441")</f>
        <v>Okoličná na Ostrove 441</v>
      </c>
      <c r="N342" s="43" t="str">
        <f>IFERROR(__xludf.DUMMYFUNCTION("""COMPUTED_VALUE""")," 946 13 Okoličná na Ostrove")</f>
        <v> 946 13 Okoličná na Ostrove</v>
      </c>
      <c r="O342" s="80" t="s">
        <v>3796</v>
      </c>
      <c r="P342" s="81">
        <v>47.8121461</v>
      </c>
      <c r="Q342" s="81">
        <v>17.8613435</v>
      </c>
      <c r="R342" s="82" t="s">
        <v>3797</v>
      </c>
      <c r="S342" s="85" t="s">
        <v>3798</v>
      </c>
      <c r="T342" s="98" t="s">
        <v>86</v>
      </c>
      <c r="U342" s="180" t="s">
        <v>3799</v>
      </c>
      <c r="V342" s="254" t="s">
        <v>3800</v>
      </c>
      <c r="W342" s="255" t="s">
        <v>3801</v>
      </c>
      <c r="X342" s="255" t="s">
        <v>3802</v>
      </c>
      <c r="Y342" s="46" t="s">
        <v>3798</v>
      </c>
      <c r="Z342" s="142" t="s">
        <v>3803</v>
      </c>
      <c r="AA342" s="254" t="s">
        <v>64</v>
      </c>
      <c r="AB342" s="55"/>
      <c r="AC342" s="56"/>
      <c r="AD342" s="56"/>
      <c r="AE342" s="55"/>
      <c r="AF342" s="55"/>
      <c r="AG342" s="56"/>
      <c r="AH342" s="56"/>
      <c r="AI342" s="55"/>
      <c r="AJ342" s="55"/>
      <c r="AK342" s="56"/>
      <c r="AL342" s="56"/>
      <c r="AM342" s="83" t="s">
        <v>321</v>
      </c>
      <c r="AN342" s="83" t="s">
        <v>39</v>
      </c>
      <c r="AO342" s="131" t="s">
        <v>40</v>
      </c>
      <c r="AP342" s="43" t="str">
        <f t="shared" si="6"/>
        <v>GrowGroup, s. r. o. cistiace a upratovacie sluzby, dom a zahrada, stavebnictvo, doprava, auto-moto, elektro, ine (tovary a sluzby), kovovyroba, &amp;#32vsetky kategorie  946 13 Okolicna na Ostrove Socialny podnik GrowGroup je clenom medzinarodnej skupiny SITUS Group. Prioritne sa zameriava na automobilovy priemysle, sme vsak flexibilny a vieme poskytovat sluzby a vyrobu podla poziadaviek zakaznikov. Portfolio nasich sluzieb je siroke, staci si len vybrat, oslovit nas a na spolupraci sa radi dohodneme.  Okrem vlastnej vyroby vo vlastnych  priestoroch , ponukame aj spolupracu i interne  u Vas na zaklade kooperacneho objednania. Hlavnym cielom nasho  socialneho podniku je dosahovanie meratelneho pozitivneho socialneho vplyvu. Cielom socialneho podnikania v nasej spolocnosti  je to, aby znevyhodnene alebo zranitelne osoby mali prilezitost zamestnat sa, ziskali pracovne navyky a rozvijali svoje osobnostne predpoklady.  V zmysle poskytovania spolocensky prospesnej sluzby podpory zamestnanosti spolocnost zamestnava  zranitelne a znevyhodnene osoby. Spolocnost  ma  i svoje  skoliace a treningove centrum, v ktorom znevyhodnene a zranitelne osoby ziskavaju a osvojuju  si pracovne zrucnosti, prekonavaju jazykove bariery, zaclenuju  sa do pracovneho kolektivu, pripravuju  sa na vstup, ci na navrat na otvoreny trh prace. Zamestnanci  si  osvojuju  pracovne navyky a ziskavaju nove zrucnosti pre vykon povolania, co zvysuje  sance na ich opatovne zaclenenie  do pracovneho kolektivu.  GrowGroup, s.r.o. Hlavnym cielom nasho  socialneho podniku je dosahovanie meratelneho pozitivneho socialneho vplyvu. Cielom socialneho podnikania v nasej spolocnosti  je to, aby znevyhodnene alebo zranitelne osoby mali prilezitost zamestnat sa, ziskali pracovne navyky a rozvijali svoje osobnostne predpoklady.  V zmysle poskytovania spolocensky prospesnej sluzby podpory zamestnanosti spolocnost zamestnava  zranitelne a znevyhodnene osoby. Spolocnost  ma  i svoje  skoliace a treningove centrum, v ktorom znevyhodnene a zranitelne osoby ziskavaju a osvojuju  si pracovne zrucnosti, prekonavaju jazykove bariery, zaclenuju  sa do pracovneho kolektivu, pripravuju  sa na vstup, ci na navrat na otvoreny trh prace. Zamestnanci  si  osvojuju  pracovne navyky a ziskavaju nove zrucnosti pre vykon povolania, co zvysuje  sance na ich opatovne zaclenenie  do pracovneho kolektivu.  automobilovy priemysel, nabijacie systemy pre elektromobily, sluzby pre dom a zahradu, kovovyroba, stavebnictvo, doprava, baliace prace, skladanie, vyroba, sluzby          Servisne poukazky Register partnerov VS</v>
      </c>
      <c r="AQ342" s="37"/>
    </row>
    <row r="343" ht="15.75" customHeight="1">
      <c r="A343" s="43"/>
      <c r="B343" s="59">
        <v>372.0</v>
      </c>
      <c r="C343" s="234" t="s">
        <v>3804</v>
      </c>
      <c r="D343" s="42" t="s">
        <v>229</v>
      </c>
      <c r="E343" s="38" t="str">
        <f t="shared" si="1"/>
        <v>Nitriansky kraj, &amp;#32celé Slovensko</v>
      </c>
      <c r="F343" s="80" t="s">
        <v>1178</v>
      </c>
      <c r="G343" s="38" t="str">
        <f t="shared" si="2"/>
        <v>poľnohospodárstvo a lesníctvo, &amp;#32všetky kategórie</v>
      </c>
      <c r="H343" s="42" t="s">
        <v>53</v>
      </c>
      <c r="I343" s="43" t="str">
        <f t="shared" si="3"/>
        <v>1 - 5, &amp;#32všetky možnosti</v>
      </c>
      <c r="J343" s="44" t="str">
        <f t="shared" si="8"/>
        <v>Servisné poukážky,,Náhradné plnenie</v>
      </c>
      <c r="K343" s="45">
        <f t="shared" si="5"/>
        <v>43005.57757</v>
      </c>
      <c r="L343" s="43"/>
      <c r="M343" s="43" t="str">
        <f>IFERROR(__xludf.DUMMYFUNCTION("SPLIT(O343,"","")"),"Bratislavská 4")</f>
        <v>Bratislavská 4</v>
      </c>
      <c r="N343" s="43" t="str">
        <f>IFERROR(__xludf.DUMMYFUNCTION("""COMPUTED_VALUE""")," 949 01 Nitra")</f>
        <v> 949 01 Nitra</v>
      </c>
      <c r="O343" s="41" t="s">
        <v>3805</v>
      </c>
      <c r="P343" s="81">
        <v>48.3183833</v>
      </c>
      <c r="Q343" s="81">
        <v>18.0597936</v>
      </c>
      <c r="R343" s="82" t="s">
        <v>3806</v>
      </c>
      <c r="S343" s="85" t="s">
        <v>3807</v>
      </c>
      <c r="T343" s="98" t="s">
        <v>86</v>
      </c>
      <c r="U343" s="180" t="s">
        <v>3808</v>
      </c>
      <c r="V343" s="256" t="s">
        <v>3809</v>
      </c>
      <c r="W343" s="255" t="s">
        <v>3810</v>
      </c>
      <c r="X343" s="255" t="s">
        <v>656</v>
      </c>
      <c r="Y343" s="46" t="s">
        <v>656</v>
      </c>
      <c r="Z343" s="142" t="s">
        <v>3811</v>
      </c>
      <c r="AA343" s="254" t="s">
        <v>64</v>
      </c>
      <c r="AB343" s="55"/>
      <c r="AC343" s="56"/>
      <c r="AD343" s="56"/>
      <c r="AE343" s="55"/>
      <c r="AF343" s="55"/>
      <c r="AG343" s="56"/>
      <c r="AH343" s="56"/>
      <c r="AI343" s="55"/>
      <c r="AJ343" s="55"/>
      <c r="AK343" s="56"/>
      <c r="AL343" s="56"/>
      <c r="AM343" s="255"/>
      <c r="AN343" s="83"/>
      <c r="AO343" s="131" t="s">
        <v>40</v>
      </c>
      <c r="AP343" s="43" t="str">
        <f t="shared" si="6"/>
        <v>EPIC FARM s.r.o. polnohospodarstvo a lesnictvo, &amp;#32vsetky kategorie  949 01 Nitra Snazime sa vdychnut zaslu slavu sklenikom v Nitre, ktore pomaly obnovujeme a zaciname pestovat. Ponukame lokalne a ekologicky vypestovane: zelenian a ovocie, cibuloviny, trvalky, stromy a mnoho dalsieho. Chceme priviest k zivotu schatrali areal byvaleho ZELOKVETU v Nitre, kde by sme chceli vybudovat komunitne pestovanie, kde by sa cele generacie stretavali a sirili svoje poznatky. RSP RSP Kvety, kytice, dekoracie, ovocie, zelenina,...           </v>
      </c>
      <c r="AQ343" s="37"/>
    </row>
    <row r="344" ht="15.75" customHeight="1">
      <c r="A344" s="43"/>
      <c r="B344" s="59">
        <v>373.0</v>
      </c>
      <c r="C344" s="219" t="s">
        <v>3812</v>
      </c>
      <c r="D344" s="42" t="s">
        <v>134</v>
      </c>
      <c r="E344" s="38" t="str">
        <f t="shared" si="1"/>
        <v>Trenčiansky kraj, &amp;#32celé Slovensko</v>
      </c>
      <c r="F344" s="80" t="s">
        <v>3813</v>
      </c>
      <c r="G344" s="38" t="str">
        <f t="shared" si="2"/>
        <v>doprava, účtovníctvo a poradenstvo, potraviny a nápoje, iné (tovary a služby), &amp;#32všetky kategórie</v>
      </c>
      <c r="H344" s="42" t="s">
        <v>68</v>
      </c>
      <c r="I344" s="43" t="str">
        <f t="shared" si="3"/>
        <v>16 - 20, &amp;#32všetky možnosti</v>
      </c>
      <c r="J344" s="44" t="str">
        <f t="shared" si="8"/>
        <v>,Register partnerov VS,</v>
      </c>
      <c r="K344" s="45">
        <f t="shared" si="5"/>
        <v>37132.68875</v>
      </c>
      <c r="L344" s="43"/>
      <c r="M344" s="43" t="str">
        <f>IFERROR(__xludf.DUMMYFUNCTION("SPLIT(O344,"","")"),"Lysá pod Makytou 1")</f>
        <v>Lysá pod Makytou 1</v>
      </c>
      <c r="N344" s="43" t="str">
        <f>IFERROR(__xludf.DUMMYFUNCTION("""COMPUTED_VALUE""")," 020 54 Lysá pod Makytou")</f>
        <v> 020 54 Lysá pod Makytou</v>
      </c>
      <c r="O344" s="80" t="s">
        <v>3814</v>
      </c>
      <c r="P344" s="81">
        <v>49.1968222</v>
      </c>
      <c r="Q344" s="81">
        <v>18.1952774</v>
      </c>
      <c r="R344" s="82" t="s">
        <v>3815</v>
      </c>
      <c r="S344" s="85" t="s">
        <v>3816</v>
      </c>
      <c r="T344" s="98" t="s">
        <v>3817</v>
      </c>
      <c r="U344" s="180" t="s">
        <v>3818</v>
      </c>
      <c r="V344" s="254" t="s">
        <v>3819</v>
      </c>
      <c r="W344" s="255" t="s">
        <v>3820</v>
      </c>
      <c r="X344" s="255" t="s">
        <v>3821</v>
      </c>
      <c r="Y344" s="46" t="s">
        <v>3822</v>
      </c>
      <c r="Z344" s="142" t="s">
        <v>3823</v>
      </c>
      <c r="AA344" s="257" t="s">
        <v>129</v>
      </c>
      <c r="AB344" s="258" t="s">
        <v>3824</v>
      </c>
      <c r="AC344" s="258" t="s">
        <v>3825</v>
      </c>
      <c r="AD344" s="258" t="s">
        <v>244</v>
      </c>
      <c r="AE344" s="85" t="s">
        <v>129</v>
      </c>
      <c r="AF344" s="259" t="s">
        <v>3826</v>
      </c>
      <c r="AG344" s="258" t="s">
        <v>3827</v>
      </c>
      <c r="AH344" s="258" t="s">
        <v>3828</v>
      </c>
      <c r="AI344" s="55"/>
      <c r="AJ344" s="55"/>
      <c r="AK344" s="56"/>
      <c r="AL344" s="56"/>
      <c r="AM344" s="255"/>
      <c r="AN344" s="83" t="s">
        <v>39</v>
      </c>
      <c r="AO344" s="255"/>
      <c r="AP344" s="43" t="str">
        <f t="shared" si="6"/>
        <v>OBECNA PREVADZKA LYSA, s.r.o. doprava, uctovnictvo a poradenstvo, potraviny a napoje, ine (tovary a sluzby), &amp;#32vsetky kategorie  020 54 Lysa pod Makytou Spolocnost bola zalozena v roku 2008 obcou Lysa pod Makytou ako 100% vlastnikom.Hlavnou podnikatelskou cinnostou je vyroba cerstvych pekarenskych vyrobkov, vyroba liehu v liehovarnickom zavode na pestovatelske palenie ovocia a udrzba zelene a verejneho priestranstva.. Spolocnost je verjno prospesny podnik, ktoreho hlavnym cielom je dosahovanie meratelneho pozitivneho socialneho vplyvuposkytovanim spolocensky prospesnej sluzby, a to v oblasti sluzby na podporu regionalneho rozvoja zamestnanosti. Pekaren Vyroba a predaj cerstveho chleba a peciva a kolacov Chlieb, pecivo, kolace, potraviny, destilacia ovocneho kvasu, doprava, vyvoz septiku, mulcovanie, oranie, kosenie, prace s vysokozdviznou plosinou, administrativa, upratovanie, doprava do 3,5t Pestovatelska palenica Vyroba ovocneho destilatu potraviny a napoje Udrzba zelene a doprava ponukame prace s vysokozdviznou plosinou, dopravu do 3,5t, vyvoz zumpy a odpadovych vod, mulcovanie, kosenie, prace s kultivatorom polnohospodarstvo a lesnictvo, doprava     Register partnerov VS</v>
      </c>
      <c r="AQ344" s="37"/>
    </row>
    <row r="345" ht="15.75" customHeight="1">
      <c r="A345" s="43"/>
      <c r="B345" s="59">
        <v>375.0</v>
      </c>
      <c r="C345" s="234" t="s">
        <v>3829</v>
      </c>
      <c r="D345" s="42" t="s">
        <v>51</v>
      </c>
      <c r="E345" s="38" t="str">
        <f t="shared" si="1"/>
        <v>Prešovský kraj, &amp;#32celé Slovensko</v>
      </c>
      <c r="F345" s="80" t="s">
        <v>3830</v>
      </c>
      <c r="G345" s="38" t="str">
        <f t="shared" si="2"/>
        <v>čistiace a upratovacie služby, ubytovacie a stravovacie služby, cestovný ruch, &amp;#32všetky kategórie</v>
      </c>
      <c r="H345" s="42" t="s">
        <v>96</v>
      </c>
      <c r="I345" s="43" t="str">
        <f t="shared" si="3"/>
        <v>6 - 10, &amp;#32všetky možnosti</v>
      </c>
      <c r="J345" s="44" t="str">
        <f>#REF!&amp;","&amp;AN345&amp;","&amp;AO345</f>
        <v>#REF!</v>
      </c>
      <c r="K345" s="45">
        <f t="shared" si="5"/>
        <v>34150.85008</v>
      </c>
      <c r="L345" s="43"/>
      <c r="M345" s="43" t="str">
        <f>IFERROR(__xludf.DUMMYFUNCTION("SPLIT(O345,"","")"),"Habura 270")</f>
        <v>Habura 270</v>
      </c>
      <c r="N345" s="43" t="str">
        <f>IFERROR(__xludf.DUMMYFUNCTION("""COMPUTED_VALUE""")," 067 52 Habura")</f>
        <v> 067 52 Habura</v>
      </c>
      <c r="O345" s="41" t="s">
        <v>3831</v>
      </c>
      <c r="P345" s="81">
        <v>49.3304129</v>
      </c>
      <c r="Q345" s="81">
        <v>21.8669533</v>
      </c>
      <c r="R345" s="82" t="s">
        <v>3832</v>
      </c>
      <c r="S345" s="85" t="s">
        <v>3833</v>
      </c>
      <c r="T345" s="98" t="s">
        <v>3834</v>
      </c>
      <c r="U345" s="180" t="s">
        <v>3835</v>
      </c>
      <c r="V345" s="260" t="s">
        <v>3836</v>
      </c>
      <c r="W345" s="255" t="s">
        <v>3837</v>
      </c>
      <c r="X345" s="255" t="s">
        <v>3838</v>
      </c>
      <c r="Y345" s="46" t="s">
        <v>3839</v>
      </c>
      <c r="Z345" s="142" t="s">
        <v>3840</v>
      </c>
      <c r="AA345" s="254" t="s">
        <v>64</v>
      </c>
      <c r="AB345" s="55"/>
      <c r="AC345" s="56"/>
      <c r="AD345" s="56"/>
      <c r="AE345" s="55"/>
      <c r="AF345" s="55"/>
      <c r="AG345" s="56"/>
      <c r="AH345" s="56"/>
      <c r="AI345" s="55"/>
      <c r="AJ345" s="55"/>
      <c r="AK345" s="56"/>
      <c r="AL345" s="56"/>
      <c r="AM345" s="255"/>
      <c r="AN345" s="83" t="s">
        <v>39</v>
      </c>
      <c r="AO345" s="255"/>
      <c r="AP345" s="43" t="str">
        <f t="shared" si="6"/>
        <v>D.Z. Work s.r.o., cistiace a upratovacie sluzby, ubytovacie a stravovacie sluzby, cestovny ruch, &amp;#32vsetky kategorie  067 52 Habura Poskytujeme ubytovacie sluzby v penzione Apartmany Habura, prenajom spolocenskej haly Solivar (na rozne kulturne a spolocenske akcie, ako su svadby, teambuildingy ...), udrzba obce, cistiace a upratovacie sluzby. Zamestnavame zdravotne znevyhodnene a zranitelne osoby. 100% zo svojho zisku pouzivame na dosahovanie hlavneho pozitivneho socialneho ciela spolocnosti. D.Z. Work s.r.o., r.s.p. Ubytovacie sluzby bez poskytovania pohostinnych cinnosti, prenajom spolocenskej haly Solivar, cistiace a upratovacie sluzby ubytovanie, penzion, cestovny ruch, upratovanie           Register partnerov VS</v>
      </c>
      <c r="AQ345" s="37"/>
    </row>
    <row r="346" ht="15.75" customHeight="1">
      <c r="A346" s="43"/>
      <c r="B346" s="59">
        <v>376.0</v>
      </c>
      <c r="C346" s="219" t="s">
        <v>3841</v>
      </c>
      <c r="D346" s="42" t="s">
        <v>51</v>
      </c>
      <c r="E346" s="38" t="str">
        <f t="shared" si="1"/>
        <v>Prešovský kraj, &amp;#32celé Slovensko</v>
      </c>
      <c r="F346" s="80" t="s">
        <v>3842</v>
      </c>
      <c r="G346" s="38" t="str">
        <f t="shared" si="2"/>
        <v>krása-zdravie-relax, bižutéria a darčekové predmety, &amp;#32všetky kategórie</v>
      </c>
      <c r="H346" s="42" t="s">
        <v>53</v>
      </c>
      <c r="I346" s="43" t="str">
        <f t="shared" si="3"/>
        <v>1 - 5, &amp;#32všetky možnosti</v>
      </c>
      <c r="J346" s="44" t="str">
        <f t="shared" ref="J346:J354" si="9">AM345&amp;","&amp;AN346&amp;","&amp;AO346</f>
        <v>,,Náhradné plnenie</v>
      </c>
      <c r="K346" s="45">
        <f t="shared" si="5"/>
        <v>18752.68516</v>
      </c>
      <c r="L346" s="43"/>
      <c r="M346" s="43" t="str">
        <f>IFERROR(__xludf.DUMMYFUNCTION("SPLIT(O346,"","")"),"Šarišská ulica 94/34")</f>
        <v>Šarišská ulica 94/34</v>
      </c>
      <c r="N346" s="43" t="str">
        <f>IFERROR(__xludf.DUMMYFUNCTION("""COMPUTED_VALUE""")," 094 34 Bystré")</f>
        <v> 094 34 Bystré</v>
      </c>
      <c r="O346" s="41" t="s">
        <v>3843</v>
      </c>
      <c r="P346" s="81">
        <v>49.0130957999999</v>
      </c>
      <c r="Q346" s="81">
        <v>21.5431485</v>
      </c>
      <c r="R346" s="82" t="s">
        <v>3844</v>
      </c>
      <c r="S346" s="85" t="s">
        <v>3845</v>
      </c>
      <c r="T346" s="98" t="s">
        <v>3846</v>
      </c>
      <c r="U346" s="180" t="s">
        <v>3847</v>
      </c>
      <c r="V346" s="254" t="s">
        <v>3848</v>
      </c>
      <c r="W346" s="255" t="s">
        <v>3849</v>
      </c>
      <c r="X346" s="255" t="s">
        <v>3841</v>
      </c>
      <c r="Y346" s="46" t="s">
        <v>3850</v>
      </c>
      <c r="Z346" s="142" t="s">
        <v>3851</v>
      </c>
      <c r="AA346" s="254" t="s">
        <v>64</v>
      </c>
      <c r="AB346" s="55"/>
      <c r="AC346" s="56"/>
      <c r="AD346" s="56"/>
      <c r="AE346" s="55"/>
      <c r="AF346" s="55"/>
      <c r="AG346" s="56"/>
      <c r="AH346" s="56"/>
      <c r="AI346" s="55"/>
      <c r="AJ346" s="55"/>
      <c r="AK346" s="56"/>
      <c r="AL346" s="56"/>
      <c r="AM346" s="255"/>
      <c r="AN346" s="83"/>
      <c r="AO346" s="131" t="s">
        <v>40</v>
      </c>
      <c r="AP346" s="43" t="str">
        <f t="shared" si="6"/>
        <v>WAYANA s. r. o. krasa-zdravie-relax, bizuteria a darcekove predmety, &amp;#32vsetky kategorie  094 34 Bystre WAYANA HOME je slovenska znacka zamerana na rucnu vyrobu sviecok, difuzerov a kvetinovych aranzmanov. Nase produkty vznikaju s dorazom na dizajn, prirodu a emociu. Sme socialny podnik, ktory dava prilezitost znevyhodnenym ludom, cim prepajame estetiku s ludskostou a skutocnou hodnotou. Vsetko vyrabame lokalne na vychodnom Slovensku s ohladom na zivotne prostredie a remeselnu kvalitu. Venujeme sa zakazkovej vyrobe, darcekovym balickom pre firmy a personalizovanym projektom pre firmy, institucie a konecnych spotrebitelov.  V nasej spolocnosti vytvarame pracovne prilezitosti pre znevyhodnenych ludi, podporujeme miestnu ekonomiku a pri vyrobe produktov pouzivame ekologicke materialy a obaly, cim minimalizujeme dopad na zivotne prostredie. WAYANA s. r. o. V nasej prevadzke rucne vyrabame a zaroven aj predavame produkty. Sviecky, difuzery, darceky, personalizovane darceky, firemne darceky           </v>
      </c>
      <c r="AQ346" s="37"/>
    </row>
    <row r="347" ht="15.75" customHeight="1">
      <c r="A347" s="43"/>
      <c r="B347" s="59">
        <v>377.0</v>
      </c>
      <c r="C347" s="234" t="s">
        <v>3852</v>
      </c>
      <c r="D347" s="42" t="s">
        <v>51</v>
      </c>
      <c r="E347" s="38" t="str">
        <f t="shared" si="1"/>
        <v>Prešovský kraj, &amp;#32celé Slovensko</v>
      </c>
      <c r="F347" s="80" t="s">
        <v>734</v>
      </c>
      <c r="G347" s="38" t="str">
        <f t="shared" si="2"/>
        <v>nábytok a bytové doplnky, &amp;#32všetky kategórie</v>
      </c>
      <c r="H347" s="42" t="s">
        <v>53</v>
      </c>
      <c r="I347" s="43" t="str">
        <f t="shared" si="3"/>
        <v>1 - 5, &amp;#32všetky možnosti</v>
      </c>
      <c r="J347" s="44" t="str">
        <f t="shared" si="9"/>
        <v>,,Náhradné plnenie</v>
      </c>
      <c r="K347" s="45">
        <f t="shared" si="5"/>
        <v>34675.06168</v>
      </c>
      <c r="L347" s="43"/>
      <c r="M347" s="43" t="str">
        <f>IFERROR(__xludf.DUMMYFUNCTION("SPLIT(O347,"","")"),"Hniezdne 298")</f>
        <v>Hniezdne 298</v>
      </c>
      <c r="N347" s="43" t="str">
        <f>IFERROR(__xludf.DUMMYFUNCTION("""COMPUTED_VALUE""")," 065 01 Hviezdne")</f>
        <v> 065 01 Hviezdne</v>
      </c>
      <c r="O347" s="80" t="s">
        <v>3853</v>
      </c>
      <c r="P347" s="81">
        <v>49.3013847</v>
      </c>
      <c r="Q347" s="81">
        <v>20.6313038</v>
      </c>
      <c r="R347" s="82" t="s">
        <v>3854</v>
      </c>
      <c r="S347" s="85" t="s">
        <v>3855</v>
      </c>
      <c r="T347" s="98" t="s">
        <v>86</v>
      </c>
      <c r="U347" s="180" t="s">
        <v>3856</v>
      </c>
      <c r="V347" s="254" t="s">
        <v>3857</v>
      </c>
      <c r="W347" s="255" t="s">
        <v>3858</v>
      </c>
      <c r="X347" s="255" t="s">
        <v>3859</v>
      </c>
      <c r="Y347" s="46" t="s">
        <v>3860</v>
      </c>
      <c r="Z347" s="142" t="s">
        <v>3861</v>
      </c>
      <c r="AA347" s="254" t="s">
        <v>64</v>
      </c>
      <c r="AB347" s="55"/>
      <c r="AC347" s="56"/>
      <c r="AD347" s="56"/>
      <c r="AE347" s="55"/>
      <c r="AF347" s="55"/>
      <c r="AG347" s="56"/>
      <c r="AH347" s="56"/>
      <c r="AI347" s="55"/>
      <c r="AJ347" s="55"/>
      <c r="AK347" s="56"/>
      <c r="AL347" s="56"/>
      <c r="AM347" s="255"/>
      <c r="AN347" s="83"/>
      <c r="AO347" s="131" t="s">
        <v>40</v>
      </c>
      <c r="AP347" s="43" t="str">
        <f t="shared" si="6"/>
        <v>Stolarstvo Vaclav s.r.o nabytok a bytove doplnky, &amp;#32vsetky kategorie  065 01 Hviezdne Zakazkova vyroba nabytku v interieri  Zamestnanie znevyhodnenych osob  Stolarstvo Vaclav r.s.o r.s.p Zakazkova vyroba nabytku v interieroch na mieru  Stolarstvo vyroba nabytku            </v>
      </c>
      <c r="AQ347" s="37"/>
    </row>
    <row r="348" ht="15.75" customHeight="1">
      <c r="A348" s="43"/>
      <c r="B348" s="59">
        <v>378.0</v>
      </c>
      <c r="C348" s="219" t="s">
        <v>3862</v>
      </c>
      <c r="D348" s="42" t="s">
        <v>66</v>
      </c>
      <c r="E348" s="38" t="str">
        <f t="shared" si="1"/>
        <v>Žilinský kraj, &amp;#32celé Slovensko</v>
      </c>
      <c r="F348" s="80" t="s">
        <v>358</v>
      </c>
      <c r="G348" s="38" t="str">
        <f t="shared" si="2"/>
        <v>pre deti, &amp;#32všetky kategórie</v>
      </c>
      <c r="H348" s="42" t="s">
        <v>53</v>
      </c>
      <c r="I348" s="43" t="str">
        <f t="shared" si="3"/>
        <v>1 - 5, &amp;#32všetky možnosti</v>
      </c>
      <c r="J348" s="44" t="str">
        <f t="shared" si="9"/>
        <v>,Register partnerov VS,</v>
      </c>
      <c r="K348" s="45">
        <f t="shared" si="5"/>
        <v>1479.283738</v>
      </c>
      <c r="L348" s="43"/>
      <c r="M348" s="43" t="str">
        <f>IFERROR(__xludf.DUMMYFUNCTION("SPLIT(O348,"","")"),"Sucháčovská 2198/4")</f>
        <v>Sucháčovská 2198/4</v>
      </c>
      <c r="N348" s="43" t="str">
        <f>IFERROR(__xludf.DUMMYFUNCTION("""COMPUTED_VALUE""")," 038 61 Vrútky")</f>
        <v> 038 61 Vrútky</v>
      </c>
      <c r="O348" s="41" t="s">
        <v>3863</v>
      </c>
      <c r="P348" s="81">
        <v>49.1202757999999</v>
      </c>
      <c r="Q348" s="81">
        <v>18.9112774</v>
      </c>
      <c r="R348" s="82" t="s">
        <v>3864</v>
      </c>
      <c r="S348" s="85" t="s">
        <v>3865</v>
      </c>
      <c r="T348" s="98" t="s">
        <v>3866</v>
      </c>
      <c r="U348" s="180" t="s">
        <v>3867</v>
      </c>
      <c r="V348" s="254" t="s">
        <v>3868</v>
      </c>
      <c r="W348" s="255" t="s">
        <v>3869</v>
      </c>
      <c r="X348" s="255" t="s">
        <v>3862</v>
      </c>
      <c r="Y348" s="46" t="s">
        <v>3870</v>
      </c>
      <c r="Z348" s="142" t="s">
        <v>3871</v>
      </c>
      <c r="AA348" s="254" t="s">
        <v>64</v>
      </c>
      <c r="AB348" s="55"/>
      <c r="AC348" s="56"/>
      <c r="AD348" s="56"/>
      <c r="AE348" s="55"/>
      <c r="AF348" s="55"/>
      <c r="AG348" s="56"/>
      <c r="AH348" s="56"/>
      <c r="AI348" s="55"/>
      <c r="AJ348" s="55"/>
      <c r="AK348" s="56"/>
      <c r="AL348" s="56"/>
      <c r="AM348" s="255"/>
      <c r="AN348" s="83" t="s">
        <v>39</v>
      </c>
      <c r="AO348" s="255"/>
      <c r="AP348" s="43" t="str">
        <f t="shared" si="6"/>
        <v>Nasa Bublinka, s.r.o. pre deti, &amp;#32vsetky kategorie  038 61 Vrutky Nasa Bublinka je kamenny a online obchod pre deti a ich rodicov, ktori hladaju kvalitne, funkcne a zaroven udrzatelne produkty. V nasej predajni v Martine najdete oblecenie, obuv, ekologicke hracky a doplnky pre deti od narodenia az do 10 rokov. Zameriavame sa na vyber tovaru, ktory je nielen krasny, ale aj zodpovedne vyrobeny – s dorazom na kvalitu, ekologicku hodnotu a eticku vyrobu. Nasu ponuku pravidelne obmiename podla sezony a potrieb malych zakaznikov. Okrem predajne prevadzkujeme aj eshop, vdaka ktoremu si nase produkty mozete objednat pohodlne z domova. Sme miestom, kde sa spaja styl, praktickost a zodpovednost – pre deti, ktore si zasluzia to najlepsie. Zamestnavame osoby so zdravotnym znevyhodnenim Nasa Bublinka, s.r.o. Nasa Bublinka je kamenny a online obchod pre deti a ich rodicov, ktori hladaju kvalitne, funkcne a zaroven udrzatelne produkty. V nasej predajni v centre Martina najdete oblecenie, obuv, hracky a doplnky pre deti od narodenia az do 10 rokov.
Zameriavame sa na vyber tovaru, ktory je nielen krasny, ale aj zodpovedne vyrobeny – s dorazom na kvalitu, ekologicku hodnotu a eticku vyrobu. Nasu ponuku pravidelne obmiename podla sezony a potrieb malych zakaznikov.
Okrem predajne prevadzkujeme aj eshop, vdaka ktoremu si nase produkty mozete objednat pohodlne z domova.
Sme miestom, kde sa spaja styl, praktickost a zodpovednost – pre deti, ktore si zasluzia to najlepsie. Nasa Bublinka, detsky obchod, detsky concept store, kvalitne detske oblecenie, detske hracky, ekologicke hracky, fair-trade produkty pre deti, udrzatelne detske produkty, oblecenie do dazda pre deti, detske gumaky, topanky na prve kroky, zimne termo cizmy pre deti, slovenske detske znacky, ⁠skandinavske detske znacky, drevene hracky pre deti, ⁠edukativne hracky, kreativne hracky, ⁠⁠bytove doplnky pre deti, ⁠funkcne detske oblecenie, detske sandale, slovenske detske oblecenie, detske doplnky, detska moda, detske oblecenie online, kvalitne detske hracky, detska obuv, detske capacky, ⁠detske topanocky, slnecne okuliare,plavky pre deti, obuv, barefoot topanky, anatomicke topanky, papuce pre deti           Register partnerov VS</v>
      </c>
      <c r="AQ348" s="37"/>
    </row>
    <row r="349" ht="15.75" customHeight="1">
      <c r="A349" s="43"/>
      <c r="B349" s="59">
        <v>379.0</v>
      </c>
      <c r="C349" s="219" t="s">
        <v>3872</v>
      </c>
      <c r="D349" s="42" t="s">
        <v>181</v>
      </c>
      <c r="E349" s="38" t="str">
        <f t="shared" si="1"/>
        <v>Banskobystrický kraj, &amp;#32celé Slovensko</v>
      </c>
      <c r="F349" s="80" t="s">
        <v>1009</v>
      </c>
      <c r="G349" s="38" t="str">
        <f t="shared" si="2"/>
        <v>stavebníctvo, &amp;#32všetky kategórie</v>
      </c>
      <c r="H349" s="42" t="s">
        <v>96</v>
      </c>
      <c r="I349" s="43" t="str">
        <f t="shared" si="3"/>
        <v>6 - 10, &amp;#32všetky možnosti</v>
      </c>
      <c r="J349" s="44" t="str">
        <f t="shared" si="9"/>
        <v>,Register partnerov VS,Náhradné plnenie</v>
      </c>
      <c r="K349" s="45">
        <f t="shared" si="5"/>
        <v>44022.7582</v>
      </c>
      <c r="L349" s="43"/>
      <c r="M349" s="43" t="str">
        <f>IFERROR(__xludf.DUMMYFUNCTION("SPLIT(O349,"","")"),"Bystrická 477")</f>
        <v>Bystrická 477</v>
      </c>
      <c r="N349" s="43" t="str">
        <f>IFERROR(__xludf.DUMMYFUNCTION("""COMPUTED_VALUE""")," 966 81 Žarnovica ")</f>
        <v> 966 81 Žarnovica </v>
      </c>
      <c r="O349" s="41" t="s">
        <v>3873</v>
      </c>
      <c r="P349" s="81">
        <v>48.4797413999999</v>
      </c>
      <c r="Q349" s="81">
        <v>18.7216204</v>
      </c>
      <c r="R349" s="82" t="s">
        <v>3874</v>
      </c>
      <c r="S349" s="85" t="s">
        <v>3875</v>
      </c>
      <c r="T349" s="98" t="s">
        <v>3876</v>
      </c>
      <c r="U349" s="180" t="s">
        <v>3877</v>
      </c>
      <c r="V349" s="254" t="s">
        <v>3878</v>
      </c>
      <c r="W349" s="255" t="s">
        <v>3879</v>
      </c>
      <c r="X349" s="255" t="s">
        <v>3880</v>
      </c>
      <c r="Y349" s="46" t="s">
        <v>3881</v>
      </c>
      <c r="Z349" s="142" t="s">
        <v>3882</v>
      </c>
      <c r="AA349" s="254" t="s">
        <v>64</v>
      </c>
      <c r="AB349" s="55"/>
      <c r="AC349" s="56"/>
      <c r="AD349" s="56"/>
      <c r="AE349" s="55"/>
      <c r="AF349" s="55"/>
      <c r="AG349" s="56"/>
      <c r="AH349" s="56"/>
      <c r="AI349" s="55"/>
      <c r="AJ349" s="55"/>
      <c r="AK349" s="56"/>
      <c r="AL349" s="56"/>
      <c r="AM349" s="255"/>
      <c r="AN349" s="83" t="s">
        <v>39</v>
      </c>
      <c r="AO349" s="131" t="s">
        <v>40</v>
      </c>
      <c r="AP349" s="43" t="str">
        <f t="shared" si="6"/>
        <v>STAVGOR s.r.o. stavebnictvo, &amp;#32vsetky kategorie  966 81 Zarnovica  Nasa spolocnost STAVGOR s.r.o. sa venuje stavebnej cinnosti. Realizujeme vsetky stavebne a buracie prace, rekonstrukcie budov, bytov a domov, zemne a vykopove prace, maliarske prace, zateplovanie, rekonstrukcie plochych striech, vodoinstalacne, kurenarske a elektrikarske prace, montaz sadrokartonov, obklady dlazby.  Zamestnavame znevyhodnene a zranitelne osoby STAVGOR s.r.o.  Stavebna cinnost  stavebne prace            Register partnerov VS</v>
      </c>
      <c r="AQ349" s="37"/>
    </row>
    <row r="350" ht="15.75" customHeight="1">
      <c r="A350" s="43"/>
      <c r="B350" s="59">
        <v>380.0</v>
      </c>
      <c r="C350" s="234" t="s">
        <v>3883</v>
      </c>
      <c r="D350" s="42" t="s">
        <v>80</v>
      </c>
      <c r="E350" s="38" t="str">
        <f t="shared" si="1"/>
        <v>Trnavský kraj, &amp;#32celé Slovensko</v>
      </c>
      <c r="F350" s="80" t="s">
        <v>3884</v>
      </c>
      <c r="G350" s="38" t="str">
        <f t="shared" si="2"/>
        <v>čistiace a upratovacie služby, dom a záhrada, stavebníctvo, elektro, iné (tovary a služby), &amp;#32všetky kategórie</v>
      </c>
      <c r="H350" s="42" t="s">
        <v>170</v>
      </c>
      <c r="I350" s="43" t="str">
        <f t="shared" si="3"/>
        <v>21 a viac, &amp;#32všetky možnosti</v>
      </c>
      <c r="J350" s="44" t="str">
        <f t="shared" si="9"/>
        <v>,Register partnerov VS,</v>
      </c>
      <c r="K350" s="45">
        <f t="shared" si="5"/>
        <v>45551.49771</v>
      </c>
      <c r="L350" s="43"/>
      <c r="M350" s="43" t="str">
        <f>IFERROR(__xludf.DUMMYFUNCTION("SPLIT(O350,"","")"),"Mierové námestie 940/1")</f>
        <v>Mierové námestie 940/1</v>
      </c>
      <c r="N350" s="43" t="str">
        <f>IFERROR(__xludf.DUMMYFUNCTION("""COMPUTED_VALUE""")," 924 18 Galanta")</f>
        <v> 924 18 Galanta</v>
      </c>
      <c r="O350" s="80" t="s">
        <v>3885</v>
      </c>
      <c r="P350" s="81">
        <v>48.1898449</v>
      </c>
      <c r="Q350" s="81">
        <v>17.72608</v>
      </c>
      <c r="R350" s="82" t="s">
        <v>3886</v>
      </c>
      <c r="S350" s="85" t="s">
        <v>3887</v>
      </c>
      <c r="T350" s="98" t="s">
        <v>86</v>
      </c>
      <c r="U350" s="180" t="s">
        <v>3888</v>
      </c>
      <c r="V350" s="254" t="s">
        <v>3889</v>
      </c>
      <c r="W350" s="255" t="s">
        <v>3890</v>
      </c>
      <c r="X350" s="255" t="s">
        <v>656</v>
      </c>
      <c r="Y350" s="46" t="s">
        <v>656</v>
      </c>
      <c r="Z350" s="142" t="s">
        <v>3891</v>
      </c>
      <c r="AA350" s="254" t="s">
        <v>64</v>
      </c>
      <c r="AB350" s="55"/>
      <c r="AC350" s="56"/>
      <c r="AD350" s="56"/>
      <c r="AE350" s="55"/>
      <c r="AF350" s="55"/>
      <c r="AG350" s="56"/>
      <c r="AH350" s="56"/>
      <c r="AI350" s="55"/>
      <c r="AJ350" s="55"/>
      <c r="AK350" s="56"/>
      <c r="AL350" s="56"/>
      <c r="AM350" s="255"/>
      <c r="AN350" s="83" t="s">
        <v>39</v>
      </c>
      <c r="AO350" s="255"/>
      <c r="AP350" s="43" t="str">
        <f t="shared" si="6"/>
        <v>Sprava mestskeho majetku Galanta s.r.o. cistiace a upratovacie sluzby, dom a zahrada, stavebnictvo, elektro, ine (tovary a sluzby), &amp;#32vsetky kategorie  924 18 Galanta Nasa spolocnost sa specializuje na komplexnu spravu a udrzbu majetku mesta Galanta. Poskytujeme siroke spektrum sluzieb, ktore zabezpecuju jeho funkcnost, estetiku a dlhodobu udrzatelnost. Nasi zakaznici su mestske institucie, obyvatelia a organizacie, ktore potrebuju profesionalnu starostlivost o svoje objekty a verejne priestranstva. Medzi nase hlavne cinnosti patria: - Elektrikarske, vodarenske, maliarske a upratovacie sluzby, ktore zabezpecuju komfort a bezpecnost v budovach. - Sprava a udrzba bytoveho a nebytoveho fondu, cim podporujeme kvalitne byvanie a prevadzku mestskych priestorov. - Starostlivost o verejne priestranstva, vratane parkov, sportovisk, detskych ihrisk, cintorinov a vsetkych mestskych budov. - Dokoncovacie stavebne prace pri realizacii exterierov a interierov, ktore zlepsuju celkovy vzhlad a funkcnost objektov. Nasim cielom je poskytovat spolahlive a kvalitne sluzby, ktore prispievaju k pohodlnemu a esteticky prijemnemu prostrediu v meste Galanta. Nas socialny podnik zohrava vyznamnu ulohu v oblasti socialnej ekonomiky, pricom jeho hlavnou prioritou je dosahovanie pozitivneho spolocenskeho dopadu. Nasa cinnost sa od bezneho podnikania odlisuje najma tym, ze kladieme doraz na zamestnavanie znevyhodnenych a zranitelnych obyvatelov, cim im poskytujeme prilezitost na pracovnu integraciu a osobny rozvoj. Podnik funguje na principoch spolocnych hodnot, pricom aktivne podporujeme jednotlivcov v objavovani a rozvijani ich plneho potencialu. Nasou snahou je vytvarat inkluzivne pracovne prostredie, ktore umoznuje kazdemu zamestnancovi zapojit sa do aktivit podporujucich rast podniku a zaroven prispieva k rozvoju mesta Galanta. Konkretnymi a meratelnymi vysledkami nasej prace zlepsujeme kvalitu zivota v komunite a prispievame k socialnej sudrznosti. Vdaka nasej praci dokazeme nielen efektivne spravovat a udrziavat majetok mesta, ale aj vytvarat podmienky na socialnu integraciu a posilnovanie inkluzivnej kultury v spolocnosti. RSP RSP elektrikarske, vodarenske, maliarske a upratovacie sluzby  sprava a udrzba bytoveho a nebytoveho fondu  starostlivost o parky, sportoviska, detske ihriska, cintoriny, vsetky mestske budovy  dokoncovacie stavebne prace pri realizacii exterierov a interierov           Register partnerov VS</v>
      </c>
      <c r="AQ350" s="37"/>
    </row>
    <row r="351" ht="15.75" customHeight="1">
      <c r="A351" s="43"/>
      <c r="B351" s="59">
        <v>381.0</v>
      </c>
      <c r="C351" s="219" t="s">
        <v>3892</v>
      </c>
      <c r="D351" s="42" t="s">
        <v>66</v>
      </c>
      <c r="E351" s="38" t="str">
        <f t="shared" si="1"/>
        <v>Žilinský kraj, &amp;#32celé Slovensko</v>
      </c>
      <c r="F351" s="80" t="s">
        <v>108</v>
      </c>
      <c r="G351" s="38" t="str">
        <f t="shared" si="2"/>
        <v>čistiace a upratovacie služby, stavebníctvo, &amp;#32všetky kategórie</v>
      </c>
      <c r="H351" s="42" t="s">
        <v>53</v>
      </c>
      <c r="I351" s="43" t="str">
        <f t="shared" si="3"/>
        <v>1 - 5, &amp;#32všetky možnosti</v>
      </c>
      <c r="J351" s="44" t="str">
        <f t="shared" si="9"/>
        <v>,,</v>
      </c>
      <c r="K351" s="45">
        <f t="shared" si="5"/>
        <v>2759.669325</v>
      </c>
      <c r="L351" s="43"/>
      <c r="M351" s="43" t="str">
        <f>IFERROR(__xludf.DUMMYFUNCTION("SPLIT(O351,"","")"),"Liptovský Ondrej 247")</f>
        <v>Liptovský Ondrej 247</v>
      </c>
      <c r="N351" s="43" t="str">
        <f>IFERROR(__xludf.DUMMYFUNCTION("""COMPUTED_VALUE""")," 032 04 Liptovský Ondrej ")</f>
        <v> 032 04 Liptovský Ondrej </v>
      </c>
      <c r="O351" s="80" t="s">
        <v>3893</v>
      </c>
      <c r="P351" s="81">
        <v>49.0977022999999</v>
      </c>
      <c r="Q351" s="81">
        <v>19.7125146</v>
      </c>
      <c r="R351" s="82" t="s">
        <v>3894</v>
      </c>
      <c r="S351" s="85" t="s">
        <v>3895</v>
      </c>
      <c r="T351" s="98" t="s">
        <v>86</v>
      </c>
      <c r="U351" s="180" t="s">
        <v>3896</v>
      </c>
      <c r="V351" s="254" t="s">
        <v>3897</v>
      </c>
      <c r="W351" s="255" t="s">
        <v>3898</v>
      </c>
      <c r="X351" s="255" t="s">
        <v>3899</v>
      </c>
      <c r="Y351" s="46" t="s">
        <v>3900</v>
      </c>
      <c r="Z351" s="142" t="s">
        <v>3901</v>
      </c>
      <c r="AA351" s="254" t="s">
        <v>64</v>
      </c>
      <c r="AB351" s="55"/>
      <c r="AC351" s="56"/>
      <c r="AD351" s="56"/>
      <c r="AE351" s="55"/>
      <c r="AF351" s="55"/>
      <c r="AG351" s="56"/>
      <c r="AH351" s="56"/>
      <c r="AI351" s="55"/>
      <c r="AJ351" s="55"/>
      <c r="AK351" s="56"/>
      <c r="AL351" s="56"/>
      <c r="AM351" s="255"/>
      <c r="AN351" s="83"/>
      <c r="AO351" s="255"/>
      <c r="AP351" s="43" t="str">
        <f t="shared" si="6"/>
        <v>Obecny podnik Liptovsky Ondrej s.r.o.  cistiace a upratovacie sluzby, stavebnictvo, &amp;#32vsetky kategorie  032 04 Liptovsky Ondrej  sluzby v oblasti obecnych sluzieb Zamestnava zdravotne postihnutych obcanov Obecny podnik Liptovsky Ondrej kosenie a stavebnictvo kosenie           </v>
      </c>
      <c r="AQ351" s="37"/>
    </row>
    <row r="352" ht="15.75" customHeight="1">
      <c r="A352" s="43"/>
      <c r="B352" s="59">
        <v>382.0</v>
      </c>
      <c r="C352" s="219" t="s">
        <v>3902</v>
      </c>
      <c r="D352" s="42" t="s">
        <v>218</v>
      </c>
      <c r="E352" s="38" t="str">
        <f t="shared" si="1"/>
        <v>Košický kraj, &amp;#32celé Slovensko</v>
      </c>
      <c r="F352" s="80" t="s">
        <v>3266</v>
      </c>
      <c r="G352" s="38" t="str">
        <f t="shared" si="2"/>
        <v>ochrana a bezpečnosť, odevy a obuv, &amp;#32všetky kategórie</v>
      </c>
      <c r="H352" s="42" t="s">
        <v>170</v>
      </c>
      <c r="I352" s="43" t="str">
        <f t="shared" si="3"/>
        <v>21 a viac, &amp;#32všetky možnosti</v>
      </c>
      <c r="J352" s="44" t="str">
        <f t="shared" si="9"/>
        <v>,Register partnerov VS,Náhradné plnenie</v>
      </c>
      <c r="K352" s="45">
        <f t="shared" si="5"/>
        <v>3100.424494</v>
      </c>
      <c r="L352" s="43"/>
      <c r="M352" s="43" t="str">
        <f>IFERROR(__xludf.DUMMYFUNCTION("SPLIT(O352,"","")"),"Jenisejská 10")</f>
        <v>Jenisejská 10</v>
      </c>
      <c r="N352" s="43" t="str">
        <f>IFERROR(__xludf.DUMMYFUNCTION("""COMPUTED_VALUE""")," 040 12 Košice")</f>
        <v> 040 12 Košice</v>
      </c>
      <c r="O352" s="41" t="s">
        <v>3903</v>
      </c>
      <c r="P352" s="81">
        <v>48.6871715</v>
      </c>
      <c r="Q352" s="81">
        <v>21.2890567</v>
      </c>
      <c r="R352" s="82" t="s">
        <v>3904</v>
      </c>
      <c r="S352" s="85" t="s">
        <v>3905</v>
      </c>
      <c r="T352" s="98" t="s">
        <v>3906</v>
      </c>
      <c r="U352" s="180" t="s">
        <v>3907</v>
      </c>
      <c r="V352" s="254" t="s">
        <v>3908</v>
      </c>
      <c r="W352" s="255" t="s">
        <v>3909</v>
      </c>
      <c r="X352" s="255" t="s">
        <v>3902</v>
      </c>
      <c r="Y352" s="46" t="s">
        <v>3910</v>
      </c>
      <c r="Z352" s="142" t="s">
        <v>3911</v>
      </c>
      <c r="AA352" s="254" t="s">
        <v>64</v>
      </c>
      <c r="AB352" s="55"/>
      <c r="AC352" s="56"/>
      <c r="AD352" s="56"/>
      <c r="AE352" s="55"/>
      <c r="AF352" s="55"/>
      <c r="AG352" s="56"/>
      <c r="AH352" s="56"/>
      <c r="AI352" s="55"/>
      <c r="AJ352" s="55"/>
      <c r="AK352" s="56"/>
      <c r="AL352" s="56"/>
      <c r="AM352" s="255"/>
      <c r="AN352" s="83" t="s">
        <v>39</v>
      </c>
      <c r="AO352" s="131" t="s">
        <v>40</v>
      </c>
      <c r="AP352" s="43" t="str">
        <f t="shared" si="6"/>
        <v>ABTEX s.r.o. ochrana a bezpecnost, odevy a obuv, &amp;#32vsetky kategorie  040 12 Kosice Pre nasich klientov, ktorymi su najma zdravotnicke zariadenia (nemocnice, ambulancie, polikliniky, lekarne, domovy socialnych sluzieb), jednotlivi zdravotnicki pracovnici, ako aj firmy z roznych priemyselnych odvetvi a verejni obstaravatelia, ponukame komplexne riesenia v oblasti pracovneho oblecenia, obuvi, osobnych ochrannych pracovnych prostriedkov (OOPP) a reklamneho textilu. S viac ako 20-rocnymi skusenostami na trhu garantujeme kvalitu a profesionalny pristup.   Nasa hlavna cinnost a ponuka zahrna:  - Vyroba a predaj zdravotnickych odevov a obuvi: Specializujeme sa na siroky sortiment odevov (bluzy, nohavice, plaste, saty,...) a certifikovanej obuvi pre zdravotnicky personal, s dorazom na komfort, funkcnost, odolne materialy a moderny dizajn.  - Siroka ponuka priemyselnych pracovnych odevov: Vyrabame a dodavame odolne pracovne odevy pre rozne priemyselne sektory, vratane monterok, , bund, nohavic a reflexnych odevov, navrhnutych pre narocne pracovne podmienky.  - Kompletny sortiment OOPP: Zabezpecujeme osobne ochranne pracovne prostriedky podla specifickych potrieb a noriem, vratane pracovnych rukavic, specializovanej bezpecnostnej obuvi, ochrany zraku (okuliare, stity), ochrany sluchu a dalsich prostriedkov.  - Kvalitny reklamny textil: Dodavame siroky vyber reklamneho textilu, ako su polokosele, kosele, mikiny a ine, vhodne pre firemnu prezentaciu.  - Personalizacia a sitie na mieru: Ponukame moznost personalizovanych odevov navrhnutych a usitych presne na mieru vasim poziadavkam. Vsetky nami dodane odevy vam profesionalne ologujeme formou potlace alebo vysivky.  - Nahradne plnenie: Ako registrovany socialny podnik vam poskytneme moznost nahradneho plnenia za nezamestnavanie zamestnancov so zdravotnym postihnutim, cim si splnite svoju zakonom danu povinnost a zaroven podporite dobru vec.   Nase klucove principy a vyhody pre vas: - Kvalita a certifikacia produktov: Kladieme doraz na prvotriedne materialy a certifikovane produkty.  - Individualny pristup: Ku kazdemu zakaznikovi pristupujeme individualne a snazime sa vyhoviet jeho specifickym potrebam.  - Zakaznicky servis: Poskytujeme komplexny servis a poradenstvo.  - Dlhorocne skusenosti: 20 rokov na trhu je zarukou nasej odbornosti a stability.   Sme otvoreni akymkolvek novym vyzvam a radi prisposobime nasu ponuku vasim konkretnym poziadavkam. Nas podnik ABTEX, s viac ako 20-rocnou tradiciou na trhu, sa odlisuje od beznych podnikatelov predovsetkym svojim zameranim na dosahovanie pozitivneho socialneho vplyvu. Ako registrovany socialny podnik (integracny podnik) aktivne prispievame k zamestnavaniu a socialnej inkluzii osob so zdravotnym znevyhodnenim. V sucasnosti zamestnavame celkovo 28 ludi, z ktorych 17 tvoria prave osoby so zdravotnym postihnutim, ktorym poskytujeme stabilne a dostojne pracovne prilezitosti. Tymto konkretnym sposobom podporujeme ich sebarealizaciu, ekonomicku nezavislost a integraciu do spolocnosti. Kazdy nas produkt tak v sebe nesie pridanu hodnotu v podobe podpory znevyhodnenych skupin obyvatelstva a aktivneho posilnovania socialnej ekonomiky na Slovensku. ABTEX s.r.o. Predajna ABTEX na Rastislavovej 68 v Kosiciach – sa specializuje na predaj kvalitnych pracovnych odevov, obuvi a osobnych ochrannych pracovnych prostriedkov. Zameriavame sa aj na zdravotnicke odevy (uniformy, bluzy, nohavice, plaste), certifikovanu zdravotnicku a pracovnu obuv. V predajni ponukame siroky sortiment produktov ihned k odberu, odborne poradenstvo a moznost objednania tovaru podla specifickych poziadaviek, vratane sitia na mieru a logovania. Ako registrovany socialny podnik zaroven poskytujeme nahradne plnenie. zdravotnicke odevy, pracovne odevy, zdravotnicka obuv, zdravotnicke oblecenie, lekarske odevy, zdravotnicke bluzy, zdravotnicke nohavice, zdravotnicke plaste, nahradne plnenie, socialny podnik, sitie na mieru, firemne oblecenie, monterky,            Register partnerov VS</v>
      </c>
      <c r="AQ352" s="37"/>
    </row>
    <row r="353" ht="15.75" customHeight="1">
      <c r="A353" s="43"/>
      <c r="B353" s="59">
        <v>383.0</v>
      </c>
      <c r="C353" s="219" t="s">
        <v>3912</v>
      </c>
      <c r="D353" s="42" t="s">
        <v>134</v>
      </c>
      <c r="E353" s="38" t="str">
        <f t="shared" si="1"/>
        <v>Trenčiansky kraj, &amp;#32celé Slovensko</v>
      </c>
      <c r="F353" s="80" t="s">
        <v>3913</v>
      </c>
      <c r="G353" s="38" t="str">
        <f t="shared" si="2"/>
        <v>potraviny a nápoje, krása-zdravie-relax, &amp;#32všetky kategórie</v>
      </c>
      <c r="H353" s="42" t="s">
        <v>53</v>
      </c>
      <c r="I353" s="43" t="str">
        <f t="shared" si="3"/>
        <v>1 - 5, &amp;#32všetky možnosti</v>
      </c>
      <c r="J353" s="44" t="str">
        <f t="shared" si="9"/>
        <v>,,</v>
      </c>
      <c r="K353" s="45">
        <f t="shared" si="5"/>
        <v>16507.29869</v>
      </c>
      <c r="L353" s="43"/>
      <c r="M353" s="43" t="str">
        <f>IFERROR(__xludf.DUMMYFUNCTION("SPLIT(O353,"","")"),"Janka Palu 1547/59")</f>
        <v>Janka Palu 1547/59</v>
      </c>
      <c r="N353" s="43" t="str">
        <f>IFERROR(__xludf.DUMMYFUNCTION("""COMPUTED_VALUE""")," 914 41  Nemšová ")</f>
        <v> 914 41  Nemšová </v>
      </c>
      <c r="O353" s="80" t="s">
        <v>3914</v>
      </c>
      <c r="P353" s="81">
        <v>48.9651996</v>
      </c>
      <c r="Q353" s="81">
        <v>18.1201465</v>
      </c>
      <c r="R353" s="82" t="s">
        <v>3915</v>
      </c>
      <c r="S353" s="85" t="s">
        <v>3916</v>
      </c>
      <c r="T353" s="98" t="s">
        <v>86</v>
      </c>
      <c r="U353" s="180" t="s">
        <v>3917</v>
      </c>
      <c r="V353" s="254" t="s">
        <v>3918</v>
      </c>
      <c r="W353" s="255" t="s">
        <v>3919</v>
      </c>
      <c r="X353" s="255" t="s">
        <v>3920</v>
      </c>
      <c r="Y353" s="46" t="s">
        <v>3921</v>
      </c>
      <c r="Z353" s="142" t="s">
        <v>3922</v>
      </c>
      <c r="AA353" s="254" t="s">
        <v>64</v>
      </c>
      <c r="AB353" s="55"/>
      <c r="AC353" s="56"/>
      <c r="AD353" s="56"/>
      <c r="AE353" s="55"/>
      <c r="AF353" s="55"/>
      <c r="AG353" s="56"/>
      <c r="AH353" s="56"/>
      <c r="AI353" s="55"/>
      <c r="AJ353" s="55"/>
      <c r="AK353" s="56"/>
      <c r="AL353" s="56"/>
      <c r="AM353" s="255"/>
      <c r="AN353" s="83"/>
      <c r="AO353" s="255"/>
      <c r="AP353" s="43" t="str">
        <f t="shared" si="6"/>
        <v>Izab s.r.o. potraviny a napoje, krasa-zdravie-relax, &amp;#32vsetky kategorie  914 41  Nemsova  Predajna so zdravou vyzivou, predaj nebaleneho sortimentu, dacekove balenia. Zamestnanie zdravotne zmevyhodnych osob, a tym ich zaradenie do spolocnostin a trh prace. Zdrava vyziva La Vie Predajna so zdravou vyzivou intolerancia, vyzivove doplnky, caje, tinktury, nebaleny sortiment, lyofilizovane ovocie, mixit,  sviecky, mydla, maste, kozmetika           </v>
      </c>
      <c r="AQ353" s="37"/>
    </row>
    <row r="354" ht="15.75" customHeight="1">
      <c r="A354" s="43"/>
      <c r="B354" s="59">
        <v>384.0</v>
      </c>
      <c r="C354" s="219" t="s">
        <v>3923</v>
      </c>
      <c r="D354" s="42" t="s">
        <v>181</v>
      </c>
      <c r="E354" s="38" t="str">
        <f t="shared" si="1"/>
        <v>Banskobystrický kraj, &amp;#32celé Slovensko</v>
      </c>
      <c r="F354" s="80" t="s">
        <v>573</v>
      </c>
      <c r="G354" s="38" t="str">
        <f t="shared" si="2"/>
        <v>čistiace a upratovacie služby, iné (tovary a služby), &amp;#32všetky kategórie</v>
      </c>
      <c r="H354" s="42" t="s">
        <v>170</v>
      </c>
      <c r="I354" s="43" t="str">
        <f t="shared" si="3"/>
        <v>21 a viac, &amp;#32všetky možnosti</v>
      </c>
      <c r="J354" s="44" t="str">
        <f t="shared" si="9"/>
        <v>,Register partnerov VS,Náhradné plnenie</v>
      </c>
      <c r="K354" s="45">
        <f t="shared" si="5"/>
        <v>636.439853</v>
      </c>
      <c r="L354" s="43"/>
      <c r="M354" s="43" t="str">
        <f>IFERROR(__xludf.DUMMYFUNCTION("SPLIT(O354,"","")"),"Strojárenská 10")</f>
        <v>Strojárenská 10</v>
      </c>
      <c r="N354" s="43" t="str">
        <f>IFERROR(__xludf.DUMMYFUNCTION("""COMPUTED_VALUE""")," 976 46 Valaská - Piesok Brezno")</f>
        <v> 976 46 Valaská - Piesok Brezno</v>
      </c>
      <c r="O354" s="80" t="s">
        <v>3924</v>
      </c>
      <c r="P354" s="81">
        <v>48.809197</v>
      </c>
      <c r="Q354" s="81">
        <v>19.555379</v>
      </c>
      <c r="R354" s="82" t="s">
        <v>3925</v>
      </c>
      <c r="S354" s="85" t="s">
        <v>3926</v>
      </c>
      <c r="T354" s="98" t="s">
        <v>86</v>
      </c>
      <c r="U354" s="261"/>
      <c r="V354" s="254" t="s">
        <v>3927</v>
      </c>
      <c r="W354" s="255" t="s">
        <v>3928</v>
      </c>
      <c r="X354" s="255" t="s">
        <v>3929</v>
      </c>
      <c r="Y354" s="46" t="s">
        <v>3930</v>
      </c>
      <c r="Z354" s="142" t="s">
        <v>3931</v>
      </c>
      <c r="AA354" s="254" t="s">
        <v>64</v>
      </c>
      <c r="AB354" s="55"/>
      <c r="AC354" s="56"/>
      <c r="AD354" s="56"/>
      <c r="AE354" s="55"/>
      <c r="AF354" s="55"/>
      <c r="AG354" s="56"/>
      <c r="AH354" s="56"/>
      <c r="AI354" s="55"/>
      <c r="AJ354" s="55"/>
      <c r="AK354" s="56"/>
      <c r="AL354" s="56"/>
      <c r="AM354" s="83" t="s">
        <v>321</v>
      </c>
      <c r="AN354" s="83" t="s">
        <v>39</v>
      </c>
      <c r="AO354" s="131" t="s">
        <v>40</v>
      </c>
      <c r="AP354" s="43" t="str">
        <f t="shared" si="6"/>
        <v>WASCO cistiace a upratovacie sluzby, ine (tovary a sluzby), &amp;#32vsetky kategorie  976 46 Valaska - Piesok Brezno  WASCO – druzstvo je registrovany socialny podnik posobiaci v obci Valaska v okrese Brezno. Nasim cielom je spajat kvalitne sluzby a vyrobky so spolocenskou zodpovednostou – poskytujeme zakaznikom profesionalne sluzby a zaroven vytvarame pracovne prilezitosti pre ludi so znevyhodnenim.  Nasa hlavna ponuka zahrna:   Prevadzkovanie profesionalnej pracovne a cistiarni 	•	Perieme a cistime textilie pre domacnosti aj institucie (nemocnice, ubytovne, hotely, penziony, domovy socialnych sluzieb) 	•	Ponukame zvoz a rozvoz bielizne pre firemnych klientov 	•	Zameriavame sa na kvalitu, ekologicke postupy a flexibilitu  Remeselna a kreativna vyroba 	•	Vyroba sviecok, darcekovych predmetov, textilnych vyrobkov a jednoduchych uzitkovych produktov z dreva 	•	Pracujeme aj na zakazkovych produktoch s dorazom na lokalnost a rucnu pracu  Socialne sluzby pre komunitu (v spolupraci s partnermi) 	•	V ramci integracnych programov sa podielame na zaskolovani zamestnancov, rozvoji ich zrucnosti a podpore ich uplatnenia na trhu prace  Nasi zakaznici: 	•	Institucie a zariadenia socialnych sluzieb (napr. domovy dochodcov, centra pre deti a rodiny) 	•	Hotely, penziony, firmy – pre ktore zabezpecujeme profesionalne pranie a servis bielizne 	•	Jednotlivci z obce a regionu – bezni zakaznici pracovne a klienti nasich produktov 	•	Organizacie a samospravy – spolupracujeme pri tvorbe zakazkovych produktov ci komunitnych aktivit  Nasa vyhoda:  Spajame spolahlivost, kvalitu a zmysluplnost. Ked si vyberiete WASCO – nepodporujete len sluzbu, ale aj cloveka. WASCO – druzstvo je registrovany socialny podnik, ktoreho hlavnou spolocenskou misiou je zamestnavanie znevyhodnenych osob, najma dlhodobo nezamestnanych, ludi z marginalizovanych romskych komunit a osob s nizsou kvalifikaciou. Nasim cielom nie je len poskytovanie pracovneho miesta, ale aj podpora ich navratu na trh prace, zvysovanie kvalifikacie a socialna inkluzia. WASCO – druzstvo Prevadzkaren WASCO – druzstvo sa zameriava najma na profesionalne pracovenske sluzby. Ponukame pranie, cistenie, susenie a zehlenie bielizne pre firmy, institucie aj domacnosti. Sucastou sluzieb je aj zvoz a rozvoz bielizne pre klientov v regione. acovna, cistiaren, zehlenie, zvoz bielizne, sviecky, dekoracie, darcekove predmety, remeselne vyrobky, textilne vyrobky, sitie, drevovyroba, jednoduche uzitkove vyrobky, komunitne sluzby, edukacne aktivity, poradenstvo, balenie vyrobkov, socialna integracia, zamestnavanie znevyhodnenych, vyroba suvenirov          Servisne poukazky Register partnerov VS</v>
      </c>
      <c r="AQ354" s="37"/>
    </row>
    <row r="355" ht="15.75" customHeight="1">
      <c r="A355" s="37"/>
      <c r="B355" s="37"/>
      <c r="C355" s="37"/>
      <c r="D355" s="37"/>
      <c r="E355" s="37"/>
      <c r="F355" s="37"/>
      <c r="G355" s="37"/>
      <c r="H355" s="37"/>
      <c r="I355" s="37"/>
      <c r="J355" s="37"/>
      <c r="K355" s="37"/>
      <c r="L355" s="37"/>
      <c r="M355" s="37"/>
      <c r="N355" s="37"/>
      <c r="O355" s="37"/>
      <c r="P355" s="37"/>
      <c r="Q355" s="37"/>
      <c r="R355" s="192"/>
      <c r="S355" s="37"/>
      <c r="T355" s="37"/>
      <c r="U355" s="142"/>
      <c r="V355" s="262"/>
      <c r="W355" s="37"/>
      <c r="X355" s="37"/>
      <c r="Y355" s="192"/>
      <c r="Z355" s="263"/>
      <c r="AA355" s="142"/>
      <c r="AB355" s="37"/>
      <c r="AC355" s="192"/>
      <c r="AD355" s="192"/>
      <c r="AE355" s="37"/>
      <c r="AF355" s="37"/>
      <c r="AG355" s="192"/>
      <c r="AH355" s="192"/>
      <c r="AI355" s="37"/>
      <c r="AJ355" s="37"/>
      <c r="AK355" s="192"/>
      <c r="AL355" s="192"/>
      <c r="AM355" s="193"/>
      <c r="AN355" s="193"/>
      <c r="AO355" s="264"/>
      <c r="AP355" s="58"/>
      <c r="AQ355" s="37"/>
    </row>
    <row r="356" ht="15.75" customHeight="1">
      <c r="A356" s="37"/>
      <c r="B356" s="37"/>
      <c r="C356" s="37"/>
      <c r="D356" s="37"/>
      <c r="E356" s="37"/>
      <c r="F356" s="37"/>
      <c r="G356" s="37"/>
      <c r="H356" s="37"/>
      <c r="I356" s="37"/>
      <c r="J356" s="37"/>
      <c r="K356" s="37"/>
      <c r="L356" s="37"/>
      <c r="M356" s="37"/>
      <c r="N356" s="37"/>
      <c r="O356" s="37"/>
      <c r="P356" s="37"/>
      <c r="Q356" s="37"/>
      <c r="R356" s="192"/>
      <c r="S356" s="37"/>
      <c r="T356" s="37"/>
      <c r="U356" s="142"/>
      <c r="V356" s="262"/>
      <c r="W356" s="37"/>
      <c r="X356" s="37"/>
      <c r="Y356" s="192"/>
      <c r="Z356" s="263"/>
      <c r="AA356" s="142"/>
      <c r="AB356" s="37"/>
      <c r="AC356" s="192"/>
      <c r="AD356" s="192"/>
      <c r="AE356" s="37"/>
      <c r="AF356" s="37"/>
      <c r="AG356" s="192"/>
      <c r="AH356" s="192"/>
      <c r="AI356" s="37"/>
      <c r="AJ356" s="37"/>
      <c r="AK356" s="192"/>
      <c r="AL356" s="192"/>
      <c r="AM356" s="193"/>
      <c r="AN356" s="193"/>
      <c r="AO356" s="264"/>
      <c r="AP356" s="58"/>
      <c r="AQ356" s="37"/>
    </row>
    <row r="357" ht="15.75" customHeight="1">
      <c r="A357" s="37"/>
      <c r="B357" s="37"/>
      <c r="C357" s="37"/>
      <c r="D357" s="37"/>
      <c r="E357" s="37"/>
      <c r="F357" s="37"/>
      <c r="G357" s="37"/>
      <c r="H357" s="37"/>
      <c r="I357" s="37"/>
      <c r="J357" s="37"/>
      <c r="K357" s="37"/>
      <c r="L357" s="37"/>
      <c r="M357" s="37"/>
      <c r="N357" s="37"/>
      <c r="O357" s="37"/>
      <c r="P357" s="37"/>
      <c r="Q357" s="37"/>
      <c r="R357" s="192"/>
      <c r="S357" s="37"/>
      <c r="T357" s="37"/>
      <c r="U357" s="142"/>
      <c r="V357" s="262"/>
      <c r="W357" s="37"/>
      <c r="X357" s="37"/>
      <c r="Y357" s="192"/>
      <c r="Z357" s="263"/>
      <c r="AA357" s="142"/>
      <c r="AB357" s="37"/>
      <c r="AC357" s="192"/>
      <c r="AD357" s="192"/>
      <c r="AE357" s="37"/>
      <c r="AF357" s="37"/>
      <c r="AG357" s="192"/>
      <c r="AH357" s="192"/>
      <c r="AI357" s="37"/>
      <c r="AJ357" s="37"/>
      <c r="AK357" s="192"/>
      <c r="AL357" s="192"/>
      <c r="AM357" s="193"/>
      <c r="AN357" s="193"/>
      <c r="AO357" s="264"/>
      <c r="AP357" s="58"/>
      <c r="AQ357" s="37"/>
    </row>
    <row r="358" ht="15.75" customHeight="1">
      <c r="A358" s="37"/>
      <c r="B358" s="37"/>
      <c r="C358" s="37"/>
      <c r="D358" s="37"/>
      <c r="E358" s="37"/>
      <c r="F358" s="37"/>
      <c r="G358" s="37"/>
      <c r="H358" s="37"/>
      <c r="I358" s="37"/>
      <c r="J358" s="37"/>
      <c r="K358" s="37"/>
      <c r="L358" s="37"/>
      <c r="M358" s="37"/>
      <c r="N358" s="37"/>
      <c r="O358" s="37"/>
      <c r="P358" s="37"/>
      <c r="Q358" s="37"/>
      <c r="R358" s="192"/>
      <c r="S358" s="37"/>
      <c r="T358" s="37"/>
      <c r="U358" s="142"/>
      <c r="V358" s="262"/>
      <c r="W358" s="37"/>
      <c r="X358" s="37"/>
      <c r="Y358" s="192"/>
      <c r="Z358" s="263"/>
      <c r="AA358" s="142"/>
      <c r="AB358" s="37"/>
      <c r="AC358" s="192"/>
      <c r="AD358" s="192"/>
      <c r="AE358" s="37"/>
      <c r="AF358" s="37"/>
      <c r="AG358" s="192"/>
      <c r="AH358" s="192"/>
      <c r="AI358" s="37"/>
      <c r="AJ358" s="37"/>
      <c r="AK358" s="192"/>
      <c r="AL358" s="192"/>
      <c r="AM358" s="193"/>
      <c r="AN358" s="193"/>
      <c r="AO358" s="264"/>
      <c r="AP358" s="58"/>
      <c r="AQ358" s="37"/>
    </row>
    <row r="359" ht="15.75" customHeight="1">
      <c r="A359" s="37"/>
      <c r="B359" s="37"/>
      <c r="C359" s="37"/>
      <c r="D359" s="37"/>
      <c r="E359" s="37"/>
      <c r="F359" s="37"/>
      <c r="G359" s="37"/>
      <c r="H359" s="37"/>
      <c r="I359" s="37"/>
      <c r="J359" s="37"/>
      <c r="K359" s="37"/>
      <c r="L359" s="37"/>
      <c r="M359" s="37"/>
      <c r="N359" s="37"/>
      <c r="O359" s="37"/>
      <c r="P359" s="37"/>
      <c r="Q359" s="37"/>
      <c r="R359" s="192"/>
      <c r="S359" s="37"/>
      <c r="T359" s="37"/>
      <c r="U359" s="142"/>
      <c r="V359" s="262"/>
      <c r="W359" s="37"/>
      <c r="X359" s="37"/>
      <c r="Y359" s="192"/>
      <c r="Z359" s="263"/>
      <c r="AA359" s="142"/>
      <c r="AB359" s="37"/>
      <c r="AC359" s="192"/>
      <c r="AD359" s="192"/>
      <c r="AE359" s="37"/>
      <c r="AF359" s="37"/>
      <c r="AG359" s="192"/>
      <c r="AH359" s="192"/>
      <c r="AI359" s="37"/>
      <c r="AJ359" s="37"/>
      <c r="AK359" s="192"/>
      <c r="AL359" s="192"/>
      <c r="AM359" s="193"/>
      <c r="AN359" s="193"/>
      <c r="AO359" s="264"/>
      <c r="AP359" s="58"/>
      <c r="AQ359" s="37"/>
    </row>
    <row r="360" ht="15.75" customHeight="1">
      <c r="A360" s="37"/>
      <c r="B360" s="37"/>
      <c r="C360" s="37"/>
      <c r="D360" s="37"/>
      <c r="E360" s="37"/>
      <c r="F360" s="37"/>
      <c r="G360" s="37"/>
      <c r="H360" s="37"/>
      <c r="I360" s="37"/>
      <c r="J360" s="37"/>
      <c r="K360" s="37"/>
      <c r="L360" s="37"/>
      <c r="M360" s="37"/>
      <c r="N360" s="37"/>
      <c r="O360" s="37"/>
      <c r="P360" s="37"/>
      <c r="Q360" s="37"/>
      <c r="R360" s="192"/>
      <c r="S360" s="37"/>
      <c r="T360" s="37"/>
      <c r="U360" s="142"/>
      <c r="V360" s="262"/>
      <c r="W360" s="37"/>
      <c r="X360" s="37"/>
      <c r="Y360" s="192"/>
      <c r="Z360" s="263"/>
      <c r="AA360" s="142"/>
      <c r="AB360" s="37"/>
      <c r="AC360" s="192"/>
      <c r="AD360" s="192"/>
      <c r="AE360" s="37"/>
      <c r="AF360" s="37"/>
      <c r="AG360" s="192"/>
      <c r="AH360" s="192"/>
      <c r="AI360" s="37"/>
      <c r="AJ360" s="37"/>
      <c r="AK360" s="192"/>
      <c r="AL360" s="192"/>
      <c r="AM360" s="193"/>
      <c r="AN360" s="193"/>
      <c r="AO360" s="264"/>
      <c r="AP360" s="58"/>
      <c r="AQ360" s="37"/>
    </row>
    <row r="361" ht="15.75" customHeight="1">
      <c r="A361" s="37"/>
      <c r="B361" s="37"/>
      <c r="C361" s="37"/>
      <c r="D361" s="37"/>
      <c r="E361" s="37"/>
      <c r="F361" s="37"/>
      <c r="G361" s="37"/>
      <c r="H361" s="37"/>
      <c r="I361" s="37"/>
      <c r="J361" s="37"/>
      <c r="K361" s="37"/>
      <c r="L361" s="37"/>
      <c r="M361" s="37"/>
      <c r="N361" s="37"/>
      <c r="O361" s="37"/>
      <c r="P361" s="37"/>
      <c r="Q361" s="37"/>
      <c r="R361" s="192"/>
      <c r="S361" s="37"/>
      <c r="T361" s="37"/>
      <c r="U361" s="142"/>
      <c r="V361" s="262"/>
      <c r="W361" s="37"/>
      <c r="X361" s="37"/>
      <c r="Y361" s="192"/>
      <c r="Z361" s="263"/>
      <c r="AA361" s="142"/>
      <c r="AB361" s="37"/>
      <c r="AC361" s="192"/>
      <c r="AD361" s="192"/>
      <c r="AE361" s="37"/>
      <c r="AF361" s="37"/>
      <c r="AG361" s="192"/>
      <c r="AH361" s="192"/>
      <c r="AI361" s="37"/>
      <c r="AJ361" s="37"/>
      <c r="AK361" s="192"/>
      <c r="AL361" s="192"/>
      <c r="AM361" s="193"/>
      <c r="AN361" s="193"/>
      <c r="AO361" s="264"/>
      <c r="AP361" s="58"/>
      <c r="AQ361" s="37"/>
    </row>
    <row r="362" ht="15.75" customHeight="1">
      <c r="A362" s="37"/>
      <c r="B362" s="37"/>
      <c r="C362" s="37"/>
      <c r="D362" s="37"/>
      <c r="E362" s="37"/>
      <c r="F362" s="37"/>
      <c r="G362" s="37"/>
      <c r="H362" s="37"/>
      <c r="I362" s="37"/>
      <c r="J362" s="37"/>
      <c r="K362" s="37"/>
      <c r="L362" s="37"/>
      <c r="M362" s="37"/>
      <c r="N362" s="37"/>
      <c r="O362" s="37"/>
      <c r="P362" s="37"/>
      <c r="Q362" s="37"/>
      <c r="R362" s="192"/>
      <c r="S362" s="37"/>
      <c r="T362" s="37"/>
      <c r="U362" s="142"/>
      <c r="V362" s="262"/>
      <c r="W362" s="37"/>
      <c r="X362" s="37"/>
      <c r="Y362" s="192"/>
      <c r="Z362" s="263"/>
      <c r="AA362" s="142"/>
      <c r="AB362" s="37"/>
      <c r="AC362" s="192"/>
      <c r="AD362" s="192"/>
      <c r="AE362" s="37"/>
      <c r="AF362" s="37"/>
      <c r="AG362" s="192"/>
      <c r="AH362" s="192"/>
      <c r="AI362" s="37"/>
      <c r="AJ362" s="37"/>
      <c r="AK362" s="192"/>
      <c r="AL362" s="192"/>
      <c r="AM362" s="193"/>
      <c r="AN362" s="193"/>
      <c r="AO362" s="264"/>
      <c r="AP362" s="58"/>
      <c r="AQ362" s="37"/>
    </row>
    <row r="363" ht="15.75" customHeight="1">
      <c r="A363" s="37"/>
      <c r="B363" s="37"/>
      <c r="C363" s="37"/>
      <c r="D363" s="37"/>
      <c r="E363" s="37"/>
      <c r="F363" s="37"/>
      <c r="G363" s="37"/>
      <c r="H363" s="37"/>
      <c r="I363" s="37"/>
      <c r="J363" s="37"/>
      <c r="K363" s="37"/>
      <c r="L363" s="37"/>
      <c r="M363" s="37"/>
      <c r="N363" s="37"/>
      <c r="O363" s="37"/>
      <c r="P363" s="37"/>
      <c r="Q363" s="37"/>
      <c r="R363" s="192"/>
      <c r="S363" s="37"/>
      <c r="T363" s="37"/>
      <c r="U363" s="142"/>
      <c r="V363" s="262"/>
      <c r="W363" s="37"/>
      <c r="X363" s="37"/>
      <c r="Y363" s="192"/>
      <c r="Z363" s="263"/>
      <c r="AA363" s="142"/>
      <c r="AB363" s="37"/>
      <c r="AC363" s="192"/>
      <c r="AD363" s="192"/>
      <c r="AE363" s="37"/>
      <c r="AF363" s="37"/>
      <c r="AG363" s="192"/>
      <c r="AH363" s="192"/>
      <c r="AI363" s="37"/>
      <c r="AJ363" s="37"/>
      <c r="AK363" s="192"/>
      <c r="AL363" s="192"/>
      <c r="AM363" s="193"/>
      <c r="AN363" s="193"/>
      <c r="AO363" s="264"/>
      <c r="AP363" s="58"/>
      <c r="AQ363" s="37"/>
    </row>
    <row r="364" ht="15.75" customHeight="1">
      <c r="A364" s="37"/>
      <c r="B364" s="37"/>
      <c r="C364" s="37"/>
      <c r="D364" s="37"/>
      <c r="E364" s="37"/>
      <c r="F364" s="37"/>
      <c r="G364" s="37"/>
      <c r="H364" s="37"/>
      <c r="I364" s="37"/>
      <c r="J364" s="37"/>
      <c r="K364" s="37"/>
      <c r="L364" s="37"/>
      <c r="M364" s="37"/>
      <c r="N364" s="37"/>
      <c r="O364" s="37"/>
      <c r="P364" s="37"/>
      <c r="Q364" s="37"/>
      <c r="R364" s="192"/>
      <c r="S364" s="37"/>
      <c r="T364" s="37"/>
      <c r="U364" s="142"/>
      <c r="V364" s="262"/>
      <c r="W364" s="37"/>
      <c r="X364" s="37"/>
      <c r="Y364" s="192"/>
      <c r="Z364" s="263"/>
      <c r="AA364" s="142"/>
      <c r="AB364" s="37"/>
      <c r="AC364" s="192"/>
      <c r="AD364" s="192"/>
      <c r="AE364" s="37"/>
      <c r="AF364" s="37"/>
      <c r="AG364" s="192"/>
      <c r="AH364" s="192"/>
      <c r="AI364" s="37"/>
      <c r="AJ364" s="37"/>
      <c r="AK364" s="192"/>
      <c r="AL364" s="192"/>
      <c r="AM364" s="193"/>
      <c r="AN364" s="193"/>
      <c r="AO364" s="264"/>
      <c r="AP364" s="58"/>
      <c r="AQ364" s="37"/>
    </row>
    <row r="365" ht="15.75" customHeight="1">
      <c r="A365" s="37"/>
      <c r="B365" s="37"/>
      <c r="C365" s="37"/>
      <c r="D365" s="37"/>
      <c r="E365" s="37"/>
      <c r="F365" s="37"/>
      <c r="G365" s="37"/>
      <c r="H365" s="37"/>
      <c r="I365" s="37"/>
      <c r="J365" s="37"/>
      <c r="K365" s="37"/>
      <c r="L365" s="37"/>
      <c r="M365" s="37"/>
      <c r="N365" s="37"/>
      <c r="O365" s="37"/>
      <c r="P365" s="37"/>
      <c r="Q365" s="37"/>
      <c r="R365" s="192"/>
      <c r="S365" s="37"/>
      <c r="T365" s="37"/>
      <c r="U365" s="142"/>
      <c r="V365" s="262"/>
      <c r="W365" s="37"/>
      <c r="X365" s="37"/>
      <c r="Y365" s="192"/>
      <c r="Z365" s="263"/>
      <c r="AA365" s="142"/>
      <c r="AB365" s="37"/>
      <c r="AC365" s="192"/>
      <c r="AD365" s="192"/>
      <c r="AE365" s="37"/>
      <c r="AF365" s="37"/>
      <c r="AG365" s="192"/>
      <c r="AH365" s="192"/>
      <c r="AI365" s="37"/>
      <c r="AJ365" s="37"/>
      <c r="AK365" s="192"/>
      <c r="AL365" s="192"/>
      <c r="AM365" s="193"/>
      <c r="AN365" s="193"/>
      <c r="AO365" s="264"/>
      <c r="AP365" s="58"/>
      <c r="AQ365" s="37"/>
    </row>
    <row r="366" ht="15.75" customHeight="1">
      <c r="A366" s="37"/>
      <c r="B366" s="37"/>
      <c r="C366" s="37"/>
      <c r="D366" s="37"/>
      <c r="E366" s="37"/>
      <c r="F366" s="37"/>
      <c r="G366" s="37"/>
      <c r="H366" s="37"/>
      <c r="I366" s="37"/>
      <c r="J366" s="37"/>
      <c r="K366" s="37"/>
      <c r="L366" s="37"/>
      <c r="M366" s="37"/>
      <c r="N366" s="37"/>
      <c r="O366" s="37"/>
      <c r="P366" s="37"/>
      <c r="Q366" s="37"/>
      <c r="R366" s="192"/>
      <c r="S366" s="37"/>
      <c r="T366" s="37"/>
      <c r="U366" s="142"/>
      <c r="V366" s="262"/>
      <c r="W366" s="37"/>
      <c r="X366" s="37"/>
      <c r="Y366" s="192"/>
      <c r="Z366" s="263"/>
      <c r="AA366" s="142"/>
      <c r="AB366" s="37"/>
      <c r="AC366" s="192"/>
      <c r="AD366" s="192"/>
      <c r="AE366" s="37"/>
      <c r="AF366" s="37"/>
      <c r="AG366" s="192"/>
      <c r="AH366" s="192"/>
      <c r="AI366" s="37"/>
      <c r="AJ366" s="37"/>
      <c r="AK366" s="192"/>
      <c r="AL366" s="192"/>
      <c r="AM366" s="193"/>
      <c r="AN366" s="193"/>
      <c r="AO366" s="264"/>
      <c r="AP366" s="58"/>
      <c r="AQ366" s="37"/>
    </row>
    <row r="367" ht="15.75" customHeight="1">
      <c r="A367" s="37"/>
      <c r="B367" s="37"/>
      <c r="C367" s="37"/>
      <c r="D367" s="37"/>
      <c r="E367" s="37"/>
      <c r="F367" s="37"/>
      <c r="G367" s="37"/>
      <c r="H367" s="37"/>
      <c r="I367" s="37"/>
      <c r="J367" s="37"/>
      <c r="K367" s="37"/>
      <c r="L367" s="37"/>
      <c r="M367" s="37"/>
      <c r="N367" s="37"/>
      <c r="O367" s="37"/>
      <c r="P367" s="37"/>
      <c r="Q367" s="37"/>
      <c r="R367" s="192"/>
      <c r="S367" s="37"/>
      <c r="T367" s="37"/>
      <c r="U367" s="142"/>
      <c r="V367" s="262"/>
      <c r="W367" s="37"/>
      <c r="X367" s="37"/>
      <c r="Y367" s="192"/>
      <c r="Z367" s="263"/>
      <c r="AA367" s="142"/>
      <c r="AB367" s="37"/>
      <c r="AC367" s="192"/>
      <c r="AD367" s="192"/>
      <c r="AE367" s="37"/>
      <c r="AF367" s="37"/>
      <c r="AG367" s="192"/>
      <c r="AH367" s="192"/>
      <c r="AI367" s="37"/>
      <c r="AJ367" s="37"/>
      <c r="AK367" s="192"/>
      <c r="AL367" s="192"/>
      <c r="AM367" s="193"/>
      <c r="AN367" s="193"/>
      <c r="AO367" s="264"/>
      <c r="AP367" s="58"/>
      <c r="AQ367" s="37"/>
    </row>
    <row r="368" ht="15.75" customHeight="1">
      <c r="A368" s="37"/>
      <c r="B368" s="37"/>
      <c r="C368" s="37"/>
      <c r="D368" s="37"/>
      <c r="E368" s="37"/>
      <c r="F368" s="37"/>
      <c r="G368" s="37"/>
      <c r="H368" s="37"/>
      <c r="I368" s="37"/>
      <c r="J368" s="37"/>
      <c r="K368" s="37"/>
      <c r="L368" s="37"/>
      <c r="M368" s="37"/>
      <c r="N368" s="37"/>
      <c r="O368" s="37"/>
      <c r="P368" s="37"/>
      <c r="Q368" s="37"/>
      <c r="R368" s="192"/>
      <c r="S368" s="37"/>
      <c r="T368" s="37"/>
      <c r="U368" s="142"/>
      <c r="V368" s="262"/>
      <c r="W368" s="37"/>
      <c r="X368" s="37"/>
      <c r="Y368" s="192"/>
      <c r="Z368" s="263"/>
      <c r="AA368" s="142"/>
      <c r="AB368" s="37"/>
      <c r="AC368" s="192"/>
      <c r="AD368" s="192"/>
      <c r="AE368" s="37"/>
      <c r="AF368" s="37"/>
      <c r="AG368" s="192"/>
      <c r="AH368" s="192"/>
      <c r="AI368" s="37"/>
      <c r="AJ368" s="37"/>
      <c r="AK368" s="192"/>
      <c r="AL368" s="192"/>
      <c r="AM368" s="193"/>
      <c r="AN368" s="193"/>
      <c r="AO368" s="264"/>
      <c r="AP368" s="58"/>
      <c r="AQ368" s="37"/>
    </row>
    <row r="369" ht="15.75" customHeight="1">
      <c r="A369" s="37"/>
      <c r="B369" s="37"/>
      <c r="C369" s="37"/>
      <c r="D369" s="37"/>
      <c r="E369" s="37"/>
      <c r="F369" s="37"/>
      <c r="G369" s="37"/>
      <c r="H369" s="37"/>
      <c r="I369" s="37"/>
      <c r="J369" s="37"/>
      <c r="K369" s="37"/>
      <c r="L369" s="37"/>
      <c r="M369" s="37"/>
      <c r="N369" s="37"/>
      <c r="O369" s="37"/>
      <c r="P369" s="37"/>
      <c r="Q369" s="37"/>
      <c r="R369" s="192"/>
      <c r="S369" s="37"/>
      <c r="T369" s="37"/>
      <c r="U369" s="142"/>
      <c r="V369" s="262"/>
      <c r="W369" s="37"/>
      <c r="X369" s="37"/>
      <c r="Y369" s="192"/>
      <c r="Z369" s="263"/>
      <c r="AA369" s="142"/>
      <c r="AB369" s="37"/>
      <c r="AC369" s="192"/>
      <c r="AD369" s="192"/>
      <c r="AE369" s="37"/>
      <c r="AF369" s="37"/>
      <c r="AG369" s="192"/>
      <c r="AH369" s="192"/>
      <c r="AI369" s="37"/>
      <c r="AJ369" s="37"/>
      <c r="AK369" s="192"/>
      <c r="AL369" s="192"/>
      <c r="AM369" s="193"/>
      <c r="AN369" s="193"/>
      <c r="AO369" s="264"/>
      <c r="AP369" s="58"/>
      <c r="AQ369" s="37"/>
    </row>
    <row r="370" ht="15.75" customHeight="1">
      <c r="A370" s="37"/>
      <c r="B370" s="37"/>
      <c r="C370" s="37"/>
      <c r="D370" s="37"/>
      <c r="E370" s="37"/>
      <c r="F370" s="37"/>
      <c r="G370" s="37"/>
      <c r="H370" s="37"/>
      <c r="I370" s="37"/>
      <c r="J370" s="37"/>
      <c r="K370" s="37"/>
      <c r="L370" s="37"/>
      <c r="M370" s="37"/>
      <c r="N370" s="37"/>
      <c r="O370" s="37"/>
      <c r="P370" s="37"/>
      <c r="Q370" s="37"/>
      <c r="R370" s="192"/>
      <c r="S370" s="37"/>
      <c r="T370" s="37"/>
      <c r="U370" s="142"/>
      <c r="V370" s="262"/>
      <c r="W370" s="37"/>
      <c r="X370" s="37"/>
      <c r="Y370" s="192"/>
      <c r="Z370" s="263"/>
      <c r="AA370" s="142"/>
      <c r="AB370" s="37"/>
      <c r="AC370" s="192"/>
      <c r="AD370" s="192"/>
      <c r="AE370" s="37"/>
      <c r="AF370" s="37"/>
      <c r="AG370" s="192"/>
      <c r="AH370" s="192"/>
      <c r="AI370" s="37"/>
      <c r="AJ370" s="37"/>
      <c r="AK370" s="192"/>
      <c r="AL370" s="192"/>
      <c r="AM370" s="193"/>
      <c r="AN370" s="193"/>
      <c r="AO370" s="264"/>
      <c r="AP370" s="58"/>
      <c r="AQ370" s="37"/>
    </row>
    <row r="371" ht="15.75" customHeight="1">
      <c r="A371" s="37"/>
      <c r="B371" s="37"/>
      <c r="C371" s="37"/>
      <c r="D371" s="37"/>
      <c r="E371" s="37"/>
      <c r="F371" s="37"/>
      <c r="G371" s="37"/>
      <c r="H371" s="37"/>
      <c r="I371" s="37"/>
      <c r="J371" s="37"/>
      <c r="K371" s="37"/>
      <c r="L371" s="37"/>
      <c r="M371" s="37"/>
      <c r="N371" s="37"/>
      <c r="O371" s="37"/>
      <c r="P371" s="37"/>
      <c r="Q371" s="37"/>
      <c r="R371" s="192"/>
      <c r="S371" s="37"/>
      <c r="T371" s="37"/>
      <c r="U371" s="142"/>
      <c r="V371" s="262"/>
      <c r="W371" s="37"/>
      <c r="X371" s="37"/>
      <c r="Y371" s="192"/>
      <c r="Z371" s="263"/>
      <c r="AA371" s="142"/>
      <c r="AB371" s="37"/>
      <c r="AC371" s="192"/>
      <c r="AD371" s="192"/>
      <c r="AE371" s="37"/>
      <c r="AF371" s="37"/>
      <c r="AG371" s="192"/>
      <c r="AH371" s="192"/>
      <c r="AI371" s="37"/>
      <c r="AJ371" s="37"/>
      <c r="AK371" s="192"/>
      <c r="AL371" s="192"/>
      <c r="AM371" s="193"/>
      <c r="AN371" s="193"/>
      <c r="AO371" s="264"/>
      <c r="AP371" s="58"/>
      <c r="AQ371" s="37"/>
    </row>
    <row r="372" ht="15.75" customHeight="1">
      <c r="A372" s="37"/>
      <c r="B372" s="37"/>
      <c r="C372" s="37"/>
      <c r="D372" s="37"/>
      <c r="E372" s="37"/>
      <c r="F372" s="37"/>
      <c r="G372" s="37"/>
      <c r="H372" s="37"/>
      <c r="I372" s="37"/>
      <c r="J372" s="37"/>
      <c r="K372" s="37"/>
      <c r="L372" s="37"/>
      <c r="M372" s="37"/>
      <c r="N372" s="37"/>
      <c r="O372" s="37"/>
      <c r="P372" s="37"/>
      <c r="Q372" s="37"/>
      <c r="R372" s="192"/>
      <c r="S372" s="37"/>
      <c r="T372" s="37"/>
      <c r="U372" s="142"/>
      <c r="V372" s="262"/>
      <c r="W372" s="37"/>
      <c r="X372" s="37"/>
      <c r="Y372" s="192"/>
      <c r="Z372" s="263"/>
      <c r="AA372" s="142"/>
      <c r="AB372" s="37"/>
      <c r="AC372" s="192"/>
      <c r="AD372" s="192"/>
      <c r="AE372" s="37"/>
      <c r="AF372" s="37"/>
      <c r="AG372" s="192"/>
      <c r="AH372" s="192"/>
      <c r="AI372" s="37"/>
      <c r="AJ372" s="37"/>
      <c r="AK372" s="192"/>
      <c r="AL372" s="192"/>
      <c r="AM372" s="193"/>
      <c r="AN372" s="193"/>
      <c r="AO372" s="264"/>
      <c r="AP372" s="58"/>
      <c r="AQ372" s="37"/>
    </row>
    <row r="373" ht="15.75" customHeight="1">
      <c r="A373" s="37"/>
      <c r="B373" s="37"/>
      <c r="C373" s="37"/>
      <c r="D373" s="37"/>
      <c r="E373" s="37"/>
      <c r="F373" s="37"/>
      <c r="G373" s="37"/>
      <c r="H373" s="37"/>
      <c r="I373" s="37"/>
      <c r="J373" s="37"/>
      <c r="K373" s="37"/>
      <c r="L373" s="37"/>
      <c r="M373" s="37"/>
      <c r="N373" s="37"/>
      <c r="O373" s="37"/>
      <c r="P373" s="37"/>
      <c r="Q373" s="37"/>
      <c r="R373" s="192"/>
      <c r="S373" s="37"/>
      <c r="T373" s="37"/>
      <c r="U373" s="142"/>
      <c r="V373" s="262"/>
      <c r="W373" s="37"/>
      <c r="X373" s="37"/>
      <c r="Y373" s="192"/>
      <c r="Z373" s="263"/>
      <c r="AA373" s="142"/>
      <c r="AB373" s="37"/>
      <c r="AC373" s="192"/>
      <c r="AD373" s="192"/>
      <c r="AE373" s="37"/>
      <c r="AF373" s="37"/>
      <c r="AG373" s="192"/>
      <c r="AH373" s="192"/>
      <c r="AI373" s="37"/>
      <c r="AJ373" s="37"/>
      <c r="AK373" s="192"/>
      <c r="AL373" s="192"/>
      <c r="AM373" s="193"/>
      <c r="AN373" s="193"/>
      <c r="AO373" s="264"/>
      <c r="AP373" s="58"/>
      <c r="AQ373" s="37"/>
    </row>
    <row r="374" ht="15.75" customHeight="1">
      <c r="A374" s="37"/>
      <c r="B374" s="37"/>
      <c r="C374" s="37"/>
      <c r="D374" s="37"/>
      <c r="E374" s="37"/>
      <c r="F374" s="37"/>
      <c r="G374" s="37"/>
      <c r="H374" s="37"/>
      <c r="I374" s="37"/>
      <c r="J374" s="37"/>
      <c r="K374" s="37"/>
      <c r="L374" s="37"/>
      <c r="M374" s="37"/>
      <c r="N374" s="37"/>
      <c r="O374" s="37"/>
      <c r="P374" s="37"/>
      <c r="Q374" s="37"/>
      <c r="R374" s="192"/>
      <c r="S374" s="37"/>
      <c r="T374" s="37"/>
      <c r="U374" s="142"/>
      <c r="V374" s="262"/>
      <c r="W374" s="37"/>
      <c r="X374" s="37"/>
      <c r="Y374" s="192"/>
      <c r="Z374" s="263"/>
      <c r="AA374" s="142"/>
      <c r="AB374" s="37"/>
      <c r="AC374" s="192"/>
      <c r="AD374" s="192"/>
      <c r="AE374" s="37"/>
      <c r="AF374" s="37"/>
      <c r="AG374" s="192"/>
      <c r="AH374" s="192"/>
      <c r="AI374" s="37"/>
      <c r="AJ374" s="37"/>
      <c r="AK374" s="192"/>
      <c r="AL374" s="192"/>
      <c r="AM374" s="193"/>
      <c r="AN374" s="193"/>
      <c r="AO374" s="264"/>
      <c r="AP374" s="58"/>
      <c r="AQ374" s="37"/>
    </row>
    <row r="375" ht="15.75" customHeight="1">
      <c r="A375" s="37"/>
      <c r="B375" s="37"/>
      <c r="C375" s="37"/>
      <c r="D375" s="37"/>
      <c r="E375" s="37"/>
      <c r="F375" s="37"/>
      <c r="G375" s="37"/>
      <c r="H375" s="37"/>
      <c r="I375" s="37"/>
      <c r="J375" s="37"/>
      <c r="K375" s="37"/>
      <c r="L375" s="37"/>
      <c r="M375" s="37"/>
      <c r="N375" s="37"/>
      <c r="O375" s="37"/>
      <c r="P375" s="37"/>
      <c r="Q375" s="37"/>
      <c r="R375" s="192"/>
      <c r="S375" s="37"/>
      <c r="T375" s="37"/>
      <c r="U375" s="142"/>
      <c r="V375" s="262"/>
      <c r="W375" s="37"/>
      <c r="X375" s="37"/>
      <c r="Y375" s="192"/>
      <c r="Z375" s="263"/>
      <c r="AA375" s="142"/>
      <c r="AB375" s="37"/>
      <c r="AC375" s="192"/>
      <c r="AD375" s="192"/>
      <c r="AE375" s="37"/>
      <c r="AF375" s="37"/>
      <c r="AG375" s="192"/>
      <c r="AH375" s="192"/>
      <c r="AI375" s="37"/>
      <c r="AJ375" s="37"/>
      <c r="AK375" s="192"/>
      <c r="AL375" s="192"/>
      <c r="AM375" s="193"/>
      <c r="AN375" s="193"/>
      <c r="AO375" s="264"/>
      <c r="AP375" s="58"/>
      <c r="AQ375" s="37"/>
    </row>
    <row r="376" ht="15.75" customHeight="1">
      <c r="A376" s="37"/>
      <c r="B376" s="37"/>
      <c r="C376" s="37"/>
      <c r="D376" s="37"/>
      <c r="E376" s="37"/>
      <c r="F376" s="37"/>
      <c r="G376" s="37"/>
      <c r="H376" s="37"/>
      <c r="I376" s="37"/>
      <c r="J376" s="37"/>
      <c r="K376" s="37"/>
      <c r="L376" s="37"/>
      <c r="M376" s="37"/>
      <c r="N376" s="37"/>
      <c r="O376" s="37"/>
      <c r="P376" s="37"/>
      <c r="Q376" s="37"/>
      <c r="R376" s="192"/>
      <c r="S376" s="37"/>
      <c r="T376" s="37"/>
      <c r="U376" s="142"/>
      <c r="V376" s="262"/>
      <c r="W376" s="37"/>
      <c r="X376" s="37"/>
      <c r="Y376" s="192"/>
      <c r="Z376" s="263"/>
      <c r="AA376" s="142"/>
      <c r="AB376" s="37"/>
      <c r="AC376" s="192"/>
      <c r="AD376" s="192"/>
      <c r="AE376" s="37"/>
      <c r="AF376" s="37"/>
      <c r="AG376" s="192"/>
      <c r="AH376" s="192"/>
      <c r="AI376" s="37"/>
      <c r="AJ376" s="37"/>
      <c r="AK376" s="192"/>
      <c r="AL376" s="192"/>
      <c r="AM376" s="193"/>
      <c r="AN376" s="193"/>
      <c r="AO376" s="264"/>
      <c r="AP376" s="58"/>
      <c r="AQ376" s="37"/>
    </row>
    <row r="377" ht="15.75" customHeight="1">
      <c r="A377" s="37"/>
      <c r="B377" s="37"/>
      <c r="C377" s="37"/>
      <c r="D377" s="37"/>
      <c r="E377" s="37"/>
      <c r="F377" s="37"/>
      <c r="G377" s="37"/>
      <c r="H377" s="37"/>
      <c r="I377" s="37"/>
      <c r="J377" s="37"/>
      <c r="K377" s="37"/>
      <c r="L377" s="37"/>
      <c r="M377" s="37"/>
      <c r="N377" s="37"/>
      <c r="O377" s="37"/>
      <c r="P377" s="37"/>
      <c r="Q377" s="37"/>
      <c r="R377" s="192"/>
      <c r="S377" s="37"/>
      <c r="T377" s="37"/>
      <c r="U377" s="142"/>
      <c r="V377" s="262"/>
      <c r="W377" s="37"/>
      <c r="X377" s="37"/>
      <c r="Y377" s="192"/>
      <c r="Z377" s="263"/>
      <c r="AA377" s="142"/>
      <c r="AB377" s="37"/>
      <c r="AC377" s="192"/>
      <c r="AD377" s="192"/>
      <c r="AE377" s="37"/>
      <c r="AF377" s="37"/>
      <c r="AG377" s="192"/>
      <c r="AH377" s="192"/>
      <c r="AI377" s="37"/>
      <c r="AJ377" s="37"/>
      <c r="AK377" s="192"/>
      <c r="AL377" s="192"/>
      <c r="AM377" s="193"/>
      <c r="AN377" s="193"/>
      <c r="AO377" s="264"/>
      <c r="AP377" s="58"/>
      <c r="AQ377" s="37"/>
    </row>
    <row r="378" ht="15.75" customHeight="1">
      <c r="A378" s="37"/>
      <c r="B378" s="37"/>
      <c r="C378" s="37"/>
      <c r="D378" s="37"/>
      <c r="E378" s="37"/>
      <c r="F378" s="37"/>
      <c r="G378" s="37"/>
      <c r="H378" s="37"/>
      <c r="I378" s="37"/>
      <c r="J378" s="37"/>
      <c r="K378" s="37"/>
      <c r="L378" s="37"/>
      <c r="M378" s="37"/>
      <c r="N378" s="37"/>
      <c r="O378" s="37"/>
      <c r="P378" s="37"/>
      <c r="Q378" s="37"/>
      <c r="R378" s="192"/>
      <c r="S378" s="37"/>
      <c r="T378" s="37"/>
      <c r="U378" s="142"/>
      <c r="V378" s="262"/>
      <c r="W378" s="37"/>
      <c r="X378" s="37"/>
      <c r="Y378" s="192"/>
      <c r="Z378" s="263"/>
      <c r="AA378" s="142"/>
      <c r="AB378" s="37"/>
      <c r="AC378" s="192"/>
      <c r="AD378" s="192"/>
      <c r="AE378" s="37"/>
      <c r="AF378" s="37"/>
      <c r="AG378" s="192"/>
      <c r="AH378" s="192"/>
      <c r="AI378" s="37"/>
      <c r="AJ378" s="37"/>
      <c r="AK378" s="192"/>
      <c r="AL378" s="192"/>
      <c r="AM378" s="193"/>
      <c r="AN378" s="193"/>
      <c r="AO378" s="264"/>
      <c r="AP378" s="58"/>
      <c r="AQ378" s="37"/>
    </row>
    <row r="379" ht="15.75" customHeight="1">
      <c r="A379" s="37"/>
      <c r="B379" s="37"/>
      <c r="C379" s="37"/>
      <c r="D379" s="37"/>
      <c r="E379" s="37"/>
      <c r="F379" s="37"/>
      <c r="G379" s="37"/>
      <c r="H379" s="37"/>
      <c r="I379" s="37"/>
      <c r="J379" s="37"/>
      <c r="K379" s="37"/>
      <c r="L379" s="37"/>
      <c r="M379" s="37"/>
      <c r="N379" s="37"/>
      <c r="O379" s="37"/>
      <c r="P379" s="37"/>
      <c r="Q379" s="37"/>
      <c r="R379" s="192"/>
      <c r="S379" s="37"/>
      <c r="T379" s="37"/>
      <c r="U379" s="142"/>
      <c r="V379" s="262"/>
      <c r="W379" s="37"/>
      <c r="X379" s="37"/>
      <c r="Y379" s="192"/>
      <c r="Z379" s="263"/>
      <c r="AA379" s="142"/>
      <c r="AB379" s="37"/>
      <c r="AC379" s="192"/>
      <c r="AD379" s="192"/>
      <c r="AE379" s="37"/>
      <c r="AF379" s="37"/>
      <c r="AG379" s="192"/>
      <c r="AH379" s="192"/>
      <c r="AI379" s="37"/>
      <c r="AJ379" s="37"/>
      <c r="AK379" s="192"/>
      <c r="AL379" s="192"/>
      <c r="AM379" s="193"/>
      <c r="AN379" s="193"/>
      <c r="AO379" s="264"/>
      <c r="AP379" s="58"/>
      <c r="AQ379" s="37"/>
    </row>
    <row r="380" ht="15.75" customHeight="1">
      <c r="A380" s="37"/>
      <c r="B380" s="37"/>
      <c r="C380" s="37"/>
      <c r="D380" s="37"/>
      <c r="E380" s="37"/>
      <c r="F380" s="37"/>
      <c r="G380" s="37"/>
      <c r="H380" s="37"/>
      <c r="I380" s="37"/>
      <c r="J380" s="37"/>
      <c r="K380" s="37"/>
      <c r="L380" s="37"/>
      <c r="M380" s="37"/>
      <c r="N380" s="37"/>
      <c r="O380" s="37"/>
      <c r="P380" s="37"/>
      <c r="Q380" s="37"/>
      <c r="R380" s="192"/>
      <c r="S380" s="37"/>
      <c r="T380" s="37"/>
      <c r="U380" s="142"/>
      <c r="V380" s="262"/>
      <c r="W380" s="37"/>
      <c r="X380" s="37"/>
      <c r="Y380" s="192"/>
      <c r="Z380" s="263"/>
      <c r="AA380" s="142"/>
      <c r="AB380" s="37"/>
      <c r="AC380" s="192"/>
      <c r="AD380" s="192"/>
      <c r="AE380" s="37"/>
      <c r="AF380" s="37"/>
      <c r="AG380" s="192"/>
      <c r="AH380" s="192"/>
      <c r="AI380" s="37"/>
      <c r="AJ380" s="37"/>
      <c r="AK380" s="192"/>
      <c r="AL380" s="192"/>
      <c r="AM380" s="193"/>
      <c r="AN380" s="193"/>
      <c r="AO380" s="264"/>
      <c r="AP380" s="58"/>
      <c r="AQ380" s="37"/>
    </row>
    <row r="381" ht="15.75" customHeight="1">
      <c r="A381" s="37"/>
      <c r="B381" s="37"/>
      <c r="C381" s="37"/>
      <c r="D381" s="37"/>
      <c r="E381" s="37"/>
      <c r="F381" s="37"/>
      <c r="G381" s="37"/>
      <c r="H381" s="37"/>
      <c r="I381" s="37"/>
      <c r="J381" s="37"/>
      <c r="K381" s="37"/>
      <c r="L381" s="37"/>
      <c r="M381" s="37"/>
      <c r="N381" s="37"/>
      <c r="O381" s="37"/>
      <c r="P381" s="37"/>
      <c r="Q381" s="37"/>
      <c r="R381" s="192"/>
      <c r="S381" s="37"/>
      <c r="T381" s="37"/>
      <c r="U381" s="142"/>
      <c r="V381" s="262"/>
      <c r="W381" s="37"/>
      <c r="X381" s="37"/>
      <c r="Y381" s="192"/>
      <c r="Z381" s="263"/>
      <c r="AA381" s="142"/>
      <c r="AB381" s="37"/>
      <c r="AC381" s="192"/>
      <c r="AD381" s="192"/>
      <c r="AE381" s="37"/>
      <c r="AF381" s="37"/>
      <c r="AG381" s="192"/>
      <c r="AH381" s="192"/>
      <c r="AI381" s="37"/>
      <c r="AJ381" s="37"/>
      <c r="AK381" s="192"/>
      <c r="AL381" s="192"/>
      <c r="AM381" s="193"/>
      <c r="AN381" s="193"/>
      <c r="AO381" s="264"/>
      <c r="AP381" s="58"/>
      <c r="AQ381" s="37"/>
    </row>
    <row r="382" ht="15.75" customHeight="1">
      <c r="A382" s="37"/>
      <c r="B382" s="37"/>
      <c r="C382" s="37"/>
      <c r="D382" s="37"/>
      <c r="E382" s="37"/>
      <c r="F382" s="37"/>
      <c r="G382" s="37"/>
      <c r="H382" s="37"/>
      <c r="I382" s="37"/>
      <c r="J382" s="37"/>
      <c r="K382" s="37"/>
      <c r="L382" s="37"/>
      <c r="M382" s="37"/>
      <c r="N382" s="37"/>
      <c r="O382" s="37"/>
      <c r="P382" s="37"/>
      <c r="Q382" s="37"/>
      <c r="R382" s="192"/>
      <c r="S382" s="37"/>
      <c r="T382" s="37"/>
      <c r="U382" s="142"/>
      <c r="V382" s="262"/>
      <c r="W382" s="37"/>
      <c r="X382" s="37"/>
      <c r="Y382" s="192"/>
      <c r="Z382" s="263"/>
      <c r="AA382" s="142"/>
      <c r="AB382" s="37"/>
      <c r="AC382" s="192"/>
      <c r="AD382" s="192"/>
      <c r="AE382" s="37"/>
      <c r="AF382" s="37"/>
      <c r="AG382" s="192"/>
      <c r="AH382" s="192"/>
      <c r="AI382" s="37"/>
      <c r="AJ382" s="37"/>
      <c r="AK382" s="192"/>
      <c r="AL382" s="192"/>
      <c r="AM382" s="193"/>
      <c r="AN382" s="193"/>
      <c r="AO382" s="264"/>
      <c r="AP382" s="58"/>
      <c r="AQ382" s="37"/>
    </row>
    <row r="383" ht="15.75" customHeight="1">
      <c r="A383" s="37"/>
      <c r="B383" s="37"/>
      <c r="C383" s="37"/>
      <c r="D383" s="37"/>
      <c r="E383" s="37"/>
      <c r="F383" s="37"/>
      <c r="G383" s="37"/>
      <c r="H383" s="37"/>
      <c r="I383" s="37"/>
      <c r="J383" s="37"/>
      <c r="K383" s="37"/>
      <c r="L383" s="37"/>
      <c r="M383" s="37"/>
      <c r="N383" s="37"/>
      <c r="O383" s="37"/>
      <c r="P383" s="37"/>
      <c r="Q383" s="37"/>
      <c r="R383" s="192"/>
      <c r="S383" s="37"/>
      <c r="T383" s="37"/>
      <c r="U383" s="142"/>
      <c r="V383" s="262"/>
      <c r="W383" s="37"/>
      <c r="X383" s="37"/>
      <c r="Y383" s="192"/>
      <c r="Z383" s="263"/>
      <c r="AA383" s="142"/>
      <c r="AB383" s="37"/>
      <c r="AC383" s="192"/>
      <c r="AD383" s="192"/>
      <c r="AE383" s="37"/>
      <c r="AF383" s="37"/>
      <c r="AG383" s="192"/>
      <c r="AH383" s="192"/>
      <c r="AI383" s="37"/>
      <c r="AJ383" s="37"/>
      <c r="AK383" s="192"/>
      <c r="AL383" s="192"/>
      <c r="AM383" s="193"/>
      <c r="AN383" s="193"/>
      <c r="AO383" s="264"/>
      <c r="AP383" s="58"/>
      <c r="AQ383" s="37"/>
    </row>
    <row r="384" ht="15.75" customHeight="1">
      <c r="A384" s="37"/>
      <c r="B384" s="37"/>
      <c r="C384" s="37"/>
      <c r="D384" s="37"/>
      <c r="E384" s="37"/>
      <c r="F384" s="37"/>
      <c r="G384" s="37"/>
      <c r="H384" s="37"/>
      <c r="I384" s="37"/>
      <c r="J384" s="37"/>
      <c r="K384" s="37"/>
      <c r="L384" s="37"/>
      <c r="M384" s="37"/>
      <c r="N384" s="37"/>
      <c r="O384" s="37"/>
      <c r="P384" s="37"/>
      <c r="Q384" s="37"/>
      <c r="R384" s="192"/>
      <c r="S384" s="37"/>
      <c r="T384" s="37"/>
      <c r="U384" s="142"/>
      <c r="V384" s="262"/>
      <c r="W384" s="37"/>
      <c r="X384" s="37"/>
      <c r="Y384" s="192"/>
      <c r="Z384" s="263"/>
      <c r="AA384" s="142"/>
      <c r="AB384" s="37"/>
      <c r="AC384" s="192"/>
      <c r="AD384" s="192"/>
      <c r="AE384" s="37"/>
      <c r="AF384" s="37"/>
      <c r="AG384" s="192"/>
      <c r="AH384" s="192"/>
      <c r="AI384" s="37"/>
      <c r="AJ384" s="37"/>
      <c r="AK384" s="192"/>
      <c r="AL384" s="192"/>
      <c r="AM384" s="193"/>
      <c r="AN384" s="193"/>
      <c r="AO384" s="264"/>
      <c r="AP384" s="58"/>
      <c r="AQ384" s="37"/>
    </row>
    <row r="385" ht="15.75" customHeight="1">
      <c r="A385" s="37"/>
      <c r="B385" s="37"/>
      <c r="C385" s="37"/>
      <c r="D385" s="37"/>
      <c r="E385" s="37"/>
      <c r="F385" s="37"/>
      <c r="G385" s="37"/>
      <c r="H385" s="37"/>
      <c r="I385" s="37"/>
      <c r="J385" s="37"/>
      <c r="K385" s="37"/>
      <c r="L385" s="37"/>
      <c r="M385" s="37"/>
      <c r="N385" s="37"/>
      <c r="O385" s="37"/>
      <c r="P385" s="37"/>
      <c r="Q385" s="37"/>
      <c r="R385" s="192"/>
      <c r="S385" s="37"/>
      <c r="T385" s="37"/>
      <c r="U385" s="142"/>
      <c r="V385" s="262"/>
      <c r="W385" s="37"/>
      <c r="X385" s="37"/>
      <c r="Y385" s="192"/>
      <c r="Z385" s="263"/>
      <c r="AA385" s="142"/>
      <c r="AB385" s="37"/>
      <c r="AC385" s="192"/>
      <c r="AD385" s="192"/>
      <c r="AE385" s="37"/>
      <c r="AF385" s="37"/>
      <c r="AG385" s="192"/>
      <c r="AH385" s="192"/>
      <c r="AI385" s="37"/>
      <c r="AJ385" s="37"/>
      <c r="AK385" s="192"/>
      <c r="AL385" s="192"/>
      <c r="AM385" s="193"/>
      <c r="AN385" s="193"/>
      <c r="AO385" s="264"/>
      <c r="AP385" s="58"/>
      <c r="AQ385" s="37"/>
    </row>
    <row r="386" ht="15.75" customHeight="1">
      <c r="A386" s="37"/>
      <c r="B386" s="37"/>
      <c r="C386" s="37"/>
      <c r="D386" s="37"/>
      <c r="E386" s="37"/>
      <c r="F386" s="37"/>
      <c r="G386" s="37"/>
      <c r="H386" s="37"/>
      <c r="I386" s="37"/>
      <c r="J386" s="37"/>
      <c r="K386" s="37"/>
      <c r="L386" s="37"/>
      <c r="M386" s="37"/>
      <c r="N386" s="37"/>
      <c r="O386" s="37"/>
      <c r="P386" s="37"/>
      <c r="Q386" s="37"/>
      <c r="R386" s="192"/>
      <c r="S386" s="37"/>
      <c r="T386" s="37"/>
      <c r="U386" s="142"/>
      <c r="V386" s="262"/>
      <c r="W386" s="37"/>
      <c r="X386" s="37"/>
      <c r="Y386" s="192"/>
      <c r="Z386" s="263"/>
      <c r="AA386" s="142"/>
      <c r="AB386" s="37"/>
      <c r="AC386" s="192"/>
      <c r="AD386" s="192"/>
      <c r="AE386" s="37"/>
      <c r="AF386" s="37"/>
      <c r="AG386" s="192"/>
      <c r="AH386" s="192"/>
      <c r="AI386" s="37"/>
      <c r="AJ386" s="37"/>
      <c r="AK386" s="192"/>
      <c r="AL386" s="192"/>
      <c r="AM386" s="193"/>
      <c r="AN386" s="193"/>
      <c r="AO386" s="264"/>
      <c r="AP386" s="58"/>
      <c r="AQ386" s="37"/>
    </row>
    <row r="387" ht="15.75" customHeight="1">
      <c r="A387" s="37"/>
      <c r="B387" s="37"/>
      <c r="C387" s="37"/>
      <c r="D387" s="37"/>
      <c r="E387" s="37"/>
      <c r="F387" s="37"/>
      <c r="G387" s="37"/>
      <c r="H387" s="37"/>
      <c r="I387" s="37"/>
      <c r="J387" s="37"/>
      <c r="K387" s="37"/>
      <c r="L387" s="37"/>
      <c r="M387" s="37"/>
      <c r="N387" s="37"/>
      <c r="O387" s="37"/>
      <c r="P387" s="37"/>
      <c r="Q387" s="37"/>
      <c r="R387" s="192"/>
      <c r="S387" s="37"/>
      <c r="T387" s="37"/>
      <c r="U387" s="142"/>
      <c r="V387" s="262"/>
      <c r="W387" s="37"/>
      <c r="X387" s="37"/>
      <c r="Y387" s="192"/>
      <c r="Z387" s="263"/>
      <c r="AA387" s="142"/>
      <c r="AB387" s="37"/>
      <c r="AC387" s="192"/>
      <c r="AD387" s="192"/>
      <c r="AE387" s="37"/>
      <c r="AF387" s="37"/>
      <c r="AG387" s="192"/>
      <c r="AH387" s="192"/>
      <c r="AI387" s="37"/>
      <c r="AJ387" s="37"/>
      <c r="AK387" s="192"/>
      <c r="AL387" s="192"/>
      <c r="AM387" s="193"/>
      <c r="AN387" s="193"/>
      <c r="AO387" s="264"/>
      <c r="AP387" s="58"/>
      <c r="AQ387" s="37"/>
    </row>
    <row r="388" ht="15.75" customHeight="1">
      <c r="A388" s="37"/>
      <c r="B388" s="37"/>
      <c r="C388" s="37"/>
      <c r="D388" s="37"/>
      <c r="E388" s="37"/>
      <c r="F388" s="37"/>
      <c r="G388" s="37"/>
      <c r="H388" s="37"/>
      <c r="I388" s="37"/>
      <c r="J388" s="37"/>
      <c r="K388" s="37"/>
      <c r="L388" s="37"/>
      <c r="M388" s="37"/>
      <c r="N388" s="37"/>
      <c r="O388" s="37"/>
      <c r="P388" s="37"/>
      <c r="Q388" s="37"/>
      <c r="R388" s="192"/>
      <c r="S388" s="37"/>
      <c r="T388" s="37"/>
      <c r="U388" s="142"/>
      <c r="V388" s="262"/>
      <c r="W388" s="37"/>
      <c r="X388" s="37"/>
      <c r="Y388" s="192"/>
      <c r="Z388" s="263"/>
      <c r="AA388" s="142"/>
      <c r="AB388" s="37"/>
      <c r="AC388" s="192"/>
      <c r="AD388" s="192"/>
      <c r="AE388" s="37"/>
      <c r="AF388" s="37"/>
      <c r="AG388" s="192"/>
      <c r="AH388" s="192"/>
      <c r="AI388" s="37"/>
      <c r="AJ388" s="37"/>
      <c r="AK388" s="192"/>
      <c r="AL388" s="192"/>
      <c r="AM388" s="193"/>
      <c r="AN388" s="193"/>
      <c r="AO388" s="264"/>
      <c r="AP388" s="58"/>
      <c r="AQ388" s="37"/>
    </row>
    <row r="389" ht="15.75" customHeight="1">
      <c r="A389" s="37"/>
      <c r="B389" s="37"/>
      <c r="C389" s="37"/>
      <c r="D389" s="37"/>
      <c r="E389" s="37"/>
      <c r="F389" s="37"/>
      <c r="G389" s="37"/>
      <c r="H389" s="37"/>
      <c r="I389" s="37"/>
      <c r="J389" s="37"/>
      <c r="K389" s="37"/>
      <c r="L389" s="37"/>
      <c r="M389" s="37"/>
      <c r="N389" s="37"/>
      <c r="O389" s="37"/>
      <c r="P389" s="37"/>
      <c r="Q389" s="37"/>
      <c r="R389" s="192"/>
      <c r="S389" s="37"/>
      <c r="T389" s="37"/>
      <c r="U389" s="142"/>
      <c r="V389" s="262"/>
      <c r="W389" s="37"/>
      <c r="X389" s="37"/>
      <c r="Y389" s="192"/>
      <c r="Z389" s="263"/>
      <c r="AA389" s="142"/>
      <c r="AB389" s="37"/>
      <c r="AC389" s="192"/>
      <c r="AD389" s="192"/>
      <c r="AE389" s="37"/>
      <c r="AF389" s="37"/>
      <c r="AG389" s="192"/>
      <c r="AH389" s="192"/>
      <c r="AI389" s="37"/>
      <c r="AJ389" s="37"/>
      <c r="AK389" s="192"/>
      <c r="AL389" s="192"/>
      <c r="AM389" s="193"/>
      <c r="AN389" s="193"/>
      <c r="AO389" s="264"/>
      <c r="AP389" s="58"/>
      <c r="AQ389" s="37"/>
    </row>
    <row r="390" ht="15.75" customHeight="1">
      <c r="A390" s="37"/>
      <c r="B390" s="37"/>
      <c r="C390" s="37"/>
      <c r="D390" s="37"/>
      <c r="E390" s="37"/>
      <c r="F390" s="37"/>
      <c r="G390" s="37"/>
      <c r="H390" s="37"/>
      <c r="I390" s="37"/>
      <c r="J390" s="37"/>
      <c r="K390" s="37"/>
      <c r="L390" s="37"/>
      <c r="M390" s="37"/>
      <c r="N390" s="37"/>
      <c r="O390" s="37"/>
      <c r="P390" s="37"/>
      <c r="Q390" s="37"/>
      <c r="R390" s="192"/>
      <c r="S390" s="37"/>
      <c r="T390" s="37"/>
      <c r="U390" s="142"/>
      <c r="V390" s="262"/>
      <c r="W390" s="37"/>
      <c r="X390" s="37"/>
      <c r="Y390" s="192"/>
      <c r="Z390" s="263"/>
      <c r="AA390" s="142"/>
      <c r="AB390" s="37"/>
      <c r="AC390" s="192"/>
      <c r="AD390" s="192"/>
      <c r="AE390" s="265"/>
      <c r="AF390" s="37"/>
      <c r="AG390" s="192"/>
      <c r="AH390" s="192"/>
      <c r="AI390" s="37"/>
      <c r="AJ390" s="37"/>
      <c r="AK390" s="192"/>
      <c r="AL390" s="192"/>
      <c r="AM390" s="193"/>
      <c r="AN390" s="193"/>
      <c r="AO390" s="264"/>
      <c r="AP390" s="58"/>
      <c r="AQ390" s="37"/>
    </row>
    <row r="391" ht="15.75" customHeight="1">
      <c r="A391" s="37"/>
      <c r="B391" s="37"/>
      <c r="C391" s="37"/>
      <c r="D391" s="37"/>
      <c r="E391" s="37"/>
      <c r="F391" s="37"/>
      <c r="G391" s="37"/>
      <c r="H391" s="37"/>
      <c r="I391" s="37"/>
      <c r="J391" s="37"/>
      <c r="K391" s="37"/>
      <c r="L391" s="37"/>
      <c r="M391" s="37"/>
      <c r="N391" s="37"/>
      <c r="O391" s="37"/>
      <c r="P391" s="37"/>
      <c r="Q391" s="37"/>
      <c r="R391" s="192"/>
      <c r="S391" s="37"/>
      <c r="T391" s="37"/>
      <c r="U391" s="142"/>
      <c r="V391" s="262"/>
      <c r="W391" s="37"/>
      <c r="X391" s="37"/>
      <c r="Y391" s="192"/>
      <c r="Z391" s="263"/>
      <c r="AA391" s="142"/>
      <c r="AB391" s="37"/>
      <c r="AC391" s="192"/>
      <c r="AD391" s="192"/>
      <c r="AE391" s="265"/>
      <c r="AF391" s="37"/>
      <c r="AG391" s="192"/>
      <c r="AH391" s="192"/>
      <c r="AI391" s="37"/>
      <c r="AJ391" s="37"/>
      <c r="AK391" s="192"/>
      <c r="AL391" s="192"/>
      <c r="AM391" s="193"/>
      <c r="AN391" s="193"/>
      <c r="AO391" s="264"/>
      <c r="AP391" s="58"/>
      <c r="AQ391" s="37"/>
    </row>
    <row r="392" ht="15.75" customHeight="1">
      <c r="A392" s="37"/>
      <c r="B392" s="37"/>
      <c r="C392" s="37"/>
      <c r="D392" s="37"/>
      <c r="E392" s="37"/>
      <c r="F392" s="37"/>
      <c r="G392" s="37"/>
      <c r="H392" s="37"/>
      <c r="I392" s="37"/>
      <c r="J392" s="37"/>
      <c r="K392" s="37"/>
      <c r="L392" s="37"/>
      <c r="M392" s="37"/>
      <c r="N392" s="37"/>
      <c r="O392" s="37"/>
      <c r="P392" s="37"/>
      <c r="Q392" s="37"/>
      <c r="R392" s="192"/>
      <c r="S392" s="37"/>
      <c r="T392" s="37"/>
      <c r="U392" s="142"/>
      <c r="V392" s="262"/>
      <c r="W392" s="37"/>
      <c r="X392" s="37"/>
      <c r="Y392" s="192"/>
      <c r="Z392" s="263"/>
      <c r="AA392" s="142"/>
      <c r="AB392" s="37"/>
      <c r="AC392" s="192"/>
      <c r="AD392" s="192"/>
      <c r="AE392" s="265"/>
      <c r="AF392" s="37"/>
      <c r="AG392" s="192"/>
      <c r="AH392" s="192"/>
      <c r="AI392" s="37"/>
      <c r="AJ392" s="37"/>
      <c r="AK392" s="192"/>
      <c r="AL392" s="192"/>
      <c r="AM392" s="193"/>
      <c r="AN392" s="193"/>
      <c r="AO392" s="264"/>
      <c r="AP392" s="58"/>
      <c r="AQ392" s="37"/>
    </row>
    <row r="393" ht="15.75" customHeight="1">
      <c r="A393" s="37"/>
      <c r="B393" s="37"/>
      <c r="C393" s="37"/>
      <c r="D393" s="37"/>
      <c r="E393" s="37"/>
      <c r="F393" s="37"/>
      <c r="G393" s="37"/>
      <c r="H393" s="37"/>
      <c r="I393" s="37"/>
      <c r="J393" s="37"/>
      <c r="K393" s="37"/>
      <c r="L393" s="37"/>
      <c r="M393" s="37"/>
      <c r="N393" s="37"/>
      <c r="O393" s="37"/>
      <c r="P393" s="37"/>
      <c r="Q393" s="37"/>
      <c r="R393" s="192"/>
      <c r="S393" s="37"/>
      <c r="T393" s="37"/>
      <c r="U393" s="142"/>
      <c r="V393" s="262"/>
      <c r="W393" s="37"/>
      <c r="X393" s="37"/>
      <c r="Y393" s="192"/>
      <c r="Z393" s="263"/>
      <c r="AA393" s="142"/>
      <c r="AB393" s="37"/>
      <c r="AC393" s="192"/>
      <c r="AD393" s="192"/>
      <c r="AE393" s="265"/>
      <c r="AF393" s="37"/>
      <c r="AG393" s="192"/>
      <c r="AH393" s="192"/>
      <c r="AI393" s="37"/>
      <c r="AJ393" s="37"/>
      <c r="AK393" s="192"/>
      <c r="AL393" s="192"/>
      <c r="AM393" s="193"/>
      <c r="AN393" s="193"/>
      <c r="AO393" s="264"/>
      <c r="AP393" s="58"/>
      <c r="AQ393" s="37"/>
    </row>
    <row r="394" ht="15.75" customHeight="1">
      <c r="A394" s="37"/>
      <c r="B394" s="37"/>
      <c r="C394" s="37"/>
      <c r="D394" s="37"/>
      <c r="E394" s="37"/>
      <c r="F394" s="37"/>
      <c r="G394" s="37"/>
      <c r="H394" s="37"/>
      <c r="I394" s="37"/>
      <c r="J394" s="37"/>
      <c r="K394" s="37"/>
      <c r="L394" s="37"/>
      <c r="M394" s="37"/>
      <c r="N394" s="37"/>
      <c r="O394" s="37"/>
      <c r="P394" s="37"/>
      <c r="Q394" s="37"/>
      <c r="R394" s="192"/>
      <c r="S394" s="37"/>
      <c r="T394" s="37"/>
      <c r="U394" s="142"/>
      <c r="V394" s="262"/>
      <c r="W394" s="37"/>
      <c r="X394" s="37"/>
      <c r="Y394" s="192"/>
      <c r="Z394" s="263"/>
      <c r="AA394" s="142"/>
      <c r="AB394" s="37"/>
      <c r="AC394" s="192"/>
      <c r="AD394" s="192"/>
      <c r="AE394" s="37"/>
      <c r="AF394" s="37"/>
      <c r="AG394" s="192"/>
      <c r="AH394" s="192"/>
      <c r="AI394" s="37"/>
      <c r="AJ394" s="37"/>
      <c r="AK394" s="192"/>
      <c r="AL394" s="192"/>
      <c r="AM394" s="193"/>
      <c r="AN394" s="193"/>
      <c r="AO394" s="264"/>
      <c r="AP394" s="58"/>
      <c r="AQ394" s="37"/>
    </row>
    <row r="395" ht="15.75" customHeight="1">
      <c r="A395" s="37"/>
      <c r="B395" s="37"/>
      <c r="C395" s="37"/>
      <c r="D395" s="37"/>
      <c r="E395" s="37"/>
      <c r="F395" s="37"/>
      <c r="G395" s="37"/>
      <c r="H395" s="37"/>
      <c r="I395" s="37"/>
      <c r="J395" s="37"/>
      <c r="K395" s="37"/>
      <c r="L395" s="37"/>
      <c r="M395" s="37"/>
      <c r="N395" s="37"/>
      <c r="O395" s="37"/>
      <c r="P395" s="37"/>
      <c r="Q395" s="37"/>
      <c r="R395" s="192"/>
      <c r="S395" s="37"/>
      <c r="T395" s="37"/>
      <c r="U395" s="142"/>
      <c r="V395" s="262"/>
      <c r="W395" s="37"/>
      <c r="X395" s="37"/>
      <c r="Y395" s="192"/>
      <c r="Z395" s="263"/>
      <c r="AA395" s="142"/>
      <c r="AB395" s="37"/>
      <c r="AC395" s="192"/>
      <c r="AD395" s="192"/>
      <c r="AE395" s="37"/>
      <c r="AF395" s="37"/>
      <c r="AG395" s="192"/>
      <c r="AH395" s="192"/>
      <c r="AI395" s="37"/>
      <c r="AJ395" s="37"/>
      <c r="AK395" s="192"/>
      <c r="AL395" s="192"/>
      <c r="AM395" s="193"/>
      <c r="AN395" s="193"/>
      <c r="AO395" s="264"/>
      <c r="AP395" s="58"/>
      <c r="AQ395" s="37"/>
    </row>
    <row r="396" ht="15.75" customHeight="1">
      <c r="A396" s="37"/>
      <c r="B396" s="37"/>
      <c r="C396" s="37"/>
      <c r="D396" s="37"/>
      <c r="E396" s="37"/>
      <c r="F396" s="37"/>
      <c r="G396" s="37"/>
      <c r="H396" s="37"/>
      <c r="I396" s="37"/>
      <c r="J396" s="37"/>
      <c r="K396" s="37"/>
      <c r="L396" s="37"/>
      <c r="M396" s="37"/>
      <c r="N396" s="37"/>
      <c r="O396" s="37"/>
      <c r="P396" s="37"/>
      <c r="Q396" s="37"/>
      <c r="R396" s="192"/>
      <c r="S396" s="37"/>
      <c r="T396" s="37"/>
      <c r="U396" s="142"/>
      <c r="V396" s="262"/>
      <c r="W396" s="37"/>
      <c r="X396" s="37"/>
      <c r="Y396" s="192"/>
      <c r="Z396" s="263"/>
      <c r="AA396" s="142"/>
      <c r="AB396" s="37"/>
      <c r="AC396" s="192"/>
      <c r="AD396" s="192"/>
      <c r="AE396" s="37"/>
      <c r="AF396" s="37"/>
      <c r="AG396" s="192"/>
      <c r="AH396" s="192"/>
      <c r="AI396" s="37"/>
      <c r="AJ396" s="37"/>
      <c r="AK396" s="192"/>
      <c r="AL396" s="192"/>
      <c r="AM396" s="193"/>
      <c r="AN396" s="193"/>
      <c r="AO396" s="264"/>
      <c r="AP396" s="58"/>
      <c r="AQ396" s="37"/>
    </row>
    <row r="397" ht="15.75" customHeight="1">
      <c r="A397" s="37"/>
      <c r="B397" s="37"/>
      <c r="C397" s="37"/>
      <c r="D397" s="37"/>
      <c r="E397" s="37"/>
      <c r="F397" s="37"/>
      <c r="G397" s="37"/>
      <c r="H397" s="37"/>
      <c r="I397" s="37"/>
      <c r="J397" s="37"/>
      <c r="K397" s="37"/>
      <c r="L397" s="37"/>
      <c r="M397" s="37"/>
      <c r="N397" s="37"/>
      <c r="O397" s="37"/>
      <c r="P397" s="37"/>
      <c r="Q397" s="37"/>
      <c r="R397" s="192"/>
      <c r="S397" s="37"/>
      <c r="T397" s="37"/>
      <c r="U397" s="142"/>
      <c r="V397" s="262"/>
      <c r="W397" s="37"/>
      <c r="X397" s="37"/>
      <c r="Y397" s="192"/>
      <c r="Z397" s="263"/>
      <c r="AA397" s="142"/>
      <c r="AB397" s="37"/>
      <c r="AC397" s="192"/>
      <c r="AD397" s="192"/>
      <c r="AE397" s="37"/>
      <c r="AF397" s="37"/>
      <c r="AG397" s="192"/>
      <c r="AH397" s="192"/>
      <c r="AI397" s="37"/>
      <c r="AJ397" s="37"/>
      <c r="AK397" s="192"/>
      <c r="AL397" s="192"/>
      <c r="AM397" s="193"/>
      <c r="AN397" s="193"/>
      <c r="AO397" s="264"/>
      <c r="AP397" s="58"/>
      <c r="AQ397" s="37"/>
    </row>
    <row r="398" ht="15.75" customHeight="1">
      <c r="A398" s="37"/>
      <c r="B398" s="37"/>
      <c r="C398" s="37"/>
      <c r="D398" s="37"/>
      <c r="E398" s="37"/>
      <c r="F398" s="37"/>
      <c r="G398" s="37"/>
      <c r="H398" s="37"/>
      <c r="I398" s="37"/>
      <c r="J398" s="37"/>
      <c r="K398" s="37"/>
      <c r="L398" s="37"/>
      <c r="M398" s="37"/>
      <c r="N398" s="37"/>
      <c r="O398" s="37"/>
      <c r="P398" s="37"/>
      <c r="Q398" s="37"/>
      <c r="R398" s="192"/>
      <c r="S398" s="37"/>
      <c r="T398" s="37"/>
      <c r="U398" s="142"/>
      <c r="V398" s="262"/>
      <c r="W398" s="37"/>
      <c r="X398" s="37"/>
      <c r="Y398" s="192"/>
      <c r="Z398" s="263"/>
      <c r="AA398" s="142"/>
      <c r="AB398" s="37"/>
      <c r="AC398" s="192"/>
      <c r="AD398" s="192"/>
      <c r="AE398" s="37"/>
      <c r="AF398" s="37"/>
      <c r="AG398" s="192"/>
      <c r="AH398" s="192"/>
      <c r="AI398" s="37"/>
      <c r="AJ398" s="37"/>
      <c r="AK398" s="192"/>
      <c r="AL398" s="192"/>
      <c r="AM398" s="193"/>
      <c r="AN398" s="193"/>
      <c r="AO398" s="264"/>
      <c r="AP398" s="58"/>
      <c r="AQ398" s="37"/>
    </row>
    <row r="399" ht="15.75" customHeight="1">
      <c r="A399" s="37"/>
      <c r="B399" s="37"/>
      <c r="C399" s="37"/>
      <c r="D399" s="37"/>
      <c r="E399" s="37"/>
      <c r="F399" s="37"/>
      <c r="G399" s="37"/>
      <c r="H399" s="37"/>
      <c r="I399" s="37"/>
      <c r="J399" s="37"/>
      <c r="K399" s="37"/>
      <c r="L399" s="37"/>
      <c r="M399" s="37"/>
      <c r="N399" s="37"/>
      <c r="O399" s="37"/>
      <c r="P399" s="37"/>
      <c r="Q399" s="37"/>
      <c r="R399" s="192"/>
      <c r="S399" s="37"/>
      <c r="T399" s="37"/>
      <c r="U399" s="142"/>
      <c r="V399" s="262"/>
      <c r="W399" s="37"/>
      <c r="X399" s="37"/>
      <c r="Y399" s="192"/>
      <c r="Z399" s="263"/>
      <c r="AA399" s="142"/>
      <c r="AB399" s="37"/>
      <c r="AC399" s="192"/>
      <c r="AD399" s="192"/>
      <c r="AE399" s="37"/>
      <c r="AF399" s="37"/>
      <c r="AG399" s="192"/>
      <c r="AH399" s="192"/>
      <c r="AI399" s="37"/>
      <c r="AJ399" s="37"/>
      <c r="AK399" s="192"/>
      <c r="AL399" s="192"/>
      <c r="AM399" s="193"/>
      <c r="AN399" s="193"/>
      <c r="AO399" s="264"/>
      <c r="AP399" s="58"/>
      <c r="AQ399" s="37"/>
    </row>
    <row r="400" ht="15.75" customHeight="1">
      <c r="A400" s="37"/>
      <c r="B400" s="37"/>
      <c r="C400" s="37"/>
      <c r="D400" s="37"/>
      <c r="E400" s="37"/>
      <c r="F400" s="37"/>
      <c r="G400" s="37"/>
      <c r="H400" s="37"/>
      <c r="I400" s="37"/>
      <c r="J400" s="37"/>
      <c r="K400" s="37"/>
      <c r="L400" s="37"/>
      <c r="M400" s="37"/>
      <c r="N400" s="37"/>
      <c r="O400" s="37"/>
      <c r="P400" s="37"/>
      <c r="Q400" s="37"/>
      <c r="R400" s="192"/>
      <c r="S400" s="37"/>
      <c r="T400" s="37"/>
      <c r="U400" s="142"/>
      <c r="V400" s="262"/>
      <c r="W400" s="37"/>
      <c r="X400" s="37"/>
      <c r="Y400" s="192"/>
      <c r="Z400" s="263"/>
      <c r="AA400" s="142"/>
      <c r="AB400" s="37"/>
      <c r="AC400" s="192"/>
      <c r="AD400" s="192"/>
      <c r="AE400" s="37"/>
      <c r="AF400" s="37"/>
      <c r="AG400" s="192"/>
      <c r="AH400" s="192"/>
      <c r="AI400" s="37"/>
      <c r="AJ400" s="37"/>
      <c r="AK400" s="192"/>
      <c r="AL400" s="192"/>
      <c r="AM400" s="193"/>
      <c r="AN400" s="193"/>
      <c r="AO400" s="264"/>
      <c r="AP400" s="58"/>
      <c r="AQ400" s="37"/>
    </row>
    <row r="401" ht="15.75" customHeight="1">
      <c r="A401" s="37"/>
      <c r="B401" s="37"/>
      <c r="C401" s="37"/>
      <c r="D401" s="37"/>
      <c r="E401" s="37"/>
      <c r="F401" s="37"/>
      <c r="G401" s="37"/>
      <c r="H401" s="37"/>
      <c r="I401" s="37"/>
      <c r="J401" s="37"/>
      <c r="K401" s="37"/>
      <c r="L401" s="37"/>
      <c r="M401" s="37"/>
      <c r="N401" s="37"/>
      <c r="O401" s="37"/>
      <c r="P401" s="37"/>
      <c r="Q401" s="37"/>
      <c r="R401" s="192"/>
      <c r="S401" s="37"/>
      <c r="T401" s="37"/>
      <c r="U401" s="142"/>
      <c r="V401" s="262"/>
      <c r="W401" s="37"/>
      <c r="X401" s="37"/>
      <c r="Y401" s="192"/>
      <c r="Z401" s="263"/>
      <c r="AA401" s="142"/>
      <c r="AB401" s="37"/>
      <c r="AC401" s="192"/>
      <c r="AD401" s="192"/>
      <c r="AE401" s="37"/>
      <c r="AF401" s="37"/>
      <c r="AG401" s="192"/>
      <c r="AH401" s="192"/>
      <c r="AI401" s="37"/>
      <c r="AJ401" s="37"/>
      <c r="AK401" s="192"/>
      <c r="AL401" s="192"/>
      <c r="AM401" s="193"/>
      <c r="AN401" s="193"/>
      <c r="AO401" s="264"/>
      <c r="AP401" s="58"/>
      <c r="AQ401" s="37"/>
    </row>
    <row r="402" ht="15.75" customHeight="1">
      <c r="A402" s="37"/>
      <c r="B402" s="37"/>
      <c r="C402" s="37"/>
      <c r="D402" s="37"/>
      <c r="E402" s="37"/>
      <c r="F402" s="37"/>
      <c r="G402" s="37"/>
      <c r="H402" s="37"/>
      <c r="I402" s="37"/>
      <c r="J402" s="37"/>
      <c r="K402" s="37"/>
      <c r="L402" s="37"/>
      <c r="M402" s="37"/>
      <c r="N402" s="37"/>
      <c r="O402" s="37"/>
      <c r="P402" s="37"/>
      <c r="Q402" s="37"/>
      <c r="R402" s="192"/>
      <c r="S402" s="37"/>
      <c r="T402" s="37"/>
      <c r="U402" s="142"/>
      <c r="V402" s="262"/>
      <c r="W402" s="37"/>
      <c r="X402" s="37"/>
      <c r="Y402" s="192"/>
      <c r="Z402" s="263"/>
      <c r="AA402" s="142"/>
      <c r="AB402" s="37"/>
      <c r="AC402" s="192"/>
      <c r="AD402" s="192"/>
      <c r="AE402" s="37"/>
      <c r="AF402" s="37"/>
      <c r="AG402" s="192"/>
      <c r="AH402" s="192"/>
      <c r="AI402" s="37"/>
      <c r="AJ402" s="37"/>
      <c r="AK402" s="192"/>
      <c r="AL402" s="192"/>
      <c r="AM402" s="193"/>
      <c r="AN402" s="193"/>
      <c r="AO402" s="264"/>
      <c r="AP402" s="58"/>
      <c r="AQ402" s="37"/>
    </row>
    <row r="403" ht="15.75" customHeight="1">
      <c r="A403" s="37"/>
      <c r="B403" s="37"/>
      <c r="C403" s="37"/>
      <c r="D403" s="37"/>
      <c r="E403" s="37"/>
      <c r="F403" s="37"/>
      <c r="G403" s="37"/>
      <c r="H403" s="37"/>
      <c r="I403" s="37"/>
      <c r="J403" s="37"/>
      <c r="K403" s="37"/>
      <c r="L403" s="37"/>
      <c r="M403" s="37"/>
      <c r="N403" s="37"/>
      <c r="O403" s="37"/>
      <c r="P403" s="37"/>
      <c r="Q403" s="37"/>
      <c r="R403" s="192"/>
      <c r="S403" s="37"/>
      <c r="T403" s="37"/>
      <c r="U403" s="142"/>
      <c r="V403" s="262"/>
      <c r="W403" s="37"/>
      <c r="X403" s="37"/>
      <c r="Y403" s="192"/>
      <c r="Z403" s="263"/>
      <c r="AA403" s="142"/>
      <c r="AB403" s="37"/>
      <c r="AC403" s="192"/>
      <c r="AD403" s="192"/>
      <c r="AE403" s="37"/>
      <c r="AF403" s="37"/>
      <c r="AG403" s="192"/>
      <c r="AH403" s="192"/>
      <c r="AI403" s="37"/>
      <c r="AJ403" s="37"/>
      <c r="AK403" s="192"/>
      <c r="AL403" s="192"/>
      <c r="AM403" s="193"/>
      <c r="AN403" s="193"/>
      <c r="AO403" s="264"/>
      <c r="AP403" s="58"/>
      <c r="AQ403" s="37"/>
    </row>
    <row r="404" ht="15.75" customHeight="1">
      <c r="A404" s="37"/>
      <c r="B404" s="37"/>
      <c r="C404" s="37"/>
      <c r="D404" s="37"/>
      <c r="E404" s="37"/>
      <c r="F404" s="37"/>
      <c r="G404" s="37"/>
      <c r="H404" s="37"/>
      <c r="I404" s="37"/>
      <c r="J404" s="37"/>
      <c r="K404" s="37"/>
      <c r="L404" s="37"/>
      <c r="M404" s="37"/>
      <c r="N404" s="37"/>
      <c r="O404" s="37"/>
      <c r="P404" s="37"/>
      <c r="Q404" s="37"/>
      <c r="R404" s="192"/>
      <c r="S404" s="37"/>
      <c r="T404" s="37"/>
      <c r="U404" s="142"/>
      <c r="V404" s="262"/>
      <c r="W404" s="37"/>
      <c r="X404" s="37"/>
      <c r="Y404" s="192"/>
      <c r="Z404" s="263"/>
      <c r="AA404" s="142"/>
      <c r="AB404" s="37"/>
      <c r="AC404" s="192"/>
      <c r="AD404" s="192"/>
      <c r="AE404" s="37"/>
      <c r="AF404" s="37"/>
      <c r="AG404" s="192"/>
      <c r="AH404" s="192"/>
      <c r="AI404" s="37"/>
      <c r="AJ404" s="37"/>
      <c r="AK404" s="192"/>
      <c r="AL404" s="192"/>
      <c r="AM404" s="193"/>
      <c r="AN404" s="193"/>
      <c r="AO404" s="264"/>
      <c r="AP404" s="58"/>
      <c r="AQ404" s="37"/>
    </row>
    <row r="405" ht="15.75" customHeight="1">
      <c r="A405" s="37"/>
      <c r="B405" s="37"/>
      <c r="C405" s="37"/>
      <c r="D405" s="37"/>
      <c r="E405" s="37"/>
      <c r="F405" s="37"/>
      <c r="G405" s="37"/>
      <c r="H405" s="37"/>
      <c r="I405" s="37"/>
      <c r="J405" s="37"/>
      <c r="K405" s="37"/>
      <c r="L405" s="37"/>
      <c r="M405" s="37"/>
      <c r="N405" s="37"/>
      <c r="O405" s="37"/>
      <c r="P405" s="37"/>
      <c r="Q405" s="37"/>
      <c r="R405" s="192"/>
      <c r="S405" s="37"/>
      <c r="T405" s="37"/>
      <c r="U405" s="142"/>
      <c r="V405" s="262"/>
      <c r="W405" s="37"/>
      <c r="X405" s="37"/>
      <c r="Y405" s="192"/>
      <c r="Z405" s="263"/>
      <c r="AA405" s="142"/>
      <c r="AB405" s="37"/>
      <c r="AC405" s="192"/>
      <c r="AD405" s="192"/>
      <c r="AE405" s="37"/>
      <c r="AF405" s="37"/>
      <c r="AG405" s="192"/>
      <c r="AH405" s="192"/>
      <c r="AI405" s="37"/>
      <c r="AJ405" s="37"/>
      <c r="AK405" s="192"/>
      <c r="AL405" s="192"/>
      <c r="AM405" s="193"/>
      <c r="AN405" s="193"/>
      <c r="AO405" s="264"/>
      <c r="AP405" s="58"/>
      <c r="AQ405" s="37"/>
    </row>
    <row r="406" ht="15.75" customHeight="1">
      <c r="A406" s="37"/>
      <c r="B406" s="37"/>
      <c r="C406" s="37"/>
      <c r="D406" s="37"/>
      <c r="E406" s="37"/>
      <c r="F406" s="37"/>
      <c r="G406" s="37"/>
      <c r="H406" s="37"/>
      <c r="I406" s="37"/>
      <c r="J406" s="37"/>
      <c r="K406" s="37"/>
      <c r="L406" s="37"/>
      <c r="M406" s="37"/>
      <c r="N406" s="37"/>
      <c r="O406" s="37"/>
      <c r="P406" s="37"/>
      <c r="Q406" s="37"/>
      <c r="R406" s="192"/>
      <c r="S406" s="37"/>
      <c r="T406" s="37"/>
      <c r="U406" s="142"/>
      <c r="V406" s="262"/>
      <c r="W406" s="37"/>
      <c r="X406" s="37"/>
      <c r="Y406" s="192"/>
      <c r="Z406" s="263"/>
      <c r="AA406" s="142"/>
      <c r="AB406" s="37"/>
      <c r="AC406" s="192"/>
      <c r="AD406" s="192"/>
      <c r="AE406" s="37"/>
      <c r="AF406" s="37"/>
      <c r="AG406" s="192"/>
      <c r="AH406" s="192"/>
      <c r="AI406" s="37"/>
      <c r="AJ406" s="37"/>
      <c r="AK406" s="192"/>
      <c r="AL406" s="192"/>
      <c r="AM406" s="193"/>
      <c r="AN406" s="193"/>
      <c r="AO406" s="264"/>
      <c r="AP406" s="58"/>
      <c r="AQ406" s="37"/>
    </row>
    <row r="407" ht="15.75" customHeight="1">
      <c r="A407" s="37"/>
      <c r="B407" s="37"/>
      <c r="C407" s="37"/>
      <c r="D407" s="37"/>
      <c r="E407" s="37"/>
      <c r="F407" s="37"/>
      <c r="G407" s="37"/>
      <c r="H407" s="37"/>
      <c r="I407" s="37"/>
      <c r="J407" s="37"/>
      <c r="K407" s="37"/>
      <c r="L407" s="37"/>
      <c r="M407" s="37"/>
      <c r="N407" s="37"/>
      <c r="O407" s="37"/>
      <c r="P407" s="37"/>
      <c r="Q407" s="37"/>
      <c r="R407" s="192"/>
      <c r="S407" s="37"/>
      <c r="T407" s="37"/>
      <c r="U407" s="142"/>
      <c r="V407" s="262"/>
      <c r="W407" s="37"/>
      <c r="X407" s="37"/>
      <c r="Y407" s="192"/>
      <c r="Z407" s="263"/>
      <c r="AA407" s="142"/>
      <c r="AB407" s="37"/>
      <c r="AC407" s="192"/>
      <c r="AD407" s="192"/>
      <c r="AE407" s="37"/>
      <c r="AF407" s="37"/>
      <c r="AG407" s="192"/>
      <c r="AH407" s="192"/>
      <c r="AI407" s="37"/>
      <c r="AJ407" s="37"/>
      <c r="AK407" s="192"/>
      <c r="AL407" s="192"/>
      <c r="AM407" s="193"/>
      <c r="AN407" s="193"/>
      <c r="AO407" s="264"/>
      <c r="AP407" s="58"/>
      <c r="AQ407" s="37"/>
    </row>
    <row r="408" ht="15.75" customHeight="1">
      <c r="A408" s="37"/>
      <c r="B408" s="37"/>
      <c r="C408" s="37"/>
      <c r="D408" s="37"/>
      <c r="E408" s="37"/>
      <c r="F408" s="37"/>
      <c r="G408" s="37"/>
      <c r="H408" s="37"/>
      <c r="I408" s="37"/>
      <c r="J408" s="37"/>
      <c r="K408" s="37"/>
      <c r="L408" s="37"/>
      <c r="M408" s="37"/>
      <c r="N408" s="37"/>
      <c r="O408" s="37"/>
      <c r="P408" s="37"/>
      <c r="Q408" s="37"/>
      <c r="R408" s="192"/>
      <c r="S408" s="37"/>
      <c r="T408" s="37"/>
      <c r="U408" s="142"/>
      <c r="V408" s="262"/>
      <c r="W408" s="37"/>
      <c r="X408" s="37"/>
      <c r="Y408" s="192"/>
      <c r="Z408" s="263"/>
      <c r="AA408" s="142"/>
      <c r="AB408" s="37"/>
      <c r="AC408" s="192"/>
      <c r="AD408" s="192"/>
      <c r="AE408" s="37"/>
      <c r="AF408" s="37"/>
      <c r="AG408" s="192"/>
      <c r="AH408" s="192"/>
      <c r="AI408" s="37"/>
      <c r="AJ408" s="37"/>
      <c r="AK408" s="192"/>
      <c r="AL408" s="192"/>
      <c r="AM408" s="193"/>
      <c r="AN408" s="193"/>
      <c r="AO408" s="264"/>
      <c r="AP408" s="58"/>
      <c r="AQ408" s="37"/>
    </row>
    <row r="409" ht="15.75" customHeight="1">
      <c r="A409" s="37"/>
      <c r="B409" s="37"/>
      <c r="C409" s="37"/>
      <c r="D409" s="37"/>
      <c r="E409" s="37"/>
      <c r="F409" s="37"/>
      <c r="G409" s="37"/>
      <c r="H409" s="37"/>
      <c r="I409" s="37"/>
      <c r="J409" s="37"/>
      <c r="K409" s="37"/>
      <c r="L409" s="37"/>
      <c r="M409" s="37"/>
      <c r="N409" s="37"/>
      <c r="O409" s="37"/>
      <c r="P409" s="37"/>
      <c r="Q409" s="37"/>
      <c r="R409" s="192"/>
      <c r="S409" s="37"/>
      <c r="T409" s="37"/>
      <c r="U409" s="142"/>
      <c r="V409" s="262"/>
      <c r="W409" s="37"/>
      <c r="X409" s="37"/>
      <c r="Y409" s="192"/>
      <c r="Z409" s="263"/>
      <c r="AA409" s="142"/>
      <c r="AB409" s="37"/>
      <c r="AC409" s="192"/>
      <c r="AD409" s="192"/>
      <c r="AE409" s="37"/>
      <c r="AF409" s="37"/>
      <c r="AG409" s="192"/>
      <c r="AH409" s="192"/>
      <c r="AI409" s="37"/>
      <c r="AJ409" s="37"/>
      <c r="AK409" s="192"/>
      <c r="AL409" s="192"/>
      <c r="AM409" s="193"/>
      <c r="AN409" s="193"/>
      <c r="AO409" s="264"/>
      <c r="AP409" s="58"/>
      <c r="AQ409" s="37"/>
    </row>
    <row r="410" ht="15.75" customHeight="1">
      <c r="A410" s="37"/>
      <c r="B410" s="37"/>
      <c r="C410" s="37"/>
      <c r="D410" s="37"/>
      <c r="E410" s="37"/>
      <c r="F410" s="37"/>
      <c r="G410" s="37"/>
      <c r="H410" s="37"/>
      <c r="I410" s="37"/>
      <c r="J410" s="37"/>
      <c r="K410" s="37"/>
      <c r="L410" s="37"/>
      <c r="M410" s="37"/>
      <c r="N410" s="37"/>
      <c r="O410" s="37"/>
      <c r="P410" s="37"/>
      <c r="Q410" s="37"/>
      <c r="R410" s="192"/>
      <c r="S410" s="37"/>
      <c r="T410" s="37"/>
      <c r="U410" s="142"/>
      <c r="V410" s="262"/>
      <c r="W410" s="37"/>
      <c r="X410" s="37"/>
      <c r="Y410" s="192"/>
      <c r="Z410" s="263"/>
      <c r="AA410" s="142"/>
      <c r="AB410" s="37"/>
      <c r="AC410" s="192"/>
      <c r="AD410" s="192"/>
      <c r="AE410" s="37"/>
      <c r="AF410" s="37"/>
      <c r="AG410" s="192"/>
      <c r="AH410" s="192"/>
      <c r="AI410" s="37"/>
      <c r="AJ410" s="37"/>
      <c r="AK410" s="192"/>
      <c r="AL410" s="192"/>
      <c r="AM410" s="193"/>
      <c r="AN410" s="193"/>
      <c r="AO410" s="264"/>
      <c r="AP410" s="58"/>
      <c r="AQ410" s="37"/>
    </row>
    <row r="411" ht="15.75" customHeight="1">
      <c r="A411" s="37"/>
      <c r="B411" s="37"/>
      <c r="C411" s="37"/>
      <c r="D411" s="37"/>
      <c r="E411" s="37"/>
      <c r="F411" s="37"/>
      <c r="G411" s="37"/>
      <c r="H411" s="37"/>
      <c r="I411" s="37"/>
      <c r="J411" s="37"/>
      <c r="K411" s="37"/>
      <c r="L411" s="37"/>
      <c r="M411" s="37"/>
      <c r="N411" s="37"/>
      <c r="O411" s="37"/>
      <c r="P411" s="37"/>
      <c r="Q411" s="37"/>
      <c r="R411" s="192"/>
      <c r="S411" s="37"/>
      <c r="T411" s="37"/>
      <c r="U411" s="142"/>
      <c r="V411" s="262"/>
      <c r="W411" s="37"/>
      <c r="X411" s="37"/>
      <c r="Y411" s="192"/>
      <c r="Z411" s="263"/>
      <c r="AA411" s="142"/>
      <c r="AB411" s="37"/>
      <c r="AC411" s="192"/>
      <c r="AD411" s="192"/>
      <c r="AE411" s="37"/>
      <c r="AF411" s="37"/>
      <c r="AG411" s="192"/>
      <c r="AH411" s="192"/>
      <c r="AI411" s="37"/>
      <c r="AJ411" s="37"/>
      <c r="AK411" s="192"/>
      <c r="AL411" s="192"/>
      <c r="AM411" s="193"/>
      <c r="AN411" s="193"/>
      <c r="AO411" s="264"/>
      <c r="AP411" s="58"/>
      <c r="AQ411" s="37"/>
    </row>
    <row r="412" ht="15.75" customHeight="1">
      <c r="A412" s="37"/>
      <c r="B412" s="37"/>
      <c r="C412" s="37"/>
      <c r="D412" s="37"/>
      <c r="E412" s="37"/>
      <c r="F412" s="37"/>
      <c r="G412" s="37"/>
      <c r="H412" s="37"/>
      <c r="I412" s="37"/>
      <c r="J412" s="37"/>
      <c r="K412" s="37"/>
      <c r="L412" s="37"/>
      <c r="M412" s="37"/>
      <c r="N412" s="37"/>
      <c r="O412" s="37"/>
      <c r="P412" s="37"/>
      <c r="Q412" s="37"/>
      <c r="R412" s="192"/>
      <c r="S412" s="37"/>
      <c r="T412" s="37"/>
      <c r="U412" s="142"/>
      <c r="V412" s="262"/>
      <c r="W412" s="37"/>
      <c r="X412" s="37"/>
      <c r="Y412" s="192"/>
      <c r="Z412" s="263"/>
      <c r="AA412" s="142"/>
      <c r="AB412" s="37"/>
      <c r="AC412" s="192"/>
      <c r="AD412" s="192"/>
      <c r="AE412" s="37"/>
      <c r="AF412" s="37"/>
      <c r="AG412" s="192"/>
      <c r="AH412" s="192"/>
      <c r="AI412" s="37"/>
      <c r="AJ412" s="37"/>
      <c r="AK412" s="192"/>
      <c r="AL412" s="192"/>
      <c r="AM412" s="193"/>
      <c r="AN412" s="193"/>
      <c r="AO412" s="264"/>
      <c r="AP412" s="58"/>
      <c r="AQ412" s="37"/>
    </row>
    <row r="413" ht="15.75" customHeight="1">
      <c r="A413" s="37"/>
      <c r="B413" s="37"/>
      <c r="C413" s="37"/>
      <c r="D413" s="37"/>
      <c r="E413" s="37"/>
      <c r="F413" s="37"/>
      <c r="G413" s="37"/>
      <c r="H413" s="37"/>
      <c r="I413" s="37"/>
      <c r="J413" s="37"/>
      <c r="K413" s="37"/>
      <c r="L413" s="37"/>
      <c r="M413" s="37"/>
      <c r="N413" s="37"/>
      <c r="O413" s="37"/>
      <c r="P413" s="37"/>
      <c r="Q413" s="37"/>
      <c r="R413" s="192"/>
      <c r="S413" s="37"/>
      <c r="T413" s="37"/>
      <c r="U413" s="142"/>
      <c r="V413" s="262"/>
      <c r="W413" s="37"/>
      <c r="X413" s="37"/>
      <c r="Y413" s="192"/>
      <c r="Z413" s="263"/>
      <c r="AA413" s="142"/>
      <c r="AB413" s="37"/>
      <c r="AC413" s="192"/>
      <c r="AD413" s="192"/>
      <c r="AE413" s="37"/>
      <c r="AF413" s="37"/>
      <c r="AG413" s="192"/>
      <c r="AH413" s="192"/>
      <c r="AI413" s="37"/>
      <c r="AJ413" s="37"/>
      <c r="AK413" s="192"/>
      <c r="AL413" s="192"/>
      <c r="AM413" s="193"/>
      <c r="AN413" s="193"/>
      <c r="AO413" s="264"/>
      <c r="AP413" s="58"/>
      <c r="AQ413" s="37"/>
    </row>
    <row r="414" ht="15.75" customHeight="1">
      <c r="A414" s="37"/>
      <c r="B414" s="37"/>
      <c r="C414" s="37"/>
      <c r="D414" s="37"/>
      <c r="E414" s="37"/>
      <c r="F414" s="37"/>
      <c r="G414" s="37"/>
      <c r="H414" s="37"/>
      <c r="I414" s="37"/>
      <c r="J414" s="37"/>
      <c r="K414" s="37"/>
      <c r="L414" s="37"/>
      <c r="M414" s="37"/>
      <c r="N414" s="37"/>
      <c r="O414" s="37"/>
      <c r="P414" s="37"/>
      <c r="Q414" s="37"/>
      <c r="R414" s="192"/>
      <c r="S414" s="37"/>
      <c r="T414" s="37"/>
      <c r="U414" s="142"/>
      <c r="V414" s="262"/>
      <c r="W414" s="37"/>
      <c r="X414" s="37"/>
      <c r="Y414" s="192"/>
      <c r="Z414" s="263"/>
      <c r="AA414" s="142"/>
      <c r="AB414" s="37"/>
      <c r="AC414" s="192"/>
      <c r="AD414" s="192"/>
      <c r="AE414" s="37"/>
      <c r="AF414" s="37"/>
      <c r="AG414" s="192"/>
      <c r="AH414" s="192"/>
      <c r="AI414" s="37"/>
      <c r="AJ414" s="37"/>
      <c r="AK414" s="192"/>
      <c r="AL414" s="192"/>
      <c r="AM414" s="193"/>
      <c r="AN414" s="193"/>
      <c r="AO414" s="264"/>
      <c r="AP414" s="58"/>
      <c r="AQ414" s="37"/>
    </row>
    <row r="415" ht="15.75" customHeight="1">
      <c r="A415" s="37"/>
      <c r="B415" s="37"/>
      <c r="C415" s="37"/>
      <c r="D415" s="37"/>
      <c r="E415" s="37"/>
      <c r="F415" s="37"/>
      <c r="G415" s="37"/>
      <c r="H415" s="37"/>
      <c r="I415" s="37"/>
      <c r="J415" s="37"/>
      <c r="K415" s="37"/>
      <c r="L415" s="37"/>
      <c r="M415" s="37"/>
      <c r="N415" s="37"/>
      <c r="O415" s="37"/>
      <c r="P415" s="37"/>
      <c r="Q415" s="37"/>
      <c r="R415" s="192"/>
      <c r="S415" s="37"/>
      <c r="T415" s="37"/>
      <c r="U415" s="142"/>
      <c r="V415" s="262"/>
      <c r="W415" s="37"/>
      <c r="X415" s="37"/>
      <c r="Y415" s="192"/>
      <c r="Z415" s="263"/>
      <c r="AA415" s="142"/>
      <c r="AB415" s="37"/>
      <c r="AC415" s="192"/>
      <c r="AD415" s="192"/>
      <c r="AE415" s="37"/>
      <c r="AF415" s="37"/>
      <c r="AG415" s="192"/>
      <c r="AH415" s="192"/>
      <c r="AI415" s="37"/>
      <c r="AJ415" s="37"/>
      <c r="AK415" s="192"/>
      <c r="AL415" s="192"/>
      <c r="AM415" s="193"/>
      <c r="AN415" s="193"/>
      <c r="AO415" s="264"/>
      <c r="AP415" s="58"/>
      <c r="AQ415" s="37"/>
    </row>
    <row r="416" ht="15.75" customHeight="1">
      <c r="A416" s="37"/>
      <c r="B416" s="37"/>
      <c r="C416" s="37"/>
      <c r="D416" s="37"/>
      <c r="E416" s="37"/>
      <c r="F416" s="37"/>
      <c r="G416" s="37"/>
      <c r="H416" s="37"/>
      <c r="I416" s="37"/>
      <c r="J416" s="37"/>
      <c r="K416" s="37"/>
      <c r="L416" s="37"/>
      <c r="M416" s="37"/>
      <c r="N416" s="37"/>
      <c r="O416" s="37"/>
      <c r="P416" s="37"/>
      <c r="Q416" s="37"/>
      <c r="R416" s="192"/>
      <c r="S416" s="37"/>
      <c r="T416" s="37"/>
      <c r="U416" s="142"/>
      <c r="V416" s="262"/>
      <c r="W416" s="37"/>
      <c r="X416" s="37"/>
      <c r="Y416" s="192"/>
      <c r="Z416" s="263"/>
      <c r="AA416" s="142"/>
      <c r="AB416" s="37"/>
      <c r="AC416" s="192"/>
      <c r="AD416" s="192"/>
      <c r="AE416" s="37"/>
      <c r="AF416" s="37"/>
      <c r="AG416" s="192"/>
      <c r="AH416" s="192"/>
      <c r="AI416" s="37"/>
      <c r="AJ416" s="37"/>
      <c r="AK416" s="192"/>
      <c r="AL416" s="192"/>
      <c r="AM416" s="193"/>
      <c r="AN416" s="193"/>
      <c r="AO416" s="264"/>
      <c r="AP416" s="58"/>
      <c r="AQ416" s="37"/>
    </row>
    <row r="417" ht="15.75" customHeight="1">
      <c r="A417" s="37"/>
      <c r="B417" s="37"/>
      <c r="C417" s="37"/>
      <c r="D417" s="37"/>
      <c r="E417" s="37"/>
      <c r="F417" s="37"/>
      <c r="G417" s="37"/>
      <c r="H417" s="37"/>
      <c r="I417" s="37"/>
      <c r="J417" s="37"/>
      <c r="K417" s="37"/>
      <c r="L417" s="37"/>
      <c r="M417" s="37"/>
      <c r="N417" s="37"/>
      <c r="O417" s="37"/>
      <c r="P417" s="37"/>
      <c r="Q417" s="37"/>
      <c r="R417" s="192"/>
      <c r="S417" s="37"/>
      <c r="T417" s="37"/>
      <c r="U417" s="142"/>
      <c r="V417" s="262"/>
      <c r="W417" s="37"/>
      <c r="X417" s="37"/>
      <c r="Y417" s="192"/>
      <c r="Z417" s="263"/>
      <c r="AA417" s="142"/>
      <c r="AB417" s="37"/>
      <c r="AC417" s="192"/>
      <c r="AD417" s="192"/>
      <c r="AE417" s="37"/>
      <c r="AF417" s="37"/>
      <c r="AG417" s="192"/>
      <c r="AH417" s="192"/>
      <c r="AI417" s="37"/>
      <c r="AJ417" s="37"/>
      <c r="AK417" s="192"/>
      <c r="AL417" s="192"/>
      <c r="AM417" s="193"/>
      <c r="AN417" s="193"/>
      <c r="AO417" s="264"/>
      <c r="AP417" s="58"/>
      <c r="AQ417" s="37"/>
    </row>
    <row r="418" ht="15.75" customHeight="1">
      <c r="A418" s="37"/>
      <c r="B418" s="37"/>
      <c r="C418" s="37"/>
      <c r="D418" s="37"/>
      <c r="E418" s="37"/>
      <c r="F418" s="37"/>
      <c r="G418" s="37"/>
      <c r="H418" s="37"/>
      <c r="I418" s="37"/>
      <c r="J418" s="37"/>
      <c r="K418" s="37"/>
      <c r="L418" s="37"/>
      <c r="M418" s="37"/>
      <c r="N418" s="37"/>
      <c r="O418" s="37"/>
      <c r="P418" s="37"/>
      <c r="Q418" s="37"/>
      <c r="R418" s="192"/>
      <c r="S418" s="37"/>
      <c r="T418" s="37"/>
      <c r="U418" s="142"/>
      <c r="V418" s="262"/>
      <c r="W418" s="37"/>
      <c r="X418" s="37"/>
      <c r="Y418" s="192"/>
      <c r="Z418" s="263"/>
      <c r="AA418" s="142"/>
      <c r="AB418" s="37"/>
      <c r="AC418" s="192"/>
      <c r="AD418" s="192"/>
      <c r="AE418" s="37"/>
      <c r="AF418" s="37"/>
      <c r="AG418" s="192"/>
      <c r="AH418" s="192"/>
      <c r="AI418" s="37"/>
      <c r="AJ418" s="37"/>
      <c r="AK418" s="192"/>
      <c r="AL418" s="192"/>
      <c r="AM418" s="193"/>
      <c r="AN418" s="193"/>
      <c r="AO418" s="264"/>
      <c r="AP418" s="58"/>
      <c r="AQ418" s="37"/>
    </row>
    <row r="419" ht="15.75" customHeight="1">
      <c r="A419" s="37"/>
      <c r="B419" s="37"/>
      <c r="C419" s="37"/>
      <c r="D419" s="37"/>
      <c r="E419" s="37"/>
      <c r="F419" s="37"/>
      <c r="G419" s="37"/>
      <c r="H419" s="37"/>
      <c r="I419" s="37"/>
      <c r="J419" s="37"/>
      <c r="K419" s="37"/>
      <c r="L419" s="37"/>
      <c r="M419" s="37"/>
      <c r="N419" s="37"/>
      <c r="O419" s="37"/>
      <c r="P419" s="37"/>
      <c r="Q419" s="37"/>
      <c r="R419" s="192"/>
      <c r="S419" s="37"/>
      <c r="T419" s="37"/>
      <c r="U419" s="142"/>
      <c r="V419" s="262"/>
      <c r="W419" s="37"/>
      <c r="X419" s="37"/>
      <c r="Y419" s="192"/>
      <c r="Z419" s="263"/>
      <c r="AA419" s="142"/>
      <c r="AB419" s="37"/>
      <c r="AC419" s="192"/>
      <c r="AD419" s="192"/>
      <c r="AE419" s="37"/>
      <c r="AF419" s="37"/>
      <c r="AG419" s="192"/>
      <c r="AH419" s="192"/>
      <c r="AI419" s="37"/>
      <c r="AJ419" s="37"/>
      <c r="AK419" s="192"/>
      <c r="AL419" s="192"/>
      <c r="AM419" s="193"/>
      <c r="AN419" s="193"/>
      <c r="AO419" s="264"/>
      <c r="AP419" s="58"/>
      <c r="AQ419" s="37"/>
    </row>
    <row r="420" ht="15.75" customHeight="1">
      <c r="A420" s="37"/>
      <c r="B420" s="37"/>
      <c r="C420" s="37"/>
      <c r="D420" s="37"/>
      <c r="E420" s="37"/>
      <c r="F420" s="37"/>
      <c r="G420" s="37"/>
      <c r="H420" s="37"/>
      <c r="I420" s="37"/>
      <c r="J420" s="37"/>
      <c r="K420" s="37"/>
      <c r="L420" s="37"/>
      <c r="M420" s="37"/>
      <c r="N420" s="37"/>
      <c r="O420" s="37"/>
      <c r="P420" s="37"/>
      <c r="Q420" s="37"/>
      <c r="R420" s="192"/>
      <c r="S420" s="37"/>
      <c r="T420" s="37"/>
      <c r="U420" s="142"/>
      <c r="V420" s="262"/>
      <c r="W420" s="37"/>
      <c r="X420" s="37"/>
      <c r="Y420" s="192"/>
      <c r="Z420" s="263"/>
      <c r="AA420" s="142"/>
      <c r="AB420" s="37"/>
      <c r="AC420" s="192"/>
      <c r="AD420" s="192"/>
      <c r="AE420" s="37"/>
      <c r="AF420" s="37"/>
      <c r="AG420" s="192"/>
      <c r="AH420" s="192"/>
      <c r="AI420" s="37"/>
      <c r="AJ420" s="37"/>
      <c r="AK420" s="192"/>
      <c r="AL420" s="192"/>
      <c r="AM420" s="193"/>
      <c r="AN420" s="193"/>
      <c r="AO420" s="264"/>
      <c r="AP420" s="58"/>
      <c r="AQ420" s="37"/>
    </row>
    <row r="421" ht="15.75" customHeight="1">
      <c r="A421" s="37"/>
      <c r="B421" s="37"/>
      <c r="C421" s="37"/>
      <c r="D421" s="37"/>
      <c r="E421" s="37"/>
      <c r="F421" s="37"/>
      <c r="G421" s="37"/>
      <c r="H421" s="37"/>
      <c r="I421" s="37"/>
      <c r="J421" s="37"/>
      <c r="K421" s="37"/>
      <c r="L421" s="37"/>
      <c r="M421" s="37"/>
      <c r="N421" s="37"/>
      <c r="O421" s="37"/>
      <c r="P421" s="37"/>
      <c r="Q421" s="37"/>
      <c r="R421" s="192"/>
      <c r="S421" s="37"/>
      <c r="T421" s="37"/>
      <c r="U421" s="142"/>
      <c r="V421" s="262"/>
      <c r="W421" s="37"/>
      <c r="X421" s="37"/>
      <c r="Y421" s="192"/>
      <c r="Z421" s="263"/>
      <c r="AA421" s="142"/>
      <c r="AB421" s="37"/>
      <c r="AC421" s="192"/>
      <c r="AD421" s="192"/>
      <c r="AE421" s="37"/>
      <c r="AF421" s="37"/>
      <c r="AG421" s="192"/>
      <c r="AH421" s="192"/>
      <c r="AI421" s="37"/>
      <c r="AJ421" s="37"/>
      <c r="AK421" s="192"/>
      <c r="AL421" s="192"/>
      <c r="AM421" s="193"/>
      <c r="AN421" s="193"/>
      <c r="AO421" s="264"/>
      <c r="AP421" s="58"/>
      <c r="AQ421" s="37"/>
    </row>
    <row r="422" ht="15.75" customHeight="1">
      <c r="A422" s="37"/>
      <c r="B422" s="37"/>
      <c r="C422" s="37"/>
      <c r="D422" s="37"/>
      <c r="E422" s="37"/>
      <c r="F422" s="37"/>
      <c r="G422" s="37"/>
      <c r="H422" s="37"/>
      <c r="I422" s="37"/>
      <c r="J422" s="37"/>
      <c r="K422" s="37"/>
      <c r="L422" s="37"/>
      <c r="M422" s="37"/>
      <c r="N422" s="37"/>
      <c r="O422" s="37"/>
      <c r="P422" s="37"/>
      <c r="Q422" s="37"/>
      <c r="R422" s="192"/>
      <c r="S422" s="37"/>
      <c r="T422" s="37"/>
      <c r="U422" s="142"/>
      <c r="V422" s="262"/>
      <c r="W422" s="37"/>
      <c r="X422" s="37"/>
      <c r="Y422" s="192"/>
      <c r="Z422" s="263"/>
      <c r="AA422" s="142"/>
      <c r="AB422" s="37"/>
      <c r="AC422" s="192"/>
      <c r="AD422" s="192"/>
      <c r="AE422" s="37"/>
      <c r="AF422" s="37"/>
      <c r="AG422" s="192"/>
      <c r="AH422" s="192"/>
      <c r="AI422" s="37"/>
      <c r="AJ422" s="37"/>
      <c r="AK422" s="192"/>
      <c r="AL422" s="192"/>
      <c r="AM422" s="193"/>
      <c r="AN422" s="193"/>
      <c r="AO422" s="264"/>
      <c r="AP422" s="58"/>
      <c r="AQ422" s="37"/>
    </row>
    <row r="423" ht="15.75" customHeight="1">
      <c r="A423" s="37"/>
      <c r="B423" s="37"/>
      <c r="C423" s="37"/>
      <c r="D423" s="37"/>
      <c r="E423" s="37"/>
      <c r="F423" s="37"/>
      <c r="G423" s="37"/>
      <c r="H423" s="37"/>
      <c r="I423" s="37"/>
      <c r="J423" s="37"/>
      <c r="K423" s="37"/>
      <c r="L423" s="37"/>
      <c r="M423" s="37"/>
      <c r="N423" s="37"/>
      <c r="O423" s="37"/>
      <c r="P423" s="37"/>
      <c r="Q423" s="37"/>
      <c r="R423" s="192"/>
      <c r="S423" s="37"/>
      <c r="T423" s="37"/>
      <c r="U423" s="142"/>
      <c r="V423" s="262"/>
      <c r="W423" s="37"/>
      <c r="X423" s="37"/>
      <c r="Y423" s="192"/>
      <c r="Z423" s="263"/>
      <c r="AA423" s="142"/>
      <c r="AB423" s="37"/>
      <c r="AC423" s="192"/>
      <c r="AD423" s="192"/>
      <c r="AE423" s="37"/>
      <c r="AF423" s="37"/>
      <c r="AG423" s="192"/>
      <c r="AH423" s="192"/>
      <c r="AI423" s="37"/>
      <c r="AJ423" s="37"/>
      <c r="AK423" s="192"/>
      <c r="AL423" s="192"/>
      <c r="AM423" s="193"/>
      <c r="AN423" s="193"/>
      <c r="AO423" s="264"/>
      <c r="AP423" s="58"/>
      <c r="AQ423" s="37"/>
    </row>
    <row r="424" ht="15.75" customHeight="1">
      <c r="A424" s="37"/>
      <c r="B424" s="37"/>
      <c r="C424" s="37"/>
      <c r="D424" s="37"/>
      <c r="E424" s="37"/>
      <c r="F424" s="37"/>
      <c r="G424" s="37"/>
      <c r="H424" s="37"/>
      <c r="I424" s="37"/>
      <c r="J424" s="37"/>
      <c r="K424" s="37"/>
      <c r="L424" s="37"/>
      <c r="M424" s="37"/>
      <c r="N424" s="37"/>
      <c r="O424" s="37"/>
      <c r="P424" s="37"/>
      <c r="Q424" s="37"/>
      <c r="R424" s="192"/>
      <c r="S424" s="37"/>
      <c r="T424" s="37"/>
      <c r="U424" s="142"/>
      <c r="V424" s="262"/>
      <c r="W424" s="37"/>
      <c r="X424" s="37"/>
      <c r="Y424" s="192"/>
      <c r="Z424" s="263"/>
      <c r="AA424" s="142"/>
      <c r="AB424" s="37"/>
      <c r="AC424" s="192"/>
      <c r="AD424" s="192"/>
      <c r="AE424" s="37"/>
      <c r="AF424" s="37"/>
      <c r="AG424" s="192"/>
      <c r="AH424" s="192"/>
      <c r="AI424" s="37"/>
      <c r="AJ424" s="37"/>
      <c r="AK424" s="192"/>
      <c r="AL424" s="192"/>
      <c r="AM424" s="193"/>
      <c r="AN424" s="193"/>
      <c r="AO424" s="264"/>
      <c r="AP424" s="58"/>
      <c r="AQ424" s="37"/>
    </row>
  </sheetData>
  <conditionalFormatting sqref="AE170:AE270 AE272:AE282">
    <cfRule type="containsText" dxfId="0" priority="1" operator="containsText" text="Áno">
      <formula>NOT(ISERROR(SEARCH(("Áno"),(AE170))))</formula>
    </cfRule>
  </conditionalFormatting>
  <conditionalFormatting sqref="AI115:AI282">
    <cfRule type="containsText" dxfId="1" priority="2" operator="containsText" text="áno">
      <formula>NOT(ISERROR(SEARCH(("áno"),(AI115))))</formula>
    </cfRule>
  </conditionalFormatting>
  <conditionalFormatting sqref="AH1:AH294 AH303:AH317 AH321:AH424">
    <cfRule type="containsText" dxfId="2" priority="3" operator="containsText" text="ÁNO">
      <formula>NOT(ISERROR(SEARCH(("ÁNO"),(AH1))))</formula>
    </cfRule>
  </conditionalFormatting>
  <conditionalFormatting sqref="AO1:AO424">
    <cfRule type="notContainsBlanks" dxfId="3" priority="4">
      <formula>LEN(TRIM(AO1))&gt;0</formula>
    </cfRule>
  </conditionalFormatting>
  <conditionalFormatting sqref="AM1:AN424">
    <cfRule type="notContainsBlanks" dxfId="4" priority="5">
      <formula>LEN(TRIM(AM1))&gt;0</formula>
    </cfRule>
  </conditionalFormatting>
  <conditionalFormatting sqref="AA1:AA317 AA321:AA424">
    <cfRule type="containsText" dxfId="5" priority="6" operator="containsText" text="Áno">
      <formula>NOT(ISERROR(SEARCH(("Áno"),(AA1))))</formula>
    </cfRule>
  </conditionalFormatting>
  <hyperlinks>
    <hyperlink r:id="rId1" ref="T3"/>
    <hyperlink r:id="rId2" ref="U3"/>
    <hyperlink r:id="rId3" ref="T4"/>
    <hyperlink r:id="rId4" ref="U4"/>
    <hyperlink r:id="rId5" ref="T5"/>
    <hyperlink r:id="rId6" ref="U5"/>
    <hyperlink r:id="rId7" ref="T6"/>
    <hyperlink r:id="rId8" ref="U6"/>
    <hyperlink r:id="rId9" ref="T7"/>
    <hyperlink r:id="rId10" ref="U7"/>
    <hyperlink r:id="rId11" ref="T8"/>
    <hyperlink r:id="rId12" ref="U8"/>
    <hyperlink r:id="rId13" ref="T9"/>
    <hyperlink r:id="rId14" ref="U9"/>
    <hyperlink r:id="rId15" ref="T10"/>
    <hyperlink r:id="rId16" ref="U10"/>
    <hyperlink r:id="rId17" ref="T11"/>
    <hyperlink r:id="rId18" ref="U11"/>
    <hyperlink r:id="rId19" ref="T12"/>
    <hyperlink r:id="rId20" ref="U12"/>
    <hyperlink r:id="rId21" ref="T13"/>
    <hyperlink r:id="rId22" ref="U13"/>
    <hyperlink r:id="rId23" ref="T14"/>
    <hyperlink r:id="rId24" ref="U14"/>
    <hyperlink r:id="rId25" ref="T15"/>
    <hyperlink r:id="rId26" ref="U15"/>
    <hyperlink r:id="rId27" ref="T16"/>
    <hyperlink r:id="rId28" ref="U16"/>
    <hyperlink r:id="rId29" ref="T17"/>
    <hyperlink r:id="rId30" ref="U17"/>
    <hyperlink r:id="rId31" ref="T18"/>
    <hyperlink r:id="rId32" ref="U18"/>
    <hyperlink r:id="rId33" ref="T19"/>
    <hyperlink r:id="rId34" ref="U19"/>
    <hyperlink r:id="rId35" ref="T20"/>
    <hyperlink r:id="rId36" ref="U20"/>
    <hyperlink r:id="rId37" ref="T21"/>
    <hyperlink r:id="rId38" ref="U21"/>
    <hyperlink r:id="rId39" ref="T22"/>
    <hyperlink r:id="rId40" ref="U22"/>
    <hyperlink r:id="rId41" ref="T23"/>
    <hyperlink r:id="rId42" ref="U23"/>
    <hyperlink r:id="rId43" ref="T24"/>
    <hyperlink r:id="rId44" ref="U24"/>
    <hyperlink r:id="rId45" ref="T25"/>
    <hyperlink r:id="rId46" ref="U25"/>
    <hyperlink r:id="rId47" ref="T26"/>
    <hyperlink r:id="rId48" ref="U26"/>
    <hyperlink r:id="rId49" ref="T27"/>
    <hyperlink r:id="rId50" ref="U27"/>
    <hyperlink r:id="rId51" ref="T28"/>
    <hyperlink r:id="rId52" ref="U28"/>
    <hyperlink r:id="rId53" ref="T29"/>
    <hyperlink r:id="rId54" ref="U29"/>
    <hyperlink r:id="rId55" ref="T30"/>
    <hyperlink r:id="rId56" ref="U30"/>
    <hyperlink r:id="rId57" ref="T31"/>
    <hyperlink r:id="rId58" ref="U31"/>
    <hyperlink r:id="rId59" ref="T32"/>
    <hyperlink r:id="rId60" ref="U32"/>
    <hyperlink r:id="rId61" ref="T33"/>
    <hyperlink r:id="rId62" ref="U33"/>
    <hyperlink r:id="rId63" ref="T34"/>
    <hyperlink r:id="rId64" ref="U34"/>
    <hyperlink r:id="rId65" ref="T35"/>
    <hyperlink r:id="rId66" ref="U35"/>
    <hyperlink r:id="rId67" ref="T36"/>
    <hyperlink r:id="rId68" ref="U36"/>
    <hyperlink r:id="rId69" ref="T37"/>
    <hyperlink r:id="rId70" ref="U37"/>
    <hyperlink r:id="rId71" ref="T38"/>
    <hyperlink r:id="rId72" ref="U38"/>
    <hyperlink r:id="rId73" ref="T39"/>
    <hyperlink r:id="rId74" ref="U39"/>
    <hyperlink r:id="rId75" ref="T40"/>
    <hyperlink r:id="rId76" ref="U40"/>
    <hyperlink r:id="rId77" ref="T41"/>
    <hyperlink r:id="rId78" ref="U41"/>
    <hyperlink r:id="rId79" ref="T42"/>
    <hyperlink r:id="rId80" ref="U42"/>
    <hyperlink r:id="rId81" ref="T43"/>
    <hyperlink r:id="rId82" ref="U43"/>
    <hyperlink r:id="rId83" ref="T44"/>
    <hyperlink r:id="rId84" ref="U44"/>
    <hyperlink r:id="rId85" ref="T45"/>
    <hyperlink r:id="rId86" ref="U45"/>
    <hyperlink r:id="rId87" ref="T46"/>
    <hyperlink r:id="rId88" ref="U46"/>
    <hyperlink r:id="rId89" ref="T47"/>
    <hyperlink r:id="rId90" ref="U47"/>
    <hyperlink r:id="rId91" ref="T48"/>
    <hyperlink r:id="rId92" ref="U48"/>
    <hyperlink r:id="rId93" ref="T49"/>
    <hyperlink r:id="rId94" ref="U49"/>
    <hyperlink r:id="rId95" ref="T50"/>
    <hyperlink r:id="rId96" ref="U50"/>
    <hyperlink r:id="rId97" ref="T51"/>
    <hyperlink r:id="rId98" ref="U51"/>
    <hyperlink r:id="rId99" ref="T52"/>
    <hyperlink r:id="rId100" ref="U52"/>
    <hyperlink r:id="rId101" ref="T53"/>
    <hyperlink r:id="rId102" ref="U53"/>
    <hyperlink r:id="rId103" ref="T54"/>
    <hyperlink r:id="rId104" ref="U54"/>
    <hyperlink r:id="rId105" ref="T55"/>
    <hyperlink r:id="rId106" ref="U55"/>
    <hyperlink r:id="rId107" ref="T56"/>
    <hyperlink r:id="rId108" ref="U56"/>
    <hyperlink r:id="rId109" ref="T57"/>
    <hyperlink r:id="rId110" ref="U57"/>
    <hyperlink r:id="rId111" ref="T58"/>
    <hyperlink r:id="rId112" ref="U58"/>
    <hyperlink r:id="rId113" ref="T59"/>
    <hyperlink r:id="rId114" ref="U59"/>
    <hyperlink r:id="rId115" ref="T60"/>
    <hyperlink r:id="rId116" ref="U60"/>
    <hyperlink r:id="rId117" ref="T61"/>
    <hyperlink r:id="rId118" ref="U61"/>
    <hyperlink r:id="rId119" ref="T62"/>
    <hyperlink r:id="rId120" ref="U62"/>
    <hyperlink r:id="rId121" ref="T63"/>
    <hyperlink r:id="rId122" ref="U63"/>
    <hyperlink r:id="rId123" ref="T64"/>
    <hyperlink r:id="rId124" ref="U64"/>
    <hyperlink r:id="rId125" ref="T65"/>
    <hyperlink r:id="rId126" ref="U65"/>
    <hyperlink r:id="rId127" ref="T66"/>
    <hyperlink r:id="rId128" ref="U66"/>
    <hyperlink r:id="rId129" ref="T67"/>
    <hyperlink r:id="rId130" ref="U67"/>
    <hyperlink r:id="rId131" ref="T68"/>
    <hyperlink r:id="rId132" ref="U68"/>
    <hyperlink r:id="rId133" ref="T69"/>
    <hyperlink r:id="rId134" ref="U69"/>
    <hyperlink r:id="rId135" ref="T70"/>
    <hyperlink r:id="rId136" ref="U70"/>
    <hyperlink r:id="rId137" ref="T71"/>
    <hyperlink r:id="rId138" ref="U71"/>
    <hyperlink r:id="rId139" ref="T72"/>
    <hyperlink r:id="rId140" ref="U72"/>
    <hyperlink r:id="rId141" ref="T73"/>
    <hyperlink r:id="rId142" ref="U73"/>
    <hyperlink r:id="rId143" ref="T74"/>
    <hyperlink r:id="rId144" ref="U74"/>
    <hyperlink r:id="rId145" ref="T75"/>
    <hyperlink r:id="rId146" ref="U75"/>
    <hyperlink r:id="rId147" ref="T76"/>
    <hyperlink r:id="rId148" ref="U76"/>
    <hyperlink r:id="rId149" ref="T77"/>
    <hyperlink r:id="rId150" ref="U77"/>
    <hyperlink r:id="rId151" ref="T78"/>
    <hyperlink r:id="rId152" ref="U78"/>
    <hyperlink r:id="rId153" ref="T79"/>
    <hyperlink r:id="rId154" ref="U79"/>
    <hyperlink r:id="rId155" ref="T80"/>
    <hyperlink r:id="rId156" ref="U80"/>
    <hyperlink r:id="rId157" ref="T81"/>
    <hyperlink r:id="rId158" ref="U81"/>
    <hyperlink r:id="rId159" ref="T82"/>
    <hyperlink r:id="rId160" ref="U82"/>
    <hyperlink r:id="rId161" ref="T83"/>
    <hyperlink r:id="rId162" ref="U83"/>
    <hyperlink r:id="rId163" ref="T84"/>
    <hyperlink r:id="rId164" ref="U84"/>
    <hyperlink r:id="rId165" ref="T85"/>
    <hyperlink r:id="rId166" ref="U85"/>
    <hyperlink r:id="rId167" ref="T86"/>
    <hyperlink r:id="rId168" ref="U86"/>
    <hyperlink r:id="rId169" ref="T87"/>
    <hyperlink r:id="rId170" ref="U87"/>
    <hyperlink r:id="rId171" ref="T88"/>
    <hyperlink r:id="rId172" ref="U88"/>
    <hyperlink r:id="rId173" ref="T89"/>
    <hyperlink r:id="rId174" ref="U89"/>
    <hyperlink r:id="rId175" ref="T90"/>
    <hyperlink r:id="rId176" ref="U90"/>
    <hyperlink r:id="rId177" ref="T91"/>
    <hyperlink r:id="rId178" ref="U91"/>
    <hyperlink r:id="rId179" ref="T92"/>
    <hyperlink r:id="rId180" ref="U92"/>
    <hyperlink r:id="rId181" ref="T93"/>
    <hyperlink r:id="rId182" ref="U93"/>
    <hyperlink r:id="rId183" ref="T94"/>
    <hyperlink r:id="rId184" ref="U94"/>
    <hyperlink r:id="rId185" ref="T95"/>
    <hyperlink r:id="rId186" ref="U95"/>
    <hyperlink r:id="rId187" ref="T96"/>
    <hyperlink r:id="rId188" ref="U96"/>
    <hyperlink r:id="rId189" ref="T97"/>
    <hyperlink r:id="rId190" ref="U97"/>
    <hyperlink r:id="rId191" ref="T98"/>
    <hyperlink r:id="rId192" ref="U98"/>
    <hyperlink r:id="rId193" ref="T99"/>
    <hyperlink r:id="rId194" ref="U99"/>
    <hyperlink r:id="rId195" ref="T100"/>
    <hyperlink r:id="rId196" ref="U100"/>
    <hyperlink r:id="rId197" ref="T101"/>
    <hyperlink r:id="rId198" ref="U101"/>
    <hyperlink r:id="rId199" ref="T102"/>
    <hyperlink r:id="rId200" ref="U102"/>
    <hyperlink r:id="rId201" ref="T103"/>
    <hyperlink r:id="rId202" ref="U103"/>
    <hyperlink r:id="rId203" ref="T104"/>
    <hyperlink r:id="rId204" ref="U104"/>
    <hyperlink r:id="rId205" ref="T105"/>
    <hyperlink r:id="rId206" ref="U105"/>
    <hyperlink r:id="rId207" ref="T106"/>
    <hyperlink r:id="rId208" ref="U106"/>
    <hyperlink r:id="rId209" ref="AB106"/>
    <hyperlink r:id="rId210" ref="T107"/>
    <hyperlink r:id="rId211" ref="U107"/>
    <hyperlink r:id="rId212" ref="T108"/>
    <hyperlink r:id="rId213" ref="U108"/>
    <hyperlink r:id="rId214" ref="T109"/>
    <hyperlink r:id="rId215" ref="U109"/>
    <hyperlink r:id="rId216" ref="T110"/>
    <hyperlink r:id="rId217" ref="U110"/>
    <hyperlink r:id="rId218" ref="T111"/>
    <hyperlink r:id="rId219" ref="U111"/>
    <hyperlink r:id="rId220" ref="T112"/>
    <hyperlink r:id="rId221" ref="U112"/>
    <hyperlink r:id="rId222" ref="T113"/>
    <hyperlink r:id="rId223" ref="U113"/>
    <hyperlink r:id="rId224" ref="T114"/>
    <hyperlink r:id="rId225" ref="U114"/>
    <hyperlink r:id="rId226" ref="T115"/>
    <hyperlink r:id="rId227" ref="U115"/>
    <hyperlink r:id="rId228" ref="T116"/>
    <hyperlink r:id="rId229" ref="U116"/>
    <hyperlink r:id="rId230" ref="T117"/>
    <hyperlink r:id="rId231" ref="U117"/>
    <hyperlink r:id="rId232" ref="T118"/>
    <hyperlink r:id="rId233" ref="U118"/>
    <hyperlink r:id="rId234" ref="T119"/>
    <hyperlink r:id="rId235" ref="U119"/>
    <hyperlink r:id="rId236" ref="T120"/>
    <hyperlink r:id="rId237" ref="U120"/>
    <hyperlink r:id="rId238" ref="T121"/>
    <hyperlink r:id="rId239" ref="U121"/>
    <hyperlink r:id="rId240" ref="T122"/>
    <hyperlink r:id="rId241" ref="U122"/>
    <hyperlink r:id="rId242" ref="T123"/>
    <hyperlink r:id="rId243" ref="U123"/>
    <hyperlink r:id="rId244" ref="T124"/>
    <hyperlink r:id="rId245" ref="U124"/>
    <hyperlink r:id="rId246" ref="T125"/>
    <hyperlink r:id="rId247" ref="U125"/>
    <hyperlink r:id="rId248" ref="T126"/>
    <hyperlink r:id="rId249" ref="U126"/>
    <hyperlink r:id="rId250" ref="T127"/>
    <hyperlink r:id="rId251" ref="U127"/>
    <hyperlink r:id="rId252" ref="T128"/>
    <hyperlink r:id="rId253" ref="U128"/>
    <hyperlink r:id="rId254" ref="T129"/>
    <hyperlink r:id="rId255" ref="U129"/>
    <hyperlink r:id="rId256" ref="T130"/>
    <hyperlink r:id="rId257" ref="U130"/>
    <hyperlink r:id="rId258" ref="T131"/>
    <hyperlink r:id="rId259" ref="U131"/>
    <hyperlink r:id="rId260" ref="T132"/>
    <hyperlink r:id="rId261" ref="U132"/>
    <hyperlink r:id="rId262" ref="T133"/>
    <hyperlink r:id="rId263" ref="U133"/>
    <hyperlink r:id="rId264" ref="T134"/>
    <hyperlink r:id="rId265" ref="U134"/>
    <hyperlink r:id="rId266" ref="T135"/>
    <hyperlink r:id="rId267" ref="U135"/>
    <hyperlink r:id="rId268" ref="T136"/>
    <hyperlink r:id="rId269" ref="U136"/>
    <hyperlink r:id="rId270" ref="T137"/>
    <hyperlink r:id="rId271" ref="U137"/>
    <hyperlink r:id="rId272" ref="T138"/>
    <hyperlink r:id="rId273" ref="U138"/>
    <hyperlink r:id="rId274" ref="T139"/>
    <hyperlink r:id="rId275" ref="U139"/>
    <hyperlink r:id="rId276" ref="T140"/>
    <hyperlink r:id="rId277" ref="U140"/>
    <hyperlink r:id="rId278" ref="T141"/>
    <hyperlink r:id="rId279" ref="U141"/>
    <hyperlink r:id="rId280" ref="T142"/>
    <hyperlink r:id="rId281" ref="U142"/>
    <hyperlink r:id="rId282" ref="T143"/>
    <hyperlink r:id="rId283" ref="U143"/>
    <hyperlink r:id="rId284" ref="T144"/>
    <hyperlink r:id="rId285" ref="U144"/>
    <hyperlink r:id="rId286" ref="T145"/>
    <hyperlink r:id="rId287" ref="U145"/>
    <hyperlink r:id="rId288" ref="T146"/>
    <hyperlink r:id="rId289" ref="U146"/>
    <hyperlink r:id="rId290" ref="T147"/>
    <hyperlink r:id="rId291" ref="U147"/>
    <hyperlink r:id="rId292" ref="T148"/>
    <hyperlink r:id="rId293" ref="U148"/>
    <hyperlink r:id="rId294" ref="T149"/>
    <hyperlink r:id="rId295" ref="U149"/>
    <hyperlink r:id="rId296" ref="T150"/>
    <hyperlink r:id="rId297" ref="U150"/>
    <hyperlink r:id="rId298" ref="T151"/>
    <hyperlink r:id="rId299" ref="U151"/>
    <hyperlink r:id="rId300" ref="T152"/>
    <hyperlink r:id="rId301" ref="U152"/>
    <hyperlink r:id="rId302" ref="T153"/>
    <hyperlink r:id="rId303" ref="U153"/>
    <hyperlink r:id="rId304" ref="T154"/>
    <hyperlink r:id="rId305" ref="U154"/>
    <hyperlink r:id="rId306" ref="T155"/>
    <hyperlink r:id="rId307" ref="U155"/>
    <hyperlink r:id="rId308" ref="T156"/>
    <hyperlink r:id="rId309" ref="U156"/>
    <hyperlink r:id="rId310" ref="T157"/>
    <hyperlink r:id="rId311" ref="U157"/>
    <hyperlink r:id="rId312" ref="T158"/>
    <hyperlink r:id="rId313" ref="U158"/>
    <hyperlink r:id="rId314" ref="T159"/>
    <hyperlink r:id="rId315" ref="U159"/>
    <hyperlink r:id="rId316" ref="T160"/>
    <hyperlink r:id="rId317" ref="U160"/>
    <hyperlink r:id="rId318" ref="T161"/>
    <hyperlink r:id="rId319" ref="U161"/>
    <hyperlink r:id="rId320" ref="T162"/>
    <hyperlink r:id="rId321" ref="U162"/>
    <hyperlink r:id="rId322" ref="T163"/>
    <hyperlink r:id="rId323" ref="U163"/>
    <hyperlink r:id="rId324" ref="T164"/>
    <hyperlink r:id="rId325" ref="U164"/>
    <hyperlink r:id="rId326" ref="T165"/>
    <hyperlink r:id="rId327" ref="U165"/>
    <hyperlink r:id="rId328" ref="T166"/>
    <hyperlink r:id="rId329" ref="U166"/>
    <hyperlink r:id="rId330" ref="T167"/>
    <hyperlink r:id="rId331" ref="U167"/>
    <hyperlink r:id="rId332" ref="T168"/>
    <hyperlink r:id="rId333" ref="U168"/>
    <hyperlink r:id="rId334" ref="T169"/>
    <hyperlink r:id="rId335" ref="U169"/>
    <hyperlink r:id="rId336" ref="T170"/>
    <hyperlink r:id="rId337" ref="U170"/>
    <hyperlink r:id="rId338" ref="T171"/>
    <hyperlink r:id="rId339" ref="U171"/>
    <hyperlink r:id="rId340" ref="T172"/>
    <hyperlink r:id="rId341" ref="U172"/>
    <hyperlink r:id="rId342" ref="T173"/>
    <hyperlink r:id="rId343" ref="U173"/>
    <hyperlink r:id="rId344" ref="T174"/>
    <hyperlink r:id="rId345" ref="U174"/>
    <hyperlink r:id="rId346" ref="T175"/>
    <hyperlink r:id="rId347" ref="U175"/>
    <hyperlink r:id="rId348" ref="T176"/>
    <hyperlink r:id="rId349" ref="U176"/>
    <hyperlink r:id="rId350" ref="T177"/>
    <hyperlink r:id="rId351" ref="U177"/>
    <hyperlink r:id="rId352" ref="T178"/>
    <hyperlink r:id="rId353" ref="U178"/>
    <hyperlink r:id="rId354" ref="T179"/>
    <hyperlink r:id="rId355" ref="U179"/>
    <hyperlink r:id="rId356" ref="T180"/>
    <hyperlink r:id="rId357" ref="U180"/>
    <hyperlink r:id="rId358" ref="T181"/>
    <hyperlink r:id="rId359" ref="U181"/>
    <hyperlink r:id="rId360" ref="T182"/>
    <hyperlink r:id="rId361" ref="U182"/>
    <hyperlink r:id="rId362" ref="T183"/>
    <hyperlink r:id="rId363" ref="U183"/>
    <hyperlink r:id="rId364" ref="T184"/>
    <hyperlink r:id="rId365" ref="U184"/>
    <hyperlink r:id="rId366" ref="T185"/>
    <hyperlink r:id="rId367" ref="U185"/>
    <hyperlink r:id="rId368" ref="T186"/>
    <hyperlink r:id="rId369" ref="U186"/>
    <hyperlink r:id="rId370" ref="T187"/>
    <hyperlink r:id="rId371" ref="U187"/>
    <hyperlink r:id="rId372" ref="T188"/>
    <hyperlink r:id="rId373" ref="U188"/>
    <hyperlink r:id="rId374" ref="T189"/>
    <hyperlink r:id="rId375" ref="U189"/>
    <hyperlink r:id="rId376" ref="T190"/>
    <hyperlink r:id="rId377" ref="U190"/>
    <hyperlink r:id="rId378" ref="T191"/>
    <hyperlink r:id="rId379" ref="U191"/>
    <hyperlink r:id="rId380" ref="T192"/>
    <hyperlink r:id="rId381" ref="U192"/>
    <hyperlink r:id="rId382" ref="T193"/>
    <hyperlink r:id="rId383" ref="U193"/>
    <hyperlink r:id="rId384" ref="T194"/>
    <hyperlink r:id="rId385" ref="U194"/>
    <hyperlink r:id="rId386" ref="T195"/>
    <hyperlink r:id="rId387" ref="U195"/>
    <hyperlink r:id="rId388" ref="T196"/>
    <hyperlink r:id="rId389" ref="U196"/>
    <hyperlink r:id="rId390" ref="T197"/>
    <hyperlink r:id="rId391" ref="U197"/>
    <hyperlink r:id="rId392" ref="T198"/>
    <hyperlink r:id="rId393" ref="U198"/>
    <hyperlink r:id="rId394" ref="T199"/>
    <hyperlink r:id="rId395" ref="U199"/>
    <hyperlink r:id="rId396" ref="T200"/>
    <hyperlink r:id="rId397" ref="U200"/>
    <hyperlink r:id="rId398" ref="T201"/>
    <hyperlink r:id="rId399" ref="U201"/>
    <hyperlink r:id="rId400" ref="T202"/>
    <hyperlink r:id="rId401" ref="U202"/>
    <hyperlink r:id="rId402" ref="T203"/>
    <hyperlink r:id="rId403" ref="U203"/>
    <hyperlink r:id="rId404" ref="T204"/>
    <hyperlink r:id="rId405" ref="U204"/>
    <hyperlink r:id="rId406" ref="T205"/>
    <hyperlink r:id="rId407" ref="U205"/>
    <hyperlink r:id="rId408" ref="T206"/>
    <hyperlink r:id="rId409" ref="U206"/>
    <hyperlink r:id="rId410" ref="T207"/>
    <hyperlink r:id="rId411" ref="U207"/>
    <hyperlink r:id="rId412" ref="T208"/>
    <hyperlink r:id="rId413" ref="U208"/>
    <hyperlink r:id="rId414" ref="T209"/>
    <hyperlink r:id="rId415" ref="U209"/>
    <hyperlink r:id="rId416" ref="T210"/>
    <hyperlink r:id="rId417" ref="U210"/>
    <hyperlink r:id="rId418" ref="T211"/>
    <hyperlink r:id="rId419" ref="U211"/>
    <hyperlink r:id="rId420" ref="T212"/>
    <hyperlink r:id="rId421" ref="U212"/>
    <hyperlink r:id="rId422" ref="T213"/>
    <hyperlink r:id="rId423" ref="U213"/>
    <hyperlink r:id="rId424" ref="T214"/>
    <hyperlink r:id="rId425" ref="U214"/>
    <hyperlink r:id="rId426" ref="T215"/>
    <hyperlink r:id="rId427" ref="U215"/>
    <hyperlink r:id="rId428" ref="T216"/>
    <hyperlink r:id="rId429" ref="U216"/>
    <hyperlink r:id="rId430" ref="T217"/>
    <hyperlink r:id="rId431" ref="U217"/>
    <hyperlink r:id="rId432" ref="T218"/>
    <hyperlink r:id="rId433" ref="U218"/>
    <hyperlink r:id="rId434" ref="T219"/>
    <hyperlink r:id="rId435" ref="U219"/>
    <hyperlink r:id="rId436" ref="T220"/>
    <hyperlink r:id="rId437" ref="U220"/>
    <hyperlink r:id="rId438" ref="T221"/>
    <hyperlink r:id="rId439" ref="U221"/>
    <hyperlink r:id="rId440" ref="T222"/>
    <hyperlink r:id="rId441" ref="U222"/>
    <hyperlink r:id="rId442" ref="T223"/>
    <hyperlink r:id="rId443" ref="U223"/>
    <hyperlink r:id="rId444" ref="T224"/>
    <hyperlink r:id="rId445" ref="U224"/>
    <hyperlink r:id="rId446" ref="T225"/>
    <hyperlink r:id="rId447" ref="U225"/>
    <hyperlink r:id="rId448" ref="T226"/>
    <hyperlink r:id="rId449" ref="U226"/>
    <hyperlink r:id="rId450" ref="T227"/>
    <hyperlink r:id="rId451" ref="U227"/>
    <hyperlink r:id="rId452" ref="T228"/>
    <hyperlink r:id="rId453" ref="U228"/>
    <hyperlink r:id="rId454" ref="T229"/>
    <hyperlink r:id="rId455" ref="U229"/>
    <hyperlink r:id="rId456" ref="T230"/>
    <hyperlink r:id="rId457" ref="U230"/>
    <hyperlink r:id="rId458" ref="T231"/>
    <hyperlink r:id="rId459" ref="U231"/>
    <hyperlink r:id="rId460" ref="T232"/>
    <hyperlink r:id="rId461" ref="U232"/>
    <hyperlink r:id="rId462" ref="T233"/>
    <hyperlink r:id="rId463" ref="U233"/>
    <hyperlink r:id="rId464" ref="T234"/>
    <hyperlink r:id="rId465" ref="U234"/>
    <hyperlink r:id="rId466" ref="T235"/>
    <hyperlink r:id="rId467" ref="U235"/>
    <hyperlink r:id="rId468" ref="T236"/>
    <hyperlink r:id="rId469" ref="U236"/>
    <hyperlink r:id="rId470" ref="T237"/>
    <hyperlink r:id="rId471" ref="U237"/>
    <hyperlink r:id="rId472" ref="T238"/>
    <hyperlink r:id="rId473" ref="U238"/>
    <hyperlink r:id="rId474" ref="T239"/>
    <hyperlink r:id="rId475" ref="U239"/>
    <hyperlink r:id="rId476" ref="T240"/>
    <hyperlink r:id="rId477" ref="U240"/>
    <hyperlink r:id="rId478" ref="T241"/>
    <hyperlink r:id="rId479" ref="U241"/>
    <hyperlink r:id="rId480" ref="T242"/>
    <hyperlink r:id="rId481" ref="U242"/>
    <hyperlink r:id="rId482" ref="T243"/>
    <hyperlink r:id="rId483" ref="U243"/>
    <hyperlink r:id="rId484" ref="T244"/>
    <hyperlink r:id="rId485" ref="U244"/>
    <hyperlink r:id="rId486" ref="T245"/>
    <hyperlink r:id="rId487" ref="U245"/>
    <hyperlink r:id="rId488" ref="T246"/>
    <hyperlink r:id="rId489" ref="U246"/>
    <hyperlink r:id="rId490" ref="T247"/>
    <hyperlink r:id="rId491" ref="U247"/>
    <hyperlink r:id="rId492" ref="T248"/>
    <hyperlink r:id="rId493" ref="U248"/>
    <hyperlink r:id="rId494" ref="T249"/>
    <hyperlink r:id="rId495" ref="U249"/>
    <hyperlink r:id="rId496" ref="T250"/>
    <hyperlink r:id="rId497" ref="U250"/>
    <hyperlink r:id="rId498" ref="T251"/>
    <hyperlink r:id="rId499" ref="U251"/>
    <hyperlink r:id="rId500" ref="T252"/>
    <hyperlink r:id="rId501" ref="U252"/>
    <hyperlink r:id="rId502" ref="T253"/>
    <hyperlink r:id="rId503" ref="U253"/>
    <hyperlink r:id="rId504" ref="T254"/>
    <hyperlink r:id="rId505" ref="U254"/>
    <hyperlink r:id="rId506" ref="T255"/>
    <hyperlink r:id="rId507" ref="U255"/>
    <hyperlink r:id="rId508" ref="T256"/>
    <hyperlink r:id="rId509" ref="U256"/>
    <hyperlink r:id="rId510" ref="T257"/>
    <hyperlink r:id="rId511" ref="U257"/>
    <hyperlink r:id="rId512" ref="T258"/>
    <hyperlink r:id="rId513" ref="U258"/>
    <hyperlink r:id="rId514" ref="T259"/>
    <hyperlink r:id="rId515" ref="U259"/>
    <hyperlink r:id="rId516" ref="T260"/>
    <hyperlink r:id="rId517" ref="U260"/>
    <hyperlink r:id="rId518" ref="T261"/>
    <hyperlink r:id="rId519" ref="U261"/>
    <hyperlink r:id="rId520" ref="T262"/>
    <hyperlink r:id="rId521" ref="U262"/>
    <hyperlink r:id="rId522" ref="T263"/>
    <hyperlink r:id="rId523" ref="U263"/>
    <hyperlink r:id="rId524" ref="T264"/>
    <hyperlink r:id="rId525" ref="U264"/>
    <hyperlink r:id="rId526" ref="T265"/>
    <hyperlink r:id="rId527" ref="U265"/>
    <hyperlink r:id="rId528" ref="T266"/>
    <hyperlink r:id="rId529" ref="U266"/>
    <hyperlink r:id="rId530" ref="T267"/>
    <hyperlink r:id="rId531" ref="U267"/>
    <hyperlink r:id="rId532" ref="T268"/>
    <hyperlink r:id="rId533" ref="U268"/>
    <hyperlink r:id="rId534" ref="T269"/>
    <hyperlink r:id="rId535" ref="U269"/>
    <hyperlink r:id="rId536" ref="T270"/>
    <hyperlink r:id="rId537" ref="U270"/>
    <hyperlink r:id="rId538" ref="T271"/>
    <hyperlink r:id="rId539" ref="U271"/>
    <hyperlink r:id="rId540" ref="T272"/>
    <hyperlink r:id="rId541" ref="U272"/>
    <hyperlink r:id="rId542" ref="T273"/>
    <hyperlink r:id="rId543" ref="U273"/>
    <hyperlink r:id="rId544" ref="T274"/>
    <hyperlink r:id="rId545" ref="U274"/>
    <hyperlink r:id="rId546" ref="T275"/>
    <hyperlink r:id="rId547" ref="U275"/>
    <hyperlink r:id="rId548" ref="T276"/>
    <hyperlink r:id="rId549" ref="U276"/>
    <hyperlink r:id="rId550" ref="T277"/>
    <hyperlink r:id="rId551" ref="U277"/>
    <hyperlink r:id="rId552" ref="T278"/>
    <hyperlink r:id="rId553" ref="U278"/>
    <hyperlink r:id="rId554" ref="T279"/>
    <hyperlink r:id="rId555" ref="U279"/>
    <hyperlink r:id="rId556" ref="T280"/>
    <hyperlink r:id="rId557" ref="U280"/>
    <hyperlink r:id="rId558" ref="T281"/>
    <hyperlink r:id="rId559" ref="U281"/>
    <hyperlink r:id="rId560" ref="T282"/>
    <hyperlink r:id="rId561" ref="U282"/>
    <hyperlink r:id="rId562" ref="T283"/>
    <hyperlink r:id="rId563" ref="U283"/>
    <hyperlink r:id="rId564" ref="T284"/>
    <hyperlink r:id="rId565" ref="U284"/>
    <hyperlink r:id="rId566" ref="T285"/>
    <hyperlink r:id="rId567" ref="U285"/>
    <hyperlink r:id="rId568" ref="T286"/>
    <hyperlink r:id="rId569" ref="U286"/>
    <hyperlink r:id="rId570" ref="T287"/>
    <hyperlink r:id="rId571" ref="U287"/>
    <hyperlink r:id="rId572" ref="T288"/>
    <hyperlink r:id="rId573" ref="U288"/>
    <hyperlink r:id="rId574" ref="T289"/>
    <hyperlink r:id="rId575" ref="U289"/>
    <hyperlink r:id="rId576" ref="T290"/>
    <hyperlink r:id="rId577" ref="U290"/>
    <hyperlink r:id="rId578" ref="T291"/>
    <hyperlink r:id="rId579" ref="U291"/>
    <hyperlink r:id="rId580" ref="T292"/>
    <hyperlink r:id="rId581" ref="U292"/>
    <hyperlink r:id="rId582" ref="T293"/>
    <hyperlink r:id="rId583" ref="U293"/>
    <hyperlink r:id="rId584" ref="T294"/>
    <hyperlink r:id="rId585" ref="U294"/>
    <hyperlink r:id="rId586" ref="T295"/>
    <hyperlink r:id="rId587" ref="U295"/>
    <hyperlink r:id="rId588" ref="T296"/>
    <hyperlink r:id="rId589" ref="U296"/>
    <hyperlink r:id="rId590" ref="T297"/>
    <hyperlink r:id="rId591" ref="U297"/>
    <hyperlink r:id="rId592" ref="T298"/>
    <hyperlink r:id="rId593" ref="U298"/>
    <hyperlink r:id="rId594" ref="T299"/>
    <hyperlink r:id="rId595" ref="U299"/>
    <hyperlink r:id="rId596" ref="T300"/>
    <hyperlink r:id="rId597" ref="U300"/>
    <hyperlink r:id="rId598" ref="T301"/>
    <hyperlink r:id="rId599" ref="U301"/>
    <hyperlink r:id="rId600" ref="T302"/>
    <hyperlink r:id="rId601" ref="U302"/>
    <hyperlink r:id="rId602" ref="T303"/>
    <hyperlink r:id="rId603" ref="U303"/>
    <hyperlink r:id="rId604" ref="T304"/>
    <hyperlink r:id="rId605" ref="U304"/>
    <hyperlink r:id="rId606" ref="T305"/>
    <hyperlink r:id="rId607" ref="U305"/>
    <hyperlink r:id="rId608" ref="T306"/>
    <hyperlink r:id="rId609" ref="U306"/>
    <hyperlink r:id="rId610" ref="W306"/>
    <hyperlink r:id="rId611" ref="T307"/>
    <hyperlink r:id="rId612" ref="U307"/>
    <hyperlink r:id="rId613" ref="T308"/>
    <hyperlink r:id="rId614" ref="U308"/>
    <hyperlink r:id="rId615" ref="T309"/>
    <hyperlink r:id="rId616" ref="U309"/>
    <hyperlink r:id="rId617" ref="T310"/>
    <hyperlink r:id="rId618" ref="U310"/>
    <hyperlink r:id="rId619" ref="T311"/>
    <hyperlink r:id="rId620" ref="U311"/>
    <hyperlink r:id="rId621" ref="T312"/>
    <hyperlink r:id="rId622" ref="U312"/>
    <hyperlink r:id="rId623" ref="T313"/>
    <hyperlink r:id="rId624" ref="U313"/>
    <hyperlink r:id="rId625" ref="T314"/>
    <hyperlink r:id="rId626" ref="U314"/>
    <hyperlink r:id="rId627" ref="T315"/>
    <hyperlink r:id="rId628" ref="U315"/>
    <hyperlink r:id="rId629" ref="T316"/>
    <hyperlink r:id="rId630" ref="U316"/>
    <hyperlink r:id="rId631" ref="T317"/>
    <hyperlink r:id="rId632" ref="U317"/>
    <hyperlink r:id="rId633" ref="T318"/>
    <hyperlink r:id="rId634" ref="U318"/>
    <hyperlink r:id="rId635" ref="T319"/>
    <hyperlink r:id="rId636" ref="U319"/>
    <hyperlink r:id="rId637" ref="T320"/>
    <hyperlink r:id="rId638" ref="U320"/>
    <hyperlink r:id="rId639" ref="T321"/>
    <hyperlink r:id="rId640" ref="U321"/>
    <hyperlink r:id="rId641" ref="T322"/>
    <hyperlink r:id="rId642" ref="U322"/>
    <hyperlink r:id="rId643" ref="T323"/>
    <hyperlink r:id="rId644" ref="U323"/>
    <hyperlink r:id="rId645" ref="T324"/>
    <hyperlink r:id="rId646" ref="U324"/>
    <hyperlink r:id="rId647" ref="T325"/>
    <hyperlink r:id="rId648" ref="U325"/>
    <hyperlink r:id="rId649" ref="T326"/>
    <hyperlink r:id="rId650" ref="U326"/>
    <hyperlink r:id="rId651" ref="T327"/>
    <hyperlink r:id="rId652" ref="U327"/>
    <hyperlink r:id="rId653" ref="T328"/>
    <hyperlink r:id="rId654" ref="U328"/>
    <hyperlink r:id="rId655" ref="T329"/>
    <hyperlink r:id="rId656" ref="U329"/>
    <hyperlink r:id="rId657" ref="T330"/>
    <hyperlink r:id="rId658" ref="U330"/>
    <hyperlink r:id="rId659" ref="T331"/>
    <hyperlink r:id="rId660" ref="U331"/>
    <hyperlink r:id="rId661" ref="T332"/>
    <hyperlink r:id="rId662" ref="U332"/>
    <hyperlink r:id="rId663" ref="T333"/>
    <hyperlink r:id="rId664" ref="U333"/>
    <hyperlink r:id="rId665" ref="T334"/>
    <hyperlink r:id="rId666" ref="U334"/>
    <hyperlink r:id="rId667" ref="T335"/>
    <hyperlink r:id="rId668" ref="U335"/>
    <hyperlink r:id="rId669" ref="T336"/>
    <hyperlink r:id="rId670" ref="U336"/>
    <hyperlink r:id="rId671" ref="T337"/>
    <hyperlink r:id="rId672" ref="U337"/>
    <hyperlink r:id="rId673" ref="T338"/>
    <hyperlink r:id="rId674" ref="U338"/>
    <hyperlink r:id="rId675" ref="T339"/>
    <hyperlink r:id="rId676" ref="U339"/>
    <hyperlink r:id="rId677" ref="T340"/>
    <hyperlink r:id="rId678" ref="U340"/>
    <hyperlink r:id="rId679" ref="T341"/>
    <hyperlink r:id="rId680" ref="U341"/>
    <hyperlink r:id="rId681" ref="T342"/>
    <hyperlink r:id="rId682" ref="U342"/>
    <hyperlink r:id="rId683" ref="T343"/>
    <hyperlink r:id="rId684" ref="U343"/>
    <hyperlink r:id="rId685" ref="T344"/>
    <hyperlink r:id="rId686" ref="U344"/>
    <hyperlink r:id="rId687" ref="T345"/>
    <hyperlink r:id="rId688" ref="U345"/>
    <hyperlink r:id="rId689" ref="T346"/>
    <hyperlink r:id="rId690" ref="U346"/>
    <hyperlink r:id="rId691" ref="T347"/>
    <hyperlink r:id="rId692" ref="U347"/>
    <hyperlink r:id="rId693" ref="T348"/>
    <hyperlink r:id="rId694" ref="U348"/>
    <hyperlink r:id="rId695" ref="T349"/>
    <hyperlink r:id="rId696" ref="U349"/>
    <hyperlink r:id="rId697" ref="T350"/>
    <hyperlink r:id="rId698" ref="U350"/>
    <hyperlink r:id="rId699" ref="T351"/>
    <hyperlink r:id="rId700" ref="U351"/>
    <hyperlink r:id="rId701" ref="T352"/>
    <hyperlink r:id="rId702" ref="U352"/>
    <hyperlink r:id="rId703" ref="T353"/>
    <hyperlink r:id="rId704" ref="U353"/>
    <hyperlink r:id="rId705" ref="T354"/>
  </hyperlinks>
  <printOptions horizontalCentered="1"/>
  <pageMargins bottom="0.75" footer="0.0" header="0.0" left="0.0" right="0.0" top="0.75"/>
  <pageSetup fitToHeight="0" paperSize="8" orientation="landscape" pageOrder="overThenDown"/>
  <drawing r:id="rId7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51.63"/>
    <col customWidth="1" min="3" max="3" width="34.88"/>
    <col customWidth="1" min="4" max="4" width="29.0"/>
    <col customWidth="1" min="5" max="5" width="28.0"/>
    <col customWidth="1" min="6" max="7" width="41.13"/>
  </cols>
  <sheetData>
    <row r="1" ht="15.75" customHeight="1">
      <c r="A1" s="266" t="s">
        <v>0</v>
      </c>
      <c r="B1" s="267" t="s">
        <v>11</v>
      </c>
      <c r="C1" s="268" t="s">
        <v>3932</v>
      </c>
      <c r="D1" s="266" t="s">
        <v>3933</v>
      </c>
      <c r="E1" s="266" t="s">
        <v>3934</v>
      </c>
      <c r="F1" s="269"/>
      <c r="G1" s="269"/>
    </row>
    <row r="2" ht="337.5" customHeight="1">
      <c r="A2" s="270" t="s">
        <v>3935</v>
      </c>
      <c r="B2" s="271" t="s">
        <v>3936</v>
      </c>
      <c r="C2" s="272" t="s">
        <v>3937</v>
      </c>
      <c r="D2" s="273" t="s">
        <v>3938</v>
      </c>
      <c r="E2" s="274" t="s">
        <v>3939</v>
      </c>
      <c r="F2" s="275" t="s">
        <v>3940</v>
      </c>
      <c r="G2" s="274"/>
    </row>
  </sheetData>
  <hyperlinks>
    <hyperlink r:id="rId1" ref="A2"/>
    <hyperlink r:id="rId2" ref="D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51.63"/>
    <col customWidth="1" min="3" max="3" width="34.88"/>
    <col customWidth="1" min="4" max="4" width="29.0"/>
    <col customWidth="1" min="5" max="5" width="28.0"/>
    <col customWidth="1" min="6" max="7" width="41.13"/>
  </cols>
  <sheetData>
    <row r="1" ht="15.75" customHeight="1">
      <c r="A1" s="266" t="s">
        <v>0</v>
      </c>
      <c r="B1" s="267" t="s">
        <v>11</v>
      </c>
      <c r="C1" s="268" t="s">
        <v>3932</v>
      </c>
      <c r="D1" s="266" t="s">
        <v>3933</v>
      </c>
      <c r="E1" s="266" t="s">
        <v>3934</v>
      </c>
      <c r="F1" s="269"/>
      <c r="G1" s="269"/>
    </row>
    <row r="2" ht="337.5" customHeight="1">
      <c r="A2" s="270" t="s">
        <v>3941</v>
      </c>
      <c r="B2" s="271" t="s">
        <v>3942</v>
      </c>
      <c r="C2" s="272" t="s">
        <v>3937</v>
      </c>
      <c r="D2" s="276" t="s">
        <v>3943</v>
      </c>
      <c r="E2" s="274" t="s">
        <v>3939</v>
      </c>
      <c r="F2" s="275" t="s">
        <v>3944</v>
      </c>
      <c r="G2" s="274"/>
    </row>
  </sheetData>
  <hyperlinks>
    <hyperlink r:id="rId1" ref="A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75"/>
    <col customWidth="1" min="2" max="2" width="29.88"/>
    <col customWidth="1" min="3" max="4" width="34.88"/>
    <col customWidth="1" min="5" max="5" width="25.75"/>
    <col customWidth="1" min="6" max="6" width="29.0"/>
    <col customWidth="1" min="7" max="7" width="31.25"/>
    <col customWidth="1" min="8" max="8" width="41.13"/>
  </cols>
  <sheetData>
    <row r="1" ht="15.75" customHeight="1">
      <c r="A1" s="266" t="s">
        <v>0</v>
      </c>
      <c r="B1" s="267" t="s">
        <v>11</v>
      </c>
      <c r="C1" s="268" t="s">
        <v>3932</v>
      </c>
      <c r="D1" s="277" t="s">
        <v>3932</v>
      </c>
      <c r="E1" s="278" t="s">
        <v>3934</v>
      </c>
      <c r="F1" s="266" t="s">
        <v>3933</v>
      </c>
      <c r="G1" s="279"/>
      <c r="H1" s="269"/>
    </row>
    <row r="2" ht="337.5" customHeight="1">
      <c r="A2" s="270" t="s">
        <v>3945</v>
      </c>
      <c r="B2" s="280" t="s">
        <v>3946</v>
      </c>
      <c r="C2" s="272" t="s">
        <v>3947</v>
      </c>
      <c r="D2" s="272" t="s">
        <v>3948</v>
      </c>
      <c r="E2" s="271" t="s">
        <v>3949</v>
      </c>
      <c r="F2" s="273" t="s">
        <v>3950</v>
      </c>
      <c r="G2" s="281" t="s">
        <v>3940</v>
      </c>
      <c r="H2" s="276" t="s">
        <v>3951</v>
      </c>
    </row>
  </sheetData>
  <hyperlinks>
    <hyperlink r:id="rId1" ref="A2"/>
    <hyperlink r:id="rId2" ref="F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1" ht="39.75" customHeight="1"/>
    <row r="2" ht="39.75" customHeight="1">
      <c r="B2" s="282"/>
    </row>
    <row r="3" ht="39.75" customHeight="1"/>
    <row r="4" ht="39.75" customHeight="1"/>
    <row r="5" ht="39.75" customHeight="1"/>
    <row r="6" ht="39.75" customHeight="1">
      <c r="B6" s="283"/>
      <c r="C6" s="284" t="s">
        <v>3952</v>
      </c>
      <c r="D6" s="285"/>
      <c r="E6" s="285"/>
      <c r="F6" s="286"/>
    </row>
    <row r="7" ht="39.75" customHeight="1">
      <c r="J7" s="287" t="s">
        <v>3953</v>
      </c>
    </row>
    <row r="8" ht="39.75" customHeight="1">
      <c r="B8" s="288"/>
      <c r="C8" s="284" t="s">
        <v>3954</v>
      </c>
      <c r="D8" s="285"/>
      <c r="E8" s="285"/>
      <c r="F8" s="286"/>
    </row>
    <row r="9" ht="39.75" customHeight="1"/>
    <row r="10" ht="39.75" customHeight="1">
      <c r="B10" s="289"/>
      <c r="C10" s="284" t="s">
        <v>3955</v>
      </c>
      <c r="D10" s="285"/>
      <c r="E10" s="285"/>
      <c r="F10" s="286"/>
    </row>
    <row r="11" ht="39.75" customHeight="1"/>
    <row r="12" ht="39.75" customHeight="1">
      <c r="B12" s="290"/>
      <c r="C12" s="291" t="s">
        <v>3956</v>
      </c>
      <c r="D12" s="285"/>
      <c r="E12" s="285"/>
      <c r="F12" s="286"/>
    </row>
    <row r="13" ht="39.75" customHeight="1"/>
    <row r="14" ht="27.75" customHeight="1">
      <c r="B14" s="259" t="s">
        <v>3957</v>
      </c>
      <c r="G14" s="292" t="s">
        <v>3958</v>
      </c>
    </row>
    <row r="15" ht="39.75" customHeight="1">
      <c r="B15" s="293"/>
      <c r="C15" s="294">
        <v>281.0</v>
      </c>
      <c r="D15" s="295" t="s">
        <v>2851</v>
      </c>
      <c r="E15" s="296" t="s">
        <v>181</v>
      </c>
      <c r="F15" s="297" t="s">
        <v>2854</v>
      </c>
      <c r="G15" s="298">
        <v>48.278728</v>
      </c>
      <c r="H15" s="298">
        <v>20.21423</v>
      </c>
    </row>
    <row r="16" ht="39.75" customHeight="1">
      <c r="B16" s="299" t="s">
        <v>3959</v>
      </c>
    </row>
    <row r="17" ht="39.75" customHeight="1"/>
    <row r="18" ht="39.75" customHeight="1"/>
    <row r="19" ht="39.75" customHeight="1"/>
    <row r="20" ht="39.75" customHeight="1"/>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mergeCells count="5">
    <mergeCell ref="C6:F6"/>
    <mergeCell ref="C8:F8"/>
    <mergeCell ref="C10:F10"/>
    <mergeCell ref="C12:F12"/>
    <mergeCell ref="G14:H14"/>
  </mergeCells>
  <hyperlinks>
    <hyperlink r:id="rId1" ref="B1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88"/>
  </cols>
  <sheetData>
    <row r="1" ht="47.25" customHeight="1">
      <c r="A1" s="300"/>
      <c r="B1" s="300" t="s">
        <v>3960</v>
      </c>
      <c r="C1" s="301"/>
      <c r="D1" s="302" t="s">
        <v>3961</v>
      </c>
      <c r="E1" s="303"/>
      <c r="F1" s="304"/>
      <c r="G1" s="305"/>
      <c r="H1" s="303"/>
      <c r="I1" s="305"/>
      <c r="J1" s="301"/>
      <c r="K1" s="306"/>
      <c r="L1" s="307"/>
      <c r="M1" s="301"/>
      <c r="N1" s="306"/>
      <c r="O1" s="301"/>
      <c r="P1" s="301"/>
      <c r="Q1" s="300"/>
      <c r="R1" s="300"/>
      <c r="S1" s="308"/>
      <c r="T1" s="308"/>
      <c r="U1" s="308"/>
      <c r="V1" s="308"/>
      <c r="W1" s="303"/>
      <c r="X1" s="303"/>
      <c r="Y1" s="301"/>
      <c r="Z1" s="309"/>
      <c r="AA1" s="309"/>
      <c r="AB1" s="310"/>
      <c r="AC1" s="303"/>
      <c r="AD1" s="303"/>
      <c r="AE1" s="303"/>
      <c r="AF1" s="303"/>
      <c r="AG1" s="303"/>
      <c r="AH1" s="311"/>
      <c r="AI1" s="303"/>
      <c r="AJ1" s="303"/>
      <c r="AK1" s="303"/>
      <c r="AL1" s="311"/>
      <c r="AM1" s="303"/>
      <c r="AN1" s="303"/>
      <c r="AO1" s="303"/>
      <c r="AP1" s="311"/>
      <c r="AQ1" s="303"/>
      <c r="AR1" s="303"/>
      <c r="AS1" s="311"/>
      <c r="AT1" s="311"/>
      <c r="AU1" s="311"/>
      <c r="AV1" s="311"/>
      <c r="AW1" s="311"/>
      <c r="AX1" s="311"/>
      <c r="AY1" s="311"/>
      <c r="AZ1" s="311"/>
      <c r="BA1" s="311"/>
      <c r="BB1" s="311"/>
      <c r="BC1" s="311"/>
      <c r="BD1" s="311"/>
      <c r="BE1" s="311"/>
      <c r="BF1" s="311"/>
      <c r="BG1" s="311"/>
      <c r="BH1" s="311"/>
      <c r="BI1" s="311"/>
      <c r="BJ1" s="311"/>
      <c r="BK1" s="311"/>
      <c r="BL1" s="311"/>
      <c r="BM1" s="311"/>
      <c r="BN1" s="311"/>
      <c r="BO1" s="311"/>
      <c r="BP1" s="311"/>
    </row>
    <row r="2" ht="15.75" customHeight="1">
      <c r="A2" s="312">
        <v>1.0</v>
      </c>
      <c r="B2" s="312" t="s">
        <v>3962</v>
      </c>
      <c r="C2" s="293"/>
      <c r="D2" s="313">
        <v>53.0</v>
      </c>
      <c r="E2" s="314" t="s">
        <v>3963</v>
      </c>
      <c r="F2" s="315" t="s">
        <v>134</v>
      </c>
      <c r="G2" s="316" t="str">
        <f t="shared" ref="G2:G3" si="1">CONCATENATE(F2,", . celé Slovensko")</f>
        <v>Trenčiansky kraj, . celé Slovensko</v>
      </c>
      <c r="H2" s="296" t="s">
        <v>244</v>
      </c>
      <c r="I2" s="316" t="str">
        <f t="shared" ref="I2:I3" si="2">CONCATENATE(H2,", . všetky kategórie")</f>
        <v>potraviny a nápoje, . všetky kategórie</v>
      </c>
      <c r="J2" s="317" t="s">
        <v>96</v>
      </c>
      <c r="K2" s="318" t="str">
        <f t="shared" ref="K2:K3" si="3">CONCATENATE(J2,", . nezáleží")</f>
        <v>6 - 10, . nezáleží</v>
      </c>
      <c r="L2" s="319">
        <f t="shared" ref="L2:L3" si="4">IF(LEN(AA2)&gt;1, RAND()*TODAY(),RAND())</f>
        <v>8026.243858</v>
      </c>
      <c r="M2" s="293"/>
      <c r="N2" s="320" t="str">
        <f>IFERROR(__xludf.DUMMYFUNCTION("SPLIT(P2,"","")"),"Tužina 537 ")</f>
        <v>Tužina 537 </v>
      </c>
      <c r="O2" s="321" t="str">
        <f>IFERROR(__xludf.DUMMYFUNCTION("""COMPUTED_VALUE""")," 972 14 Tužina")</f>
        <v> 972 14 Tužina</v>
      </c>
      <c r="P2" s="321" t="s">
        <v>3964</v>
      </c>
      <c r="Q2" s="322">
        <v>48.8937886999999</v>
      </c>
      <c r="R2" s="322">
        <v>18.6164555</v>
      </c>
      <c r="S2" s="323" t="s">
        <v>3965</v>
      </c>
      <c r="T2" s="323"/>
      <c r="U2" s="324"/>
      <c r="V2" s="324"/>
      <c r="W2" s="325"/>
      <c r="X2" s="326" t="s">
        <v>3966</v>
      </c>
      <c r="Y2" s="327" t="s">
        <v>3967</v>
      </c>
      <c r="Z2" s="328" t="s">
        <v>3968</v>
      </c>
      <c r="AA2" s="329" t="s">
        <v>3969</v>
      </c>
      <c r="AB2" s="330" t="s">
        <v>3970</v>
      </c>
      <c r="AC2" s="331" t="s">
        <v>3971</v>
      </c>
      <c r="AD2" s="332" t="s">
        <v>3963</v>
      </c>
      <c r="AE2" s="326" t="s">
        <v>3972</v>
      </c>
      <c r="AF2" s="333" t="s">
        <v>3973</v>
      </c>
      <c r="AG2" s="334" t="s">
        <v>64</v>
      </c>
      <c r="AH2" s="335"/>
      <c r="AI2" s="326"/>
      <c r="AJ2" s="333"/>
      <c r="AK2" s="334"/>
      <c r="AL2" s="335"/>
      <c r="AM2" s="326"/>
      <c r="AN2" s="333"/>
      <c r="AO2" s="334"/>
      <c r="AP2" s="335"/>
      <c r="AQ2" s="326"/>
      <c r="AR2" s="333"/>
      <c r="AS2" s="336"/>
      <c r="AT2" s="336"/>
      <c r="AU2" s="336"/>
      <c r="AV2" s="336"/>
      <c r="AW2" s="336"/>
      <c r="AX2" s="336"/>
      <c r="AY2" s="336"/>
      <c r="AZ2" s="336"/>
      <c r="BA2" s="336"/>
      <c r="BB2" s="336"/>
      <c r="BC2" s="336"/>
      <c r="BD2" s="336"/>
      <c r="BE2" s="336"/>
      <c r="BF2" s="336"/>
      <c r="BG2" s="336"/>
      <c r="BH2" s="336"/>
      <c r="BI2" s="336"/>
      <c r="BJ2" s="336"/>
      <c r="BK2" s="336"/>
      <c r="BL2" s="336"/>
      <c r="BM2" s="336"/>
      <c r="BN2" s="336"/>
      <c r="BO2" s="336"/>
      <c r="BP2" s="336"/>
    </row>
    <row r="3" ht="15.75" customHeight="1">
      <c r="A3" s="337">
        <v>2.0</v>
      </c>
      <c r="B3" s="337" t="s">
        <v>3962</v>
      </c>
      <c r="C3" s="338"/>
      <c r="D3" s="313">
        <v>232.0</v>
      </c>
      <c r="E3" s="339" t="s">
        <v>3974</v>
      </c>
      <c r="F3" s="340" t="s">
        <v>94</v>
      </c>
      <c r="G3" s="316" t="str">
        <f t="shared" si="1"/>
        <v>Bratislavský kraj, . celé Slovensko</v>
      </c>
      <c r="H3" s="341" t="s">
        <v>244</v>
      </c>
      <c r="I3" s="316" t="str">
        <f t="shared" si="2"/>
        <v>potraviny a nápoje, . všetky kategórie</v>
      </c>
      <c r="J3" s="342" t="s">
        <v>53</v>
      </c>
      <c r="K3" s="318" t="str">
        <f t="shared" si="3"/>
        <v>1 - 5, . nezáleží</v>
      </c>
      <c r="L3" s="319">
        <f t="shared" si="4"/>
        <v>6443.369489</v>
      </c>
      <c r="M3" s="338"/>
      <c r="N3" s="320" t="str">
        <f>IFERROR(__xludf.DUMMYFUNCTION("SPLIT(P3,"","")"),"Budmerice 589")</f>
        <v>Budmerice 589</v>
      </c>
      <c r="O3" s="343" t="str">
        <f>IFERROR(__xludf.DUMMYFUNCTION("""COMPUTED_VALUE""")," 900 86 Budmerice")</f>
        <v> 900 86 Budmerice</v>
      </c>
      <c r="P3" s="343" t="s">
        <v>3975</v>
      </c>
      <c r="Q3" s="344">
        <v>48.3536722</v>
      </c>
      <c r="R3" s="344">
        <v>17.4062449</v>
      </c>
      <c r="S3" s="345"/>
      <c r="T3" s="345"/>
      <c r="U3" s="345"/>
      <c r="V3" s="345"/>
      <c r="W3" s="346"/>
      <c r="X3" s="347" t="s">
        <v>3976</v>
      </c>
      <c r="Y3" s="348" t="s">
        <v>3977</v>
      </c>
      <c r="Z3" s="349" t="s">
        <v>3978</v>
      </c>
      <c r="AA3" s="350" t="s">
        <v>3979</v>
      </c>
      <c r="AB3" s="351" t="s">
        <v>3980</v>
      </c>
      <c r="AC3" s="352" t="s">
        <v>3981</v>
      </c>
      <c r="AD3" s="353" t="s">
        <v>3982</v>
      </c>
      <c r="AE3" s="354" t="s">
        <v>3983</v>
      </c>
      <c r="AF3" s="355" t="s">
        <v>3984</v>
      </c>
      <c r="AG3" s="356" t="s">
        <v>64</v>
      </c>
      <c r="AH3" s="357"/>
      <c r="AI3" s="358"/>
      <c r="AJ3" s="358"/>
      <c r="AK3" s="358"/>
      <c r="AL3" s="358"/>
      <c r="AM3" s="357"/>
      <c r="AN3" s="357"/>
      <c r="AO3" s="359"/>
      <c r="AP3" s="358"/>
      <c r="AQ3" s="360"/>
      <c r="AR3" s="361"/>
      <c r="AS3" s="336"/>
      <c r="AT3" s="336"/>
      <c r="AU3" s="336"/>
      <c r="AV3" s="336"/>
      <c r="AW3" s="336"/>
      <c r="AX3" s="336"/>
      <c r="AY3" s="336"/>
      <c r="AZ3" s="336"/>
      <c r="BA3" s="336"/>
      <c r="BB3" s="336"/>
      <c r="BC3" s="336"/>
      <c r="BD3" s="336"/>
      <c r="BE3" s="336"/>
      <c r="BF3" s="336"/>
      <c r="BG3" s="336"/>
      <c r="BH3" s="336"/>
      <c r="BI3" s="336"/>
      <c r="BJ3" s="336"/>
      <c r="BK3" s="336"/>
      <c r="BL3" s="336"/>
      <c r="BM3" s="336"/>
      <c r="BN3" s="336"/>
      <c r="BO3" s="336"/>
      <c r="BP3" s="336"/>
    </row>
    <row r="4" ht="15.75" customHeight="1">
      <c r="A4" s="312">
        <v>3.0</v>
      </c>
      <c r="B4" s="362" t="s">
        <v>3985</v>
      </c>
      <c r="C4" s="293"/>
      <c r="D4" s="363">
        <v>77.0</v>
      </c>
      <c r="E4" s="364" t="s">
        <v>3986</v>
      </c>
      <c r="F4" s="315" t="s">
        <v>218</v>
      </c>
      <c r="G4" s="365" t="str">
        <f t="shared" ref="G4:G8" si="5">CONCATENATE(F4,", &amp;#32celé Slovensko")</f>
        <v>Košický kraj, &amp;#32celé Slovensko</v>
      </c>
      <c r="H4" s="296" t="s">
        <v>3987</v>
      </c>
      <c r="I4" s="365" t="str">
        <f t="shared" ref="I4:I8" si="6">CONCATENATE(H4,", &amp;#32všetky kategórie")</f>
        <v>čistiace a upratovacie služby, dom a záhrada, doprava, stavebníctvo, &amp;#32všetky kategórie</v>
      </c>
      <c r="J4" s="317" t="s">
        <v>53</v>
      </c>
      <c r="K4" s="293" t="str">
        <f t="shared" ref="K4:K8" si="7">CONCATENATE(J4,", &amp;#32všetky možnosti")</f>
        <v>1 - 5, &amp;#32všetky možnosti</v>
      </c>
      <c r="L4" s="366" t="str">
        <f t="shared" ref="L4:L8" si="8">AO4&amp;","&amp;AP4&amp;","&amp;AQ4</f>
        <v>,,Náhradné plnenie</v>
      </c>
      <c r="M4" s="367">
        <f t="shared" ref="M4:M6" si="9">IF(LEN(W4)&gt;1, RAND()*TODAY(),RAND())</f>
        <v>21201.1347</v>
      </c>
      <c r="N4" s="293"/>
      <c r="O4" s="321" t="str">
        <f>IFERROR(__xludf.DUMMYFUNCTION("SPLIT(Q4,"","")"),"Obchodná 164")</f>
        <v>Obchodná 164</v>
      </c>
      <c r="P4" s="321" t="str">
        <f>IFERROR(__xludf.DUMMYFUNCTION("""COMPUTED_VALUE""")," 078 01 Sečovce")</f>
        <v> 078 01 Sečovce</v>
      </c>
      <c r="Q4" s="296" t="s">
        <v>3988</v>
      </c>
      <c r="R4" s="368">
        <v>48.7026033</v>
      </c>
      <c r="S4" s="368">
        <v>21.6571035</v>
      </c>
      <c r="T4" s="369" t="s">
        <v>3989</v>
      </c>
      <c r="U4" s="370" t="s">
        <v>3990</v>
      </c>
      <c r="V4" s="371" t="s">
        <v>86</v>
      </c>
      <c r="W4" s="372" t="s">
        <v>3991</v>
      </c>
      <c r="X4" s="330" t="s">
        <v>3992</v>
      </c>
      <c r="Y4" s="331" t="s">
        <v>3993</v>
      </c>
      <c r="Z4" s="373" t="s">
        <v>3986</v>
      </c>
      <c r="AA4" s="374" t="s">
        <v>3994</v>
      </c>
      <c r="AB4" s="375" t="s">
        <v>3995</v>
      </c>
      <c r="AC4" s="376" t="s">
        <v>64</v>
      </c>
      <c r="AD4" s="377"/>
      <c r="AE4" s="327"/>
      <c r="AF4" s="327"/>
      <c r="AG4" s="377"/>
      <c r="AH4" s="377"/>
      <c r="AI4" s="327"/>
      <c r="AJ4" s="327"/>
      <c r="AK4" s="377"/>
      <c r="AL4" s="377"/>
      <c r="AM4" s="327"/>
      <c r="AN4" s="327"/>
      <c r="AO4" s="378"/>
      <c r="AP4" s="331"/>
      <c r="AQ4" s="379" t="s">
        <v>40</v>
      </c>
      <c r="AR4" s="380" t="str">
        <f t="shared" ref="AR4:AR8" si="10">REPLACE_ACCENTED(E4&amp;" "&amp;I4&amp;" "&amp;P4&amp;" "&amp;T4&amp;" "&amp;U4&amp;" "&amp;Z4&amp;" "&amp;AA4&amp;" "&amp;AB4&amp;" "&amp;AD4&amp;" "&amp;AE4&amp;" "&amp;AF4&amp;" "&amp;AH4&amp;" "&amp;AI4&amp;" "&amp;AJ4&amp;" "&amp;AL4&amp;" "&amp;AM4&amp;" "&amp;AN4&amp;" "&amp;AO4&amp;" "&amp;AP4)</f>
        <v>Eustach s.r.o. cistiace a upratovacie sluzby, dom a zahrada, doprava, stavebnictvo, &amp;#32vsetky kategorie  078 01 Secovce V spolupraci s nasimi konzorcnymi partnermi ponukame: predaj dezinfekcnych prostriedkov, kuriersku sluzbu, vystavbu - individualnu, hromadnu (obecne, mestske najomne byty a ine stavby) s pouzitim nemeckej panelovej technologie. Zamestnavame prislusne percento zranitelnych a/alebo znevyhodnenych osob v zmysle prislusnych ustanoveni zakona c. 112/2018. Eustach s.r.o. V spolupraci s nasimi konzorcnymi partnermi ponukame: predaj dezinfekcnych prostriedkov, kuriersku sluzbu, vystavbu - indidualnu, hromadnu (obecne, mestske najomne byty a ine stavby) s pouzitim nemeckej panelovej technologie. stavebna cinnost, dezinfekcia, doprava, pomocne prace, kurier Secovce           </v>
      </c>
    </row>
    <row r="5" ht="16.5" customHeight="1">
      <c r="A5" s="337">
        <v>4.0</v>
      </c>
      <c r="B5" s="362" t="s">
        <v>3996</v>
      </c>
      <c r="C5" s="293"/>
      <c r="D5" s="381">
        <v>66.0</v>
      </c>
      <c r="E5" s="382" t="s">
        <v>3997</v>
      </c>
      <c r="F5" s="383" t="s">
        <v>66</v>
      </c>
      <c r="G5" s="384" t="str">
        <f t="shared" si="5"/>
        <v>Žilinský kraj, &amp;#32celé Slovensko</v>
      </c>
      <c r="H5" s="168" t="s">
        <v>258</v>
      </c>
      <c r="I5" s="384" t="str">
        <f t="shared" si="6"/>
        <v>odevy a obuv, &amp;#32všetky kategórie</v>
      </c>
      <c r="J5" s="385" t="s">
        <v>53</v>
      </c>
      <c r="K5" s="386" t="str">
        <f t="shared" si="7"/>
        <v>1 - 5, &amp;#32všetky možnosti</v>
      </c>
      <c r="L5" s="387" t="str">
        <f t="shared" si="8"/>
        <v>,,Náhradné plnenie</v>
      </c>
      <c r="M5" s="388">
        <f t="shared" si="9"/>
        <v>13663.83363</v>
      </c>
      <c r="N5" s="386"/>
      <c r="O5" s="386" t="str">
        <f>IFERROR(__xludf.DUMMYFUNCTION("SPLIT(Q5,"","")"),"Za dráhou 476/15")</f>
        <v>Za dráhou 476/15</v>
      </c>
      <c r="P5" s="386" t="str">
        <f>IFERROR(__xludf.DUMMYFUNCTION("""COMPUTED_VALUE""")," 034 01 Ružomberok")</f>
        <v> 034 01 Ružomberok</v>
      </c>
      <c r="Q5" s="383" t="s">
        <v>3998</v>
      </c>
      <c r="R5" s="389">
        <v>49.0735746</v>
      </c>
      <c r="S5" s="389">
        <v>19.312754</v>
      </c>
      <c r="T5" s="167" t="s">
        <v>3999</v>
      </c>
      <c r="U5" s="390" t="s">
        <v>4000</v>
      </c>
      <c r="V5" s="391" t="s">
        <v>4001</v>
      </c>
      <c r="W5" s="392" t="s">
        <v>4002</v>
      </c>
      <c r="X5" s="393" t="s">
        <v>4003</v>
      </c>
      <c r="Y5" s="394" t="s">
        <v>4004</v>
      </c>
      <c r="Z5" s="395" t="s">
        <v>4005</v>
      </c>
      <c r="AA5" s="390" t="s">
        <v>4006</v>
      </c>
      <c r="AB5" s="396" t="s">
        <v>4007</v>
      </c>
      <c r="AC5" s="397" t="s">
        <v>64</v>
      </c>
      <c r="AD5" s="398"/>
      <c r="AE5" s="399"/>
      <c r="AF5" s="399"/>
      <c r="AG5" s="398"/>
      <c r="AH5" s="398"/>
      <c r="AI5" s="399"/>
      <c r="AJ5" s="399"/>
      <c r="AK5" s="398"/>
      <c r="AL5" s="398"/>
      <c r="AM5" s="399"/>
      <c r="AN5" s="399"/>
      <c r="AO5" s="399"/>
      <c r="AP5" s="394"/>
      <c r="AQ5" s="400" t="s">
        <v>40</v>
      </c>
      <c r="AR5" s="380" t="str">
        <f t="shared" si="10"/>
        <v>Capica, s. r. o. odevy a obuv, &amp;#32vsetky kategorie  034 01 Ruzomberok Vyrabame siltovky a klobuky na mieru, potlacame textil, gravirujeme do dreva, razime diare, vyrabame unikatne siltovky s drevenym siltom, klobuky s drevenou strieskou, vyrabame jedinecne komunikacne oblecenie, na ktore si lepia nasivky, prostrednictvom ktorych sa clovek vyjadri. Nasi zakaznici su prevazne mladi ludia, rodiny, skoly, firmy. Zamestnavame tazko zdravotne postihnutych a tvorime absolutne unikatne vyrobky, ktore nemaju vo svete obdobu. Capica, s.r.o., r.s.p. Unikatne siltovky s drevenym siltom, klobuky s drevenou strieskou, siltovky na mieru, jedinecne komunikativne tricka, kde si vyjadrite svoje emocie. Siltovky s drevenym siltom, klobuky s drevenou strieskou, siltovky na mieru, potlac textiul, gravirovanie do dreva, tricka s potlacou           </v>
      </c>
    </row>
    <row r="6" ht="15.75" customHeight="1">
      <c r="A6" s="312">
        <v>5.0</v>
      </c>
      <c r="B6" s="362" t="s">
        <v>4008</v>
      </c>
      <c r="C6" s="293"/>
      <c r="D6" s="363">
        <v>290.0</v>
      </c>
      <c r="E6" s="295" t="s">
        <v>4009</v>
      </c>
      <c r="F6" s="296" t="s">
        <v>229</v>
      </c>
      <c r="G6" s="365" t="str">
        <f t="shared" si="5"/>
        <v>Nitriansky kraj, &amp;#32celé Slovensko</v>
      </c>
      <c r="H6" s="42" t="s">
        <v>1324</v>
      </c>
      <c r="I6" s="365" t="str">
        <f t="shared" si="6"/>
        <v>ubytovacie a stravovacie služby, cestovný ruch, &amp;#32všetky kategórie</v>
      </c>
      <c r="J6" s="317" t="s">
        <v>53</v>
      </c>
      <c r="K6" s="293" t="str">
        <f t="shared" si="7"/>
        <v>1 - 5, &amp;#32všetky možnosti</v>
      </c>
      <c r="L6" s="366" t="str">
        <f t="shared" si="8"/>
        <v>,,</v>
      </c>
      <c r="M6" s="367">
        <f t="shared" si="9"/>
        <v>29332.37101</v>
      </c>
      <c r="N6" s="293"/>
      <c r="O6" s="293" t="str">
        <f>IFERROR(__xludf.DUMMYFUNCTION("SPLIT(Q6,"","")"),"Kvetná 2566/37")</f>
        <v>Kvetná 2566/37</v>
      </c>
      <c r="P6" s="293" t="str">
        <f>IFERROR(__xludf.DUMMYFUNCTION("""COMPUTED_VALUE""")," 947 01 Hurbanovo")</f>
        <v> 947 01 Hurbanovo</v>
      </c>
      <c r="Q6" s="296" t="s">
        <v>4010</v>
      </c>
      <c r="R6" s="293">
        <v>47.8644203</v>
      </c>
      <c r="S6" s="293">
        <v>18.1926223</v>
      </c>
      <c r="T6" s="56" t="s">
        <v>4011</v>
      </c>
      <c r="U6" s="401" t="s">
        <v>4012</v>
      </c>
      <c r="V6" s="402" t="s">
        <v>86</v>
      </c>
      <c r="W6" s="403" t="s">
        <v>4013</v>
      </c>
      <c r="X6" s="351" t="s">
        <v>4014</v>
      </c>
      <c r="Y6" s="404" t="s">
        <v>4015</v>
      </c>
      <c r="Z6" s="404" t="s">
        <v>4016</v>
      </c>
      <c r="AA6" s="405" t="s">
        <v>4017</v>
      </c>
      <c r="AB6" s="406" t="s">
        <v>4018</v>
      </c>
      <c r="AC6" s="407" t="s">
        <v>64</v>
      </c>
      <c r="AD6" s="408"/>
      <c r="AE6" s="327"/>
      <c r="AF6" s="369"/>
      <c r="AG6" s="408"/>
      <c r="AH6" s="377"/>
      <c r="AI6" s="327"/>
      <c r="AJ6" s="327"/>
      <c r="AK6" s="408"/>
      <c r="AL6" s="377"/>
      <c r="AM6" s="327"/>
      <c r="AN6" s="327"/>
      <c r="AO6" s="378"/>
      <c r="AP6" s="331"/>
      <c r="AQ6" s="409"/>
      <c r="AR6" s="380" t="str">
        <f t="shared" si="10"/>
        <v>Hesperus s. r. o. ubytovacie a stravovacie sluzby, cestovny ruch, &amp;#32vsetky kategorie  947 01 Hurbanovo Hesperus s.r.o., registrovany socialny podnik ponuka sirokej verejnosti ubytovacie sluzby spojene so stravovanim v prijemnom prostredi. Zaroven ponuka posedenie v restauracii, kde si zakaznici mozu vychutnat strudlu a zakusky vlastnej vyroby. Tiez ponukame rozvoz stravy na objednavku. Hesperus s.r.o. je verejnoprospesny socialny podnik, ktory svoje ciele naplna ako integracny socialny podnik, zamestnavanim zranitelnych a znevyhodnenych obcanov. Hesperus s.r.o. Restauracia, strudlovna, vydajna stravy. restauracia, strudlovna, vydajna stravy, rozvoz jedal, donaska, strudla, zakusok           </v>
      </c>
    </row>
    <row r="7" ht="15.75" customHeight="1">
      <c r="A7" s="337">
        <v>6.0</v>
      </c>
      <c r="B7" s="362" t="s">
        <v>4019</v>
      </c>
      <c r="C7" s="293"/>
      <c r="D7" s="363">
        <v>296.0</v>
      </c>
      <c r="E7" s="295" t="s">
        <v>4020</v>
      </c>
      <c r="F7" s="296" t="s">
        <v>51</v>
      </c>
      <c r="G7" s="365" t="str">
        <f t="shared" si="5"/>
        <v>Prešovský kraj, &amp;#32celé Slovensko</v>
      </c>
      <c r="H7" s="42" t="s">
        <v>4021</v>
      </c>
      <c r="I7" s="365" t="str">
        <f t="shared" si="6"/>
        <v>stavebníctvo, dom a záhrada, odpady a recyklácia, &amp;#32všetky kategórie</v>
      </c>
      <c r="J7" s="317" t="s">
        <v>53</v>
      </c>
      <c r="K7" s="293" t="str">
        <f t="shared" si="7"/>
        <v>1 - 5, &amp;#32všetky možnosti</v>
      </c>
      <c r="L7" s="366" t="str">
        <f t="shared" si="8"/>
        <v>,,</v>
      </c>
      <c r="M7" s="367">
        <f t="shared" ref="M7:M8" si="11">RAND()*TODAY()</f>
        <v>36011.61019</v>
      </c>
      <c r="N7" s="293"/>
      <c r="O7" s="293" t="str">
        <f>IFERROR(__xludf.DUMMYFUNCTION("SPLIT(Q7,"","")"),"Radvaň nad Laborcom 248")</f>
        <v>Radvaň nad Laborcom 248</v>
      </c>
      <c r="P7" s="293" t="str">
        <f>IFERROR(__xludf.DUMMYFUNCTION("""COMPUTED_VALUE""")," 067 01 Radvaň nad Laborcom")</f>
        <v> 067 01 Radvaň nad Laborcom</v>
      </c>
      <c r="Q7" s="296" t="s">
        <v>4022</v>
      </c>
      <c r="R7" s="293">
        <v>49.1308617</v>
      </c>
      <c r="S7" s="293">
        <v>21.9343993</v>
      </c>
      <c r="T7" s="56" t="s">
        <v>4023</v>
      </c>
      <c r="U7" s="401" t="s">
        <v>4024</v>
      </c>
      <c r="V7" s="410" t="s">
        <v>4025</v>
      </c>
      <c r="W7" s="411" t="s">
        <v>4026</v>
      </c>
      <c r="X7" s="412" t="s">
        <v>4027</v>
      </c>
      <c r="Y7" s="404" t="s">
        <v>4028</v>
      </c>
      <c r="Z7" s="404" t="s">
        <v>4029</v>
      </c>
      <c r="AA7" s="405" t="s">
        <v>4030</v>
      </c>
      <c r="AB7" s="406" t="s">
        <v>4031</v>
      </c>
      <c r="AC7" s="407" t="s">
        <v>64</v>
      </c>
      <c r="AD7" s="408"/>
      <c r="AE7" s="327"/>
      <c r="AF7" s="369"/>
      <c r="AG7" s="408"/>
      <c r="AH7" s="377"/>
      <c r="AI7" s="327"/>
      <c r="AJ7" s="327"/>
      <c r="AK7" s="408"/>
      <c r="AL7" s="377"/>
      <c r="AM7" s="327"/>
      <c r="AN7" s="327"/>
      <c r="AO7" s="378"/>
      <c r="AP7" s="331"/>
      <c r="AQ7" s="409"/>
      <c r="AR7" s="380" t="str">
        <f t="shared" si="10"/>
        <v>MST trading s. r. o. stavebnictvo, dom a zahrada, odpady a recyklacia, &amp;#32vsetky kategorie  067 01 Radvan nad Laborcom Nasa spolocnost sa zaobera upravou zahrad, zavlahovych systemov, pokladkou zamkovej dlazby, upravou pozemkov. Neustale vyhladavame nove zakazky a prilezitosti, aby sa nam podarilo zamestnat co najviac ludi, ktori nie su uspesni na trhu prace. MST Trading s.r.o. Uprava pozemkov, zahrad, realizacia travnikov, zavlahovych systemov, bagrovanie a dovoz materialu. bager, uprava pozemku, zakova dlazba, zahrady, zavlahovy system, pozemok, travnik, chodniky, parkovisko, dovoz materialu,           </v>
      </c>
    </row>
    <row r="8">
      <c r="A8" s="312">
        <v>7.0</v>
      </c>
      <c r="B8" s="362" t="s">
        <v>4032</v>
      </c>
      <c r="C8" s="293"/>
      <c r="D8" s="413">
        <v>317.0</v>
      </c>
      <c r="E8" s="414" t="s">
        <v>4033</v>
      </c>
      <c r="F8" s="168" t="s">
        <v>94</v>
      </c>
      <c r="G8" s="158" t="str">
        <f t="shared" si="5"/>
        <v>Bratislavský kraj, &amp;#32celé Slovensko</v>
      </c>
      <c r="H8" s="168" t="s">
        <v>4034</v>
      </c>
      <c r="I8" s="158" t="str">
        <f t="shared" si="6"/>
        <v>stavebníctvo, iné (tovary a služby), &amp;#32všetky kategórie</v>
      </c>
      <c r="J8" s="168" t="s">
        <v>53</v>
      </c>
      <c r="K8" s="386" t="str">
        <f t="shared" si="7"/>
        <v>1 - 5, &amp;#32všetky možnosti</v>
      </c>
      <c r="L8" s="170" t="str">
        <f t="shared" si="8"/>
        <v>,,</v>
      </c>
      <c r="M8" s="245">
        <f t="shared" si="11"/>
        <v>25818.49377</v>
      </c>
      <c r="N8" s="386"/>
      <c r="O8" s="386" t="str">
        <f>IFERROR(__xludf.DUMMYFUNCTION("SPLIT(Q8,"","")"),"Ivanská cesta 2")</f>
        <v>Ivanská cesta 2</v>
      </c>
      <c r="P8" s="386" t="str">
        <f>IFERROR(__xludf.DUMMYFUNCTION("""COMPUTED_VALUE""")," 821 04 Bratislava")</f>
        <v> 821 04 Bratislava</v>
      </c>
      <c r="Q8" s="168" t="s">
        <v>4035</v>
      </c>
      <c r="R8" s="415">
        <v>48.1657034</v>
      </c>
      <c r="S8" s="415">
        <v>17.1722614</v>
      </c>
      <c r="T8" s="167" t="s">
        <v>4036</v>
      </c>
      <c r="U8" s="416" t="s">
        <v>1059</v>
      </c>
      <c r="V8" s="417" t="s">
        <v>4037</v>
      </c>
      <c r="W8" s="418" t="s">
        <v>4038</v>
      </c>
      <c r="X8" s="419" t="s">
        <v>4039</v>
      </c>
      <c r="Y8" s="167" t="s">
        <v>4040</v>
      </c>
      <c r="Z8" s="167" t="s">
        <v>4041</v>
      </c>
      <c r="AA8" s="173" t="s">
        <v>4042</v>
      </c>
      <c r="AB8" s="174" t="s">
        <v>4043</v>
      </c>
      <c r="AC8" s="249" t="s">
        <v>64</v>
      </c>
      <c r="AD8" s="398"/>
      <c r="AE8" s="167"/>
      <c r="AF8" s="167"/>
      <c r="AG8" s="398"/>
      <c r="AH8" s="398"/>
      <c r="AI8" s="167"/>
      <c r="AJ8" s="167"/>
      <c r="AK8" s="398"/>
      <c r="AL8" s="398"/>
      <c r="AM8" s="167"/>
      <c r="AN8" s="167"/>
      <c r="AO8" s="399"/>
      <c r="AP8" s="399"/>
      <c r="AQ8" s="398"/>
      <c r="AR8" s="58" t="str">
        <f t="shared" si="10"/>
        <v>PERMAL s. r. o. stavebnictvo, ine (tovary a sluzby), &amp;#32vsetky kategorie  821 04 Bratislava Stavebna cinnost, malovanie, predaj farieb, maliarskeho naradia, dekoracnych obkladov a stavebnej chemie. Zamestnavame znevyhodnene osoby. Sniezka - predajna farieb Predajna farieb, dekoracnych obkladov, maliarskeho naradia predaj farieb, farby, dekoracne obklady, maliarske naradie, stavebna cinnost, malovanie, stavebna chemia           </v>
      </c>
      <c r="AS8" s="58"/>
      <c r="AT8" s="58"/>
      <c r="AU8" s="58"/>
      <c r="AV8" s="58"/>
      <c r="AW8" s="58"/>
      <c r="AX8" s="58"/>
      <c r="AY8" s="58"/>
      <c r="AZ8" s="58"/>
      <c r="BA8" s="58"/>
      <c r="BB8" s="58"/>
      <c r="BC8" s="58"/>
      <c r="BD8" s="58"/>
      <c r="BE8" s="58"/>
      <c r="BF8" s="58"/>
      <c r="BG8" s="58"/>
      <c r="BH8" s="58"/>
      <c r="BI8" s="58"/>
      <c r="BJ8" s="58"/>
      <c r="BK8" s="58"/>
      <c r="BL8" s="58"/>
      <c r="BM8" s="58"/>
      <c r="BN8" s="58"/>
      <c r="BO8" s="58"/>
      <c r="BP8" s="58"/>
    </row>
    <row r="9" ht="15.75" customHeight="1">
      <c r="A9" s="362">
        <v>8.0</v>
      </c>
      <c r="B9" s="362" t="s">
        <v>4044</v>
      </c>
      <c r="C9" s="43"/>
      <c r="D9" s="59">
        <v>233.0</v>
      </c>
      <c r="E9" s="75" t="s">
        <v>4045</v>
      </c>
      <c r="F9" s="42" t="s">
        <v>134</v>
      </c>
      <c r="G9" s="38" t="s">
        <v>4046</v>
      </c>
      <c r="H9" s="42" t="s">
        <v>4047</v>
      </c>
      <c r="I9" s="38" t="s">
        <v>4048</v>
      </c>
      <c r="J9" s="42" t="s">
        <v>96</v>
      </c>
      <c r="K9" s="43" t="s">
        <v>4049</v>
      </c>
      <c r="L9" s="44" t="s">
        <v>4050</v>
      </c>
      <c r="M9" s="45">
        <v>27719.023801075757</v>
      </c>
      <c r="N9" s="43"/>
      <c r="O9" s="43" t="s">
        <v>4051</v>
      </c>
      <c r="P9" s="43" t="s">
        <v>4052</v>
      </c>
      <c r="Q9" s="42" t="s">
        <v>4053</v>
      </c>
      <c r="R9" s="43">
        <v>49.1790703</v>
      </c>
      <c r="S9" s="43">
        <v>18.2536149</v>
      </c>
      <c r="T9" s="56" t="s">
        <v>4054</v>
      </c>
      <c r="U9" s="112" t="s">
        <v>4055</v>
      </c>
      <c r="V9" s="48" t="s">
        <v>4056</v>
      </c>
      <c r="W9" s="133" t="s">
        <v>4057</v>
      </c>
      <c r="X9" s="420" t="s">
        <v>4058</v>
      </c>
      <c r="Y9" s="54" t="s">
        <v>4059</v>
      </c>
      <c r="Z9" s="54" t="s">
        <v>4060</v>
      </c>
      <c r="AA9" s="110" t="s">
        <v>4061</v>
      </c>
      <c r="AB9" s="108" t="s">
        <v>4062</v>
      </c>
      <c r="AC9" s="421" t="s">
        <v>64</v>
      </c>
      <c r="AD9" s="404"/>
      <c r="AE9" s="325"/>
      <c r="AF9" s="422"/>
      <c r="AG9" s="404"/>
      <c r="AH9" s="331"/>
      <c r="AI9" s="325"/>
      <c r="AJ9" s="325"/>
      <c r="AK9" s="55"/>
      <c r="AL9" s="55"/>
      <c r="AM9" s="56"/>
      <c r="AN9" s="56"/>
      <c r="AO9" s="34"/>
      <c r="AP9" s="55"/>
      <c r="AQ9" s="64"/>
      <c r="AR9" s="58" t="s">
        <v>4063</v>
      </c>
      <c r="AS9" s="37"/>
      <c r="AT9" s="37"/>
    </row>
    <row r="10">
      <c r="A10" s="362">
        <v>8.0</v>
      </c>
      <c r="B10" s="362" t="s">
        <v>4064</v>
      </c>
      <c r="C10" s="43"/>
      <c r="D10" s="59">
        <v>324.0</v>
      </c>
      <c r="E10" s="253" t="s">
        <v>4065</v>
      </c>
      <c r="F10" s="253" t="s">
        <v>51</v>
      </c>
      <c r="G10" s="253" t="s">
        <v>4066</v>
      </c>
      <c r="H10" s="253" t="s">
        <v>4067</v>
      </c>
      <c r="I10" s="253" t="s">
        <v>4068</v>
      </c>
      <c r="J10" s="253" t="s">
        <v>53</v>
      </c>
      <c r="K10" s="253" t="s">
        <v>4069</v>
      </c>
      <c r="L10" s="253" t="s">
        <v>4050</v>
      </c>
      <c r="M10" s="253">
        <v>11340.81618661363</v>
      </c>
      <c r="O10" s="253" t="s">
        <v>4070</v>
      </c>
      <c r="P10" s="253" t="s">
        <v>4071</v>
      </c>
      <c r="Q10" s="253" t="s">
        <v>4072</v>
      </c>
      <c r="R10" s="253">
        <v>48.9980738</v>
      </c>
      <c r="S10" s="253">
        <v>20.6389727</v>
      </c>
      <c r="T10" s="253" t="s">
        <v>4073</v>
      </c>
      <c r="U10" s="253" t="s">
        <v>4074</v>
      </c>
      <c r="V10" s="299" t="s">
        <v>4075</v>
      </c>
      <c r="W10" s="299" t="s">
        <v>4076</v>
      </c>
      <c r="X10" s="423" t="s">
        <v>4077</v>
      </c>
      <c r="Y10" s="253" t="s">
        <v>4078</v>
      </c>
      <c r="Z10" s="253" t="s">
        <v>4065</v>
      </c>
      <c r="AA10" s="253" t="s">
        <v>4079</v>
      </c>
      <c r="AB10" s="253" t="s">
        <v>4080</v>
      </c>
      <c r="AC10" s="253" t="s">
        <v>64</v>
      </c>
      <c r="AR10" s="253" t="s">
        <v>4081</v>
      </c>
    </row>
    <row r="11" ht="15.75" customHeight="1">
      <c r="A11" s="362">
        <v>9.0</v>
      </c>
      <c r="B11" s="362" t="s">
        <v>4082</v>
      </c>
      <c r="C11" s="43"/>
      <c r="D11" s="59">
        <v>103.0</v>
      </c>
      <c r="E11" s="97" t="s">
        <v>4083</v>
      </c>
      <c r="F11" s="41" t="s">
        <v>80</v>
      </c>
      <c r="G11" s="38" t="str">
        <f t="shared" ref="G11:G13" si="12">CONCATENATE(F11,", &amp;#32celé Slovensko")</f>
        <v>Trnavský kraj, &amp;#32celé Slovensko</v>
      </c>
      <c r="H11" s="42" t="s">
        <v>4084</v>
      </c>
      <c r="I11" s="38" t="str">
        <f t="shared" ref="I11:I13" si="13">CONCATENATE(H11,", &amp;#32všetky kategórie")</f>
        <v>doprava, &amp;#32všetky kategórie</v>
      </c>
      <c r="J11" s="42" t="s">
        <v>53</v>
      </c>
      <c r="K11" s="43" t="str">
        <f t="shared" ref="K11:K13" si="14">CONCATENATE(J11,", &amp;#32všetky možnosti")</f>
        <v>1 - 5, &amp;#32všetky možnosti</v>
      </c>
      <c r="L11" s="44" t="str">
        <f t="shared" ref="L11:L13" si="15">AO11&amp;","&amp;AP11&amp;","&amp;AQ11</f>
        <v>,,</v>
      </c>
      <c r="M11" s="45">
        <f t="shared" ref="M11:M13" si="16">RAND()*TODAY()</f>
        <v>7315.541412</v>
      </c>
      <c r="N11" s="43"/>
      <c r="O11" s="43" t="str">
        <f>IFERROR(__xludf.DUMMYFUNCTION("SPLIT(Q11,"","")"),"Kolónia 482")</f>
        <v>Kolónia 482</v>
      </c>
      <c r="P11" s="43" t="str">
        <f>IFERROR(__xludf.DUMMYFUNCTION("""COMPUTED_VALUE""")," 930 37 Lehnice")</f>
        <v> 930 37 Lehnice</v>
      </c>
      <c r="Q11" s="42" t="s">
        <v>4085</v>
      </c>
      <c r="R11" s="43">
        <v>48.0312333</v>
      </c>
      <c r="S11" s="43">
        <v>17.4497605</v>
      </c>
      <c r="T11" s="56" t="s">
        <v>4086</v>
      </c>
      <c r="U11" s="34" t="s">
        <v>4087</v>
      </c>
      <c r="V11" s="63" t="s">
        <v>86</v>
      </c>
      <c r="W11" s="61" t="s">
        <v>4088</v>
      </c>
      <c r="X11" s="424" t="s">
        <v>4089</v>
      </c>
      <c r="Y11" s="55" t="s">
        <v>4090</v>
      </c>
      <c r="Z11" s="54" t="s">
        <v>4091</v>
      </c>
      <c r="AA11" s="46" t="s">
        <v>4086</v>
      </c>
      <c r="AB11" s="53" t="s">
        <v>4092</v>
      </c>
      <c r="AC11" s="425" t="s">
        <v>64</v>
      </c>
      <c r="AD11" s="331"/>
      <c r="AE11" s="325"/>
      <c r="AF11" s="325" t="s">
        <v>1110</v>
      </c>
      <c r="AG11" s="331"/>
      <c r="AH11" s="331"/>
      <c r="AI11" s="325"/>
      <c r="AJ11" s="325"/>
      <c r="AK11" s="55"/>
      <c r="AL11" s="55"/>
      <c r="AM11" s="56"/>
      <c r="AN11" s="56" t="s">
        <v>1110</v>
      </c>
      <c r="AO11" s="34"/>
      <c r="AP11" s="55"/>
      <c r="AQ11" s="64"/>
      <c r="AR11" s="58" t="str">
        <f t="shared" ref="AR11:AR13" si="17">REPLACE_ACCENTED(E11&amp;" "&amp;I11&amp;" "&amp;P11&amp;" "&amp;T11&amp;" "&amp;U11&amp;" "&amp;Z11&amp;" "&amp;AA11&amp;" "&amp;AB11&amp;" "&amp;AD11&amp;" "&amp;AE11&amp;" "&amp;AF11&amp;" "&amp;AH11&amp;" "&amp;AI11&amp;" "&amp;AJ11&amp;" "&amp;AL11&amp;" "&amp;AM11&amp;" "&amp;AN11&amp;" "&amp;AO11&amp;" "&amp;AP11)</f>
        <v>VIPE s.r.o. doprava, &amp;#32vsetky kategorie  930 37 Lehnice Zamerom a cielom nasej cinnosti je maximalne uspokojovat potreby nasich partnerov v ramci prepravy tovarov, preto su nase logisticke riesenia prisposobene na mieru kazdeho individualne, s prihliadnutim na zachovanie kvality ponukanych sluzieb za konkurencieschopnu cenu. Takzvana „mala“ nakladna doprava do 3,5 t je coraz viac vyhladavanym artiklom nielen pre male a stredne, ale uz aj pre velke podniky, ktore ju vyuzivaju k rychlym prepravnym akciam svojich sluzieb a tovarov. K dosiahnutiu ciela je potrebne stat sa rovnocennym partnerom nielen pre male podniky, ale aj pre stredne a velke, ktore si doslovne ziadaju za partnera firmu registrovanu ako platcu DPH. Ide hlavne o sluzby prepravcov v ramci EU, aby bol dostatocne sledovany pohyb predaja sluzieb. Vnutrostatne ide firmam hlavne o znizenie nakladovych poloziek na prepravu a aby sme boli schopni zachovat kriteria cien potrebne k predkladaniu ponuk na konkurencnom trhu.  Obcania so zdravotnym postihnutim maju dlhodoby problem najst si pracu alebo cinnosti, pri ktorych by mohli byt v spolocnosti uzitocnymi. Pomahame ludom, ktori maju zdravotne problemy a nemaju dostatok prilezitosti, ako sa zaradit do poracovneho procesu a tym sa integrovat do spolocnosti. VIPE s.r.o.,r.s.p. Zamerom a cielom nasej cinnosti je maximalne uspokojovat potreby nasich partnerov v ramci prepravy tovarov, preto su nase logisticke riesenia prisposobene na mieru kazdeho individualne, s prihliadnutim na zachovanie kvality ponukanych sluzieb za konkurencieschopnu cenu. Takzvana „mala“ nakladna doprava do 3,5 t je coraz viac vyhladavanym artiklom nielen pre male a stredne, ale uz aj pre velke podniky, ktore ju vyuzivaju k rychlym prepravnym akciam svojich sluzieb a tovarov. K dosiahnutiu ciela je potrebne stat sa rovnocennym partnerom nielen pre male podniky, ale aj pre stredne a velke, ktore si doslovne ziadaju za partnera firmu registrovanu ako platcu DPH. Ide hlavne o sluzby prepravcov v ramci EU, aby bol dostatocne sledovany pohyb predaja sluzieb. Vnutrostatne ide firmam hlavne o znizenie nakladovych poloziek na prepravu a aby sme boli schopni zachovat kriteria cien potrebne k predkladaniu ponuk na konkurencnom trhu.  autodoprava             </v>
      </c>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ht="15.75" customHeight="1">
      <c r="A12" s="362">
        <v>10.0</v>
      </c>
      <c r="B12" s="362" t="s">
        <v>4082</v>
      </c>
      <c r="C12" s="43"/>
      <c r="D12" s="59">
        <v>340.0</v>
      </c>
      <c r="E12" s="75" t="s">
        <v>4093</v>
      </c>
      <c r="F12" s="42" t="s">
        <v>181</v>
      </c>
      <c r="G12" s="38" t="str">
        <f t="shared" si="12"/>
        <v>Banskobystrický kraj, &amp;#32celé Slovensko</v>
      </c>
      <c r="H12" s="42" t="s">
        <v>244</v>
      </c>
      <c r="I12" s="38" t="str">
        <f t="shared" si="13"/>
        <v>potraviny a nápoje, &amp;#32všetky kategórie</v>
      </c>
      <c r="J12" s="42" t="s">
        <v>96</v>
      </c>
      <c r="K12" s="43" t="str">
        <f t="shared" si="14"/>
        <v>6 - 10, &amp;#32všetky možnosti</v>
      </c>
      <c r="L12" s="44" t="str">
        <f t="shared" si="15"/>
        <v>,,</v>
      </c>
      <c r="M12" s="45">
        <f t="shared" si="16"/>
        <v>19465.03952</v>
      </c>
      <c r="N12" s="43"/>
      <c r="O12" s="43" t="str">
        <f>IFERROR(__xludf.DUMMYFUNCTION("SPLIT(Q12,"","")"),"Lučenská 1156")</f>
        <v>Lučenská 1156</v>
      </c>
      <c r="P12" s="43" t="str">
        <f>IFERROR(__xludf.DUMMYFUNCTION("""COMPUTED_VALUE""")," 990 01 Veľký Krtíš")</f>
        <v> 990 01 Veľký Krtíš</v>
      </c>
      <c r="Q12" s="42" t="s">
        <v>4094</v>
      </c>
      <c r="R12" s="158">
        <v>48.2126876</v>
      </c>
      <c r="S12" s="158">
        <v>19.3470567</v>
      </c>
      <c r="T12" s="55" t="s">
        <v>4095</v>
      </c>
      <c r="U12" s="55" t="s">
        <v>4096</v>
      </c>
      <c r="V12" s="98" t="s">
        <v>4097</v>
      </c>
      <c r="W12" s="180" t="s">
        <v>4098</v>
      </c>
      <c r="X12" s="52" t="s">
        <v>4099</v>
      </c>
      <c r="Y12" s="55" t="s">
        <v>4100</v>
      </c>
      <c r="Z12" s="55" t="s">
        <v>4101</v>
      </c>
      <c r="AA12" s="85" t="s">
        <v>4102</v>
      </c>
      <c r="AB12" s="52" t="s">
        <v>4103</v>
      </c>
      <c r="AC12" s="425" t="s">
        <v>64</v>
      </c>
      <c r="AD12" s="331"/>
      <c r="AE12" s="325"/>
      <c r="AF12" s="325"/>
      <c r="AG12" s="331"/>
      <c r="AH12" s="331"/>
      <c r="AI12" s="325"/>
      <c r="AJ12" s="325"/>
      <c r="AK12" s="55"/>
      <c r="AL12" s="55"/>
      <c r="AM12" s="56"/>
      <c r="AN12" s="56"/>
      <c r="AO12" s="34"/>
      <c r="AP12" s="34"/>
      <c r="AQ12" s="143"/>
      <c r="AR12" s="145" t="str">
        <f t="shared" si="17"/>
        <v>DRUMAS AGRO s.r.o. potraviny a napoje, &amp;#32vsetky kategorie  990 01 Velky Krtis Rozrabka bravcoveho masa, vyroba tradicnych masovych vyrobkov, predaj a distribucia masa. Zasobovanie jedalni, restauracii a inych stravovacich zariadeni, prevadzkovanie maloobchodnej predajne.       Zamestnavame obcanov zo skupiny zranitelnych alebo znevyhodnenych osob.  DRUMAS AGRO s.r.o., r.s.p. Predaj masa, masovych vyrobkov a doplnkoveho tovaru maso, masove vyrobky, potraviny           </v>
      </c>
      <c r="AS12" s="37"/>
      <c r="AT12" s="37"/>
      <c r="AU12" s="37"/>
      <c r="AV12" s="37"/>
      <c r="AW12" s="37"/>
      <c r="AX12" s="37"/>
      <c r="AY12" s="37"/>
      <c r="AZ12" s="37"/>
      <c r="BA12" s="37"/>
      <c r="BB12" s="37"/>
      <c r="BC12" s="37"/>
      <c r="BD12" s="37"/>
      <c r="BE12" s="37"/>
      <c r="BF12" s="37"/>
      <c r="BG12" s="37"/>
      <c r="BH12" s="37"/>
      <c r="BI12" s="37"/>
      <c r="BJ12" s="37"/>
      <c r="BK12" s="37"/>
      <c r="BL12" s="37"/>
      <c r="BM12" s="37"/>
      <c r="BN12" s="37"/>
      <c r="BO12" s="37"/>
    </row>
    <row r="13" ht="19.5" customHeight="1">
      <c r="A13" s="362">
        <v>11.0</v>
      </c>
      <c r="B13" s="362" t="s">
        <v>4104</v>
      </c>
      <c r="C13" s="293"/>
      <c r="D13" s="413">
        <v>23.0</v>
      </c>
      <c r="E13" s="426" t="s">
        <v>4105</v>
      </c>
      <c r="F13" s="168" t="s">
        <v>66</v>
      </c>
      <c r="G13" s="158" t="str">
        <f t="shared" si="12"/>
        <v>Žilinský kraj, &amp;#32celé Slovensko</v>
      </c>
      <c r="H13" s="168" t="s">
        <v>4106</v>
      </c>
      <c r="I13" s="158" t="str">
        <f t="shared" si="13"/>
        <v>cestovný ruch, krása-zdravie-relax, odevy a obuv, iné (tovary a služby), &amp;#32všetky kategórie</v>
      </c>
      <c r="J13" s="168" t="s">
        <v>53</v>
      </c>
      <c r="K13" s="386" t="str">
        <f t="shared" si="14"/>
        <v>1 - 5, &amp;#32všetky možnosti</v>
      </c>
      <c r="L13" s="170" t="str">
        <f t="shared" si="15"/>
        <v>,,Náhradné plnenie</v>
      </c>
      <c r="M13" s="245">
        <f t="shared" si="16"/>
        <v>40007.3005</v>
      </c>
      <c r="N13" s="386"/>
      <c r="O13" s="386" t="str">
        <f>IFERROR(__xludf.DUMMYFUNCTION("SPLIT(Q13,"","")"),"Likavka 65")</f>
        <v>Likavka 65</v>
      </c>
      <c r="P13" s="386" t="str">
        <f>IFERROR(__xludf.DUMMYFUNCTION("""COMPUTED_VALUE""")," 034 95 Likavka")</f>
        <v> 034 95 Likavka</v>
      </c>
      <c r="Q13" s="168" t="s">
        <v>4107</v>
      </c>
      <c r="R13" s="415">
        <v>49.086976</v>
      </c>
      <c r="S13" s="415">
        <v>19.3076885</v>
      </c>
      <c r="T13" s="167" t="s">
        <v>4108</v>
      </c>
      <c r="U13" s="167" t="s">
        <v>4109</v>
      </c>
      <c r="V13" s="427" t="s">
        <v>4110</v>
      </c>
      <c r="W13" s="428" t="s">
        <v>4111</v>
      </c>
      <c r="X13" s="429" t="s">
        <v>4112</v>
      </c>
      <c r="Y13" s="166" t="s">
        <v>4113</v>
      </c>
      <c r="Z13" s="166" t="s">
        <v>4114</v>
      </c>
      <c r="AA13" s="167" t="s">
        <v>4115</v>
      </c>
      <c r="AB13" s="201" t="s">
        <v>4116</v>
      </c>
      <c r="AC13" s="430" t="s">
        <v>64</v>
      </c>
      <c r="AD13" s="398"/>
      <c r="AE13" s="399"/>
      <c r="AF13" s="399"/>
      <c r="AG13" s="398"/>
      <c r="AH13" s="398"/>
      <c r="AI13" s="399"/>
      <c r="AJ13" s="399"/>
      <c r="AK13" s="166"/>
      <c r="AL13" s="166"/>
      <c r="AM13" s="399"/>
      <c r="AN13" s="399"/>
      <c r="AO13" s="399"/>
      <c r="AP13" s="166"/>
      <c r="AQ13" s="250" t="s">
        <v>40</v>
      </c>
      <c r="AR13" s="58" t="str">
        <f t="shared" si="17"/>
        <v>VO VILE, s. r. o. cestovny ruch, krasa-zdravie-relax, odevy a obuv, ine (tovary a sluzby), &amp;#32vsetky kategorie  034 95 Likavka Prevadzkujeme Pozicovnu saun a zaoberame sa vyrobou a predajom oblecenia do wellness centier a do saun. Zamestnavame dvoch znevyhodnenych zamestnancov. VO VILE, s.r.o. - Pozicovna saun Poziciavame sauny - saunu klientovi dovezieme k domu, chate, hotelu a po skonceni najmu si ju prideme prevziat. 
Zaoberame sa tiez vyrobou a predajom saunovacieho textilu - v ponuke mame jednodielne a dvojdielne oblecenie do saun pre damy, pre panov, ponukame tiez saunovacie klobuciky. V nasom saunovacom obleceni ste aj v saune krasni. sauna, wellness, pozicovna, rent, mobilna sauna, sauny, prenajom           </v>
      </c>
      <c r="AS13" s="258"/>
      <c r="AT13" s="258"/>
      <c r="AU13" s="258"/>
      <c r="AV13" s="258"/>
      <c r="AW13" s="258"/>
      <c r="AX13" s="258"/>
      <c r="AY13" s="258"/>
      <c r="AZ13" s="258"/>
      <c r="BA13" s="258"/>
      <c r="BB13" s="258"/>
      <c r="BC13" s="258"/>
      <c r="BD13" s="258"/>
      <c r="BE13" s="258"/>
      <c r="BF13" s="258"/>
      <c r="BG13" s="258"/>
      <c r="BH13" s="258"/>
      <c r="BI13" s="258"/>
      <c r="BJ13" s="258"/>
      <c r="BK13" s="258"/>
      <c r="BL13" s="258"/>
      <c r="BM13" s="258"/>
      <c r="BN13" s="258"/>
      <c r="BO13" s="258"/>
    </row>
    <row r="14">
      <c r="A14" s="431"/>
      <c r="B14" s="431"/>
    </row>
    <row r="15">
      <c r="A15" s="431"/>
      <c r="B15" s="362" t="s">
        <v>4117</v>
      </c>
    </row>
    <row r="16" ht="15.75" customHeight="1">
      <c r="A16" s="362">
        <v>12.0</v>
      </c>
      <c r="B16" s="362" t="s">
        <v>4118</v>
      </c>
      <c r="C16" s="43"/>
      <c r="D16" s="59">
        <v>299.0</v>
      </c>
      <c r="E16" s="75" t="s">
        <v>4119</v>
      </c>
      <c r="F16" s="42" t="s">
        <v>134</v>
      </c>
      <c r="G16" s="38" t="str">
        <f t="shared" ref="G16:G25" si="18">CONCATENATE(F16,", &amp;#32celé Slovensko")</f>
        <v>Trenčiansky kraj, &amp;#32celé Slovensko</v>
      </c>
      <c r="H16" s="42" t="s">
        <v>4120</v>
      </c>
      <c r="I16" s="38" t="str">
        <f t="shared" ref="I16:I25" si="19">CONCATENATE(H16,", &amp;#32všetky kategórie")</f>
        <v>odevy a obuv, ochrana a bezpečnosť,, &amp;#32všetky kategórie</v>
      </c>
      <c r="J16" s="42" t="s">
        <v>68</v>
      </c>
      <c r="K16" s="43" t="str">
        <f t="shared" ref="K16:K25" si="20">CONCATENATE(J16,", &amp;#32všetky možnosti")</f>
        <v>16 - 20, &amp;#32všetky možnosti</v>
      </c>
      <c r="L16" s="44" t="str">
        <f t="shared" ref="L16:L25" si="21">AO16&amp;","&amp;AP16&amp;","&amp;AQ16</f>
        <v>,Register partnerov VS,</v>
      </c>
      <c r="M16" s="45">
        <f t="shared" ref="M16:M25" si="22">RAND()*TODAY()</f>
        <v>27253.04583</v>
      </c>
      <c r="N16" s="43"/>
      <c r="O16" s="43" t="str">
        <f>IFERROR(__xludf.DUMMYFUNCTION("SPLIT(Q16,"","")"),"Morovnianska cesta 1866")</f>
        <v>Morovnianska cesta 1866</v>
      </c>
      <c r="P16" s="43" t="str">
        <f>IFERROR(__xludf.DUMMYFUNCTION("""COMPUTED_VALUE""")," 972 51 Handlová")</f>
        <v> 972 51 Handlová</v>
      </c>
      <c r="Q16" s="42" t="s">
        <v>4121</v>
      </c>
      <c r="R16" s="43">
        <v>48.7346885</v>
      </c>
      <c r="S16" s="43">
        <v>18.7568026</v>
      </c>
      <c r="T16" s="56" t="s">
        <v>4122</v>
      </c>
      <c r="U16" s="112" t="s">
        <v>4123</v>
      </c>
      <c r="V16" s="113" t="s">
        <v>86</v>
      </c>
      <c r="W16" s="49" t="s">
        <v>4124</v>
      </c>
      <c r="X16" s="66" t="s">
        <v>4125</v>
      </c>
      <c r="Y16" s="54" t="s">
        <v>4126</v>
      </c>
      <c r="Z16" s="54" t="s">
        <v>4127</v>
      </c>
      <c r="AA16" s="110" t="s">
        <v>4128</v>
      </c>
      <c r="AB16" s="108" t="s">
        <v>4129</v>
      </c>
      <c r="AC16" s="421" t="s">
        <v>64</v>
      </c>
      <c r="AD16" s="404"/>
      <c r="AE16" s="325"/>
      <c r="AF16" s="422"/>
      <c r="AG16" s="404"/>
      <c r="AH16" s="432"/>
      <c r="AI16" s="325"/>
      <c r="AJ16" s="325"/>
      <c r="AK16" s="54"/>
      <c r="AL16" s="55"/>
      <c r="AM16" s="56"/>
      <c r="AN16" s="56"/>
      <c r="AO16" s="47"/>
      <c r="AP16" s="62" t="s">
        <v>39</v>
      </c>
      <c r="AQ16" s="123"/>
      <c r="AR16" s="58" t="str">
        <f t="shared" ref="AR16:AR25" si="23">REPLACE_ACCENTED(E16&amp;" "&amp;I16&amp;" "&amp;P16&amp;" "&amp;T16&amp;" "&amp;U16&amp;" "&amp;Z16&amp;" "&amp;AA16&amp;" "&amp;AB16&amp;" "&amp;AD16&amp;" "&amp;AE16&amp;" "&amp;AF16&amp;" "&amp;AH16&amp;" "&amp;AI16&amp;" "&amp;AJ16&amp;" "&amp;AL16&amp;" "&amp;AM16&amp;" "&amp;AN16&amp;" "&amp;AO16&amp;" "&amp;AP16)</f>
        <v>RENITEX, s. r. o. odevy a obuv, ochrana a bezpecnost,, &amp;#32vsetky kategorie  972 51 Handlova Sitie odevov, krojov a zdravotnickeho oblecenia. V regionalnom rozvoji a zamestnanosti. RENITEX, s.r.o. Sitie odevov, krojov, zdravotnickych odevov. sitie, odevy           Register partnerov VS</v>
      </c>
      <c r="AS16" s="37"/>
      <c r="AT16" s="37"/>
      <c r="AU16" s="37"/>
      <c r="AV16" s="37"/>
      <c r="AW16" s="37"/>
      <c r="AX16" s="37"/>
      <c r="AY16" s="37"/>
      <c r="AZ16" s="37"/>
      <c r="BA16" s="37"/>
      <c r="BB16" s="37"/>
      <c r="BC16" s="37"/>
      <c r="BD16" s="37"/>
      <c r="BE16" s="37"/>
      <c r="BF16" s="37"/>
      <c r="BG16" s="37"/>
      <c r="BH16" s="37"/>
      <c r="BI16" s="37"/>
      <c r="BJ16" s="37"/>
      <c r="BK16" s="37"/>
      <c r="BL16" s="37"/>
      <c r="BM16" s="37"/>
      <c r="BN16" s="37"/>
      <c r="BO16" s="37"/>
    </row>
    <row r="17" ht="15.75" customHeight="1">
      <c r="A17" s="362">
        <v>13.0</v>
      </c>
      <c r="B17" s="362" t="s">
        <v>4118</v>
      </c>
      <c r="C17" s="43"/>
      <c r="D17" s="59">
        <v>82.0</v>
      </c>
      <c r="E17" s="78" t="s">
        <v>4130</v>
      </c>
      <c r="F17" s="41" t="s">
        <v>229</v>
      </c>
      <c r="G17" s="38" t="str">
        <f t="shared" si="18"/>
        <v>Nitriansky kraj, &amp;#32celé Slovensko</v>
      </c>
      <c r="H17" s="42" t="s">
        <v>723</v>
      </c>
      <c r="I17" s="38" t="str">
        <f t="shared" si="19"/>
        <v>čistiace a upratovacie služby, &amp;#32všetky kategórie</v>
      </c>
      <c r="J17" s="42" t="s">
        <v>96</v>
      </c>
      <c r="K17" s="43" t="str">
        <f t="shared" si="20"/>
        <v>6 - 10, &amp;#32všetky možnosti</v>
      </c>
      <c r="L17" s="44" t="str">
        <f t="shared" si="21"/>
        <v>Servisné poukážky,Register partnerov VS,Náhradné plnenie</v>
      </c>
      <c r="M17" s="45">
        <f t="shared" si="22"/>
        <v>943.1964129</v>
      </c>
      <c r="N17" s="43"/>
      <c r="O17" s="43" t="str">
        <f>IFERROR(__xludf.DUMMYFUNCTION("SPLIT(Q17,"","")"),"Rastislavova 12")</f>
        <v>Rastislavova 12</v>
      </c>
      <c r="P17" s="43" t="str">
        <f>IFERROR(__xludf.DUMMYFUNCTION("""COMPUTED_VALUE""")," 949 01 Nitra")</f>
        <v> 949 01 Nitra</v>
      </c>
      <c r="Q17" s="42" t="s">
        <v>4131</v>
      </c>
      <c r="R17" s="43">
        <v>48.3255025</v>
      </c>
      <c r="S17" s="43">
        <v>18.0413244</v>
      </c>
      <c r="T17" s="46" t="s">
        <v>4132</v>
      </c>
      <c r="U17" s="69" t="s">
        <v>4133</v>
      </c>
      <c r="V17" s="433" t="s">
        <v>4134</v>
      </c>
      <c r="W17" s="61" t="s">
        <v>4135</v>
      </c>
      <c r="X17" s="50" t="s">
        <v>4136</v>
      </c>
      <c r="Y17" s="55" t="s">
        <v>4137</v>
      </c>
      <c r="Z17" s="71" t="s">
        <v>4138</v>
      </c>
      <c r="AA17" s="72" t="s">
        <v>4139</v>
      </c>
      <c r="AB17" s="53" t="s">
        <v>4140</v>
      </c>
      <c r="AC17" s="425" t="s">
        <v>64</v>
      </c>
      <c r="AD17" s="331"/>
      <c r="AE17" s="325"/>
      <c r="AF17" s="325"/>
      <c r="AG17" s="331"/>
      <c r="AH17" s="331"/>
      <c r="AI17" s="325"/>
      <c r="AJ17" s="325"/>
      <c r="AK17" s="55"/>
      <c r="AL17" s="55"/>
      <c r="AM17" s="56"/>
      <c r="AN17" s="56"/>
      <c r="AO17" s="77" t="s">
        <v>321</v>
      </c>
      <c r="AP17" s="62" t="s">
        <v>39</v>
      </c>
      <c r="AQ17" s="57" t="s">
        <v>40</v>
      </c>
      <c r="AR17" s="58" t="str">
        <f t="shared" si="23"/>
        <v>MINORITAS, s. r. o. cistiace a upratovacie sluzby, &amp;#32vsetky kategorie  949 01 Nitra Upratovacie a cistiace prace pre firmy a narocnejsie domacnosti, ktore kladu doraz na spolahlivost, preciznost a vysoky standard cistoty. V roku 2022 otvorime pracovnu so zvozom a rozvozom bielizne. Zamestnavame znevyhodnenych obcanov, najma zdravotne. Okrem zarobku a pocitu uzitocnosti im pracou na roznych miestach umoznujeme kontakt s ludmi mimo ich obvykleho okruhu. MINORITAS, s.r.o. Upratovacie a cistiace prace. upratovanie, cistenie          Servisne poukazky Register partnerov VS</v>
      </c>
      <c r="AS17" s="37"/>
      <c r="AT17" s="37"/>
      <c r="AU17" s="37"/>
      <c r="AV17" s="37"/>
      <c r="AW17" s="37"/>
      <c r="AX17" s="37"/>
      <c r="AY17" s="37"/>
      <c r="AZ17" s="37"/>
      <c r="BA17" s="37"/>
      <c r="BB17" s="37"/>
      <c r="BC17" s="37"/>
      <c r="BD17" s="37"/>
      <c r="BE17" s="37"/>
      <c r="BF17" s="37"/>
      <c r="BG17" s="37"/>
      <c r="BH17" s="37"/>
      <c r="BI17" s="37"/>
      <c r="BJ17" s="37"/>
      <c r="BK17" s="37"/>
      <c r="BL17" s="37"/>
      <c r="BM17" s="37"/>
      <c r="BN17" s="37"/>
      <c r="BO17" s="37"/>
    </row>
    <row r="18" ht="15.75" customHeight="1">
      <c r="A18" s="362">
        <v>14.0</v>
      </c>
      <c r="B18" s="362" t="s">
        <v>4118</v>
      </c>
      <c r="C18" s="43"/>
      <c r="D18" s="59">
        <v>270.0</v>
      </c>
      <c r="E18" s="75" t="s">
        <v>4141</v>
      </c>
      <c r="F18" s="42" t="s">
        <v>66</v>
      </c>
      <c r="G18" s="38" t="str">
        <f t="shared" si="18"/>
        <v>Žilinský kraj, &amp;#32celé Slovensko</v>
      </c>
      <c r="H18" s="42" t="s">
        <v>4142</v>
      </c>
      <c r="I18" s="38" t="str">
        <f t="shared" si="19"/>
        <v>stavebníctvo, dom a záhrada, ochrana a bezpečnosť, &amp;#32všetky kategórie</v>
      </c>
      <c r="J18" s="42" t="s">
        <v>53</v>
      </c>
      <c r="K18" s="43" t="str">
        <f t="shared" si="20"/>
        <v>1 - 5, &amp;#32všetky možnosti</v>
      </c>
      <c r="L18" s="44" t="str">
        <f t="shared" si="21"/>
        <v>,Register partnerov VS,</v>
      </c>
      <c r="M18" s="45">
        <f t="shared" si="22"/>
        <v>7767.108562</v>
      </c>
      <c r="N18" s="43"/>
      <c r="O18" s="43" t="str">
        <f>IFERROR(__xludf.DUMMYFUNCTION("SPLIT(Q18,"","")"),"Hurbanova 7")</f>
        <v>Hurbanova 7</v>
      </c>
      <c r="P18" s="43" t="str">
        <f>IFERROR(__xludf.DUMMYFUNCTION("""COMPUTED_VALUE""")," 036 01 Martin")</f>
        <v> 036 01 Martin</v>
      </c>
      <c r="Q18" s="42" t="s">
        <v>4143</v>
      </c>
      <c r="R18" s="43">
        <v>49.0835318</v>
      </c>
      <c r="S18" s="43">
        <v>18.9322333</v>
      </c>
      <c r="T18" s="56" t="s">
        <v>4144</v>
      </c>
      <c r="U18" s="112" t="s">
        <v>4145</v>
      </c>
      <c r="V18" s="113" t="s">
        <v>4146</v>
      </c>
      <c r="W18" s="49" t="s">
        <v>4147</v>
      </c>
      <c r="X18" s="66" t="s">
        <v>4148</v>
      </c>
      <c r="Y18" s="54" t="s">
        <v>4149</v>
      </c>
      <c r="Z18" s="54" t="s">
        <v>4141</v>
      </c>
      <c r="AA18" s="110" t="s">
        <v>4150</v>
      </c>
      <c r="AB18" s="108" t="s">
        <v>4151</v>
      </c>
      <c r="AC18" s="421" t="s">
        <v>64</v>
      </c>
      <c r="AD18" s="404"/>
      <c r="AE18" s="325"/>
      <c r="AF18" s="422"/>
      <c r="AG18" s="404"/>
      <c r="AH18" s="331"/>
      <c r="AI18" s="325"/>
      <c r="AJ18" s="325"/>
      <c r="AK18" s="55"/>
      <c r="AL18" s="55"/>
      <c r="AM18" s="56"/>
      <c r="AN18" s="56"/>
      <c r="AO18" s="47"/>
      <c r="AP18" s="62" t="s">
        <v>39</v>
      </c>
      <c r="AQ18" s="64"/>
      <c r="AR18" s="58" t="str">
        <f t="shared" si="23"/>
        <v>Miror, s.r.o. stavebnictvo, dom a zahrada, ochrana a bezpecnost, &amp;#32vsetky kategorie  036 01 Martin Nasim zakaznikom moze byt kazdy majitel komina, pece, kotla a krbu v domacnosti i vo firme - prace realizujeme v novostavbach aj v starsich budovach, rodinnych domoch aj firmach. Zapajame vykurovacie zariadenia - kotle, kachlove aj ine druhy peci, staviame a vlozkujeme kominove systemy, cistime aj kompletne zarucne a pozarucne servisujeme tieto systemy vratane reviznych sprav ku kolaudaciam, staviame kachlove pece ako sposob zdraveho vykurovania domacnosti aj podnikov. Podpora zamestnanosti Miror, s.r.o. Zapajame vykurovacie zariadenia - kotle, kachlove aj ine druhy peci, staviame a vlozkujeme kominove systemy, cistime aj kompletne ich zarucne aj pozarucne servisujeme vratane reviznych sprav ku kolaudaciam. Kachlove pece staviame ako sposob zdraveho vykurovania domacnosti aj podnikov. Prace realizujeme v novostavbach aj v starsich budovach rodinnych domov aj firiem. kominarske prace, servis opravy a vystavby kominov, zapajanie peci a kotlov, revizie kominovych systemov a kominov, kachlove pece           Register partnerov VS</v>
      </c>
      <c r="AS18" s="37"/>
      <c r="AT18" s="37"/>
      <c r="AU18" s="37"/>
      <c r="AV18" s="37"/>
      <c r="AW18" s="37"/>
      <c r="AX18" s="37"/>
      <c r="AY18" s="37"/>
      <c r="AZ18" s="37"/>
      <c r="BA18" s="37"/>
      <c r="BB18" s="37"/>
      <c r="BC18" s="37"/>
      <c r="BD18" s="37"/>
      <c r="BE18" s="37"/>
      <c r="BF18" s="37"/>
      <c r="BG18" s="37"/>
      <c r="BH18" s="37"/>
      <c r="BI18" s="37"/>
      <c r="BJ18" s="37"/>
      <c r="BK18" s="37"/>
      <c r="BL18" s="37"/>
      <c r="BM18" s="37"/>
      <c r="BN18" s="37"/>
      <c r="BO18" s="37"/>
    </row>
    <row r="19" ht="15.75" customHeight="1">
      <c r="A19" s="362">
        <v>15.0</v>
      </c>
      <c r="B19" s="362" t="s">
        <v>4118</v>
      </c>
      <c r="C19" s="43"/>
      <c r="D19" s="59">
        <v>194.0</v>
      </c>
      <c r="E19" s="75" t="s">
        <v>4152</v>
      </c>
      <c r="F19" s="42" t="s">
        <v>181</v>
      </c>
      <c r="G19" s="38" t="str">
        <f t="shared" si="18"/>
        <v>Banskobystrický kraj, &amp;#32celé Slovensko</v>
      </c>
      <c r="H19" s="42" t="s">
        <v>244</v>
      </c>
      <c r="I19" s="38" t="str">
        <f t="shared" si="19"/>
        <v>potraviny a nápoje, &amp;#32všetky kategórie</v>
      </c>
      <c r="J19" s="42" t="s">
        <v>53</v>
      </c>
      <c r="K19" s="43" t="str">
        <f t="shared" si="20"/>
        <v>1 - 5, &amp;#32všetky možnosti</v>
      </c>
      <c r="L19" s="44" t="str">
        <f t="shared" si="21"/>
        <v>,,</v>
      </c>
      <c r="M19" s="45">
        <f t="shared" si="22"/>
        <v>27385.02869</v>
      </c>
      <c r="N19" s="43"/>
      <c r="O19" s="43" t="str">
        <f>IFERROR(__xludf.DUMMYFUNCTION("SPLIT(Q19,"","")"),"Andreja Kmeťa 87/4")</f>
        <v>Andreja Kmeťa 87/4</v>
      </c>
      <c r="P19" s="43" t="str">
        <f>IFERROR(__xludf.DUMMYFUNCTION("""COMPUTED_VALUE""")," 990 01 Malý Krtíš ")</f>
        <v> 990 01 Malý Krtíš </v>
      </c>
      <c r="Q19" s="42" t="s">
        <v>4153</v>
      </c>
      <c r="R19" s="43">
        <v>48.189456</v>
      </c>
      <c r="S19" s="43">
        <v>19.3490797</v>
      </c>
      <c r="T19" s="56" t="s">
        <v>4154</v>
      </c>
      <c r="U19" s="34" t="s">
        <v>4155</v>
      </c>
      <c r="V19" s="63" t="s">
        <v>4156</v>
      </c>
      <c r="W19" s="61" t="s">
        <v>4157</v>
      </c>
      <c r="X19" s="50" t="s">
        <v>4158</v>
      </c>
      <c r="Y19" s="55" t="s">
        <v>4159</v>
      </c>
      <c r="Z19" s="54" t="s">
        <v>4160</v>
      </c>
      <c r="AA19" s="110" t="s">
        <v>4161</v>
      </c>
      <c r="AB19" s="108" t="s">
        <v>4162</v>
      </c>
      <c r="AC19" s="421" t="s">
        <v>64</v>
      </c>
      <c r="AD19" s="432"/>
      <c r="AE19" s="325"/>
      <c r="AF19" s="325"/>
      <c r="AG19" s="331"/>
      <c r="AH19" s="331"/>
      <c r="AI19" s="325"/>
      <c r="AJ19" s="325"/>
      <c r="AK19" s="55"/>
      <c r="AL19" s="55"/>
      <c r="AM19" s="56"/>
      <c r="AN19" s="56"/>
      <c r="AO19" s="34"/>
      <c r="AP19" s="55"/>
      <c r="AQ19" s="64"/>
      <c r="AR19" s="58" t="str">
        <f t="shared" si="23"/>
        <v>Bageteria Bayer s.r.o. potraviny a napoje, &amp;#32vsetky kategorie  990 01 Maly Krtis  Vyroba a predaj pokrmov rychleho obcerstvenia (bagety, tortilly, hamburgery, hot-dogy a podobne) vratane rozvozu v okrese Velky Krtis.
Ponukame cerstve, kvalitne a rychle obcerstvenie vsetkym zaujemcom o nase sluzby.
 Zamestnavame invalidnych dochodcov a znevyhodnenych uchadzacov o zamestnanie. Snazime sa byt co najviac prospesni pri poskytovani nasich sluzieb sirokej verejnosti.  Bageteria Bayer s.r.o. r.s.p. Vyroba, predaj a rozvoz rychleho obcerstvenia Bagety, tortilly, hamburgery, hot-dog, palacinky, pecena klobasa, donaska jedla           </v>
      </c>
      <c r="AS19" s="37"/>
      <c r="AT19" s="37"/>
      <c r="AU19" s="37"/>
      <c r="AV19" s="37"/>
      <c r="AW19" s="37"/>
      <c r="AX19" s="37"/>
      <c r="AY19" s="37"/>
      <c r="AZ19" s="37"/>
      <c r="BA19" s="37"/>
      <c r="BB19" s="37"/>
      <c r="BC19" s="37"/>
      <c r="BD19" s="37"/>
      <c r="BE19" s="37"/>
      <c r="BF19" s="37"/>
      <c r="BG19" s="37"/>
      <c r="BH19" s="37"/>
      <c r="BI19" s="37"/>
      <c r="BJ19" s="37"/>
      <c r="BK19" s="37"/>
      <c r="BL19" s="37"/>
      <c r="BM19" s="37"/>
      <c r="BN19" s="37"/>
      <c r="BO19" s="37"/>
    </row>
    <row r="20" ht="15.75" customHeight="1">
      <c r="A20" s="362">
        <v>16.0</v>
      </c>
      <c r="B20" s="362" t="s">
        <v>4118</v>
      </c>
      <c r="C20" s="43"/>
      <c r="D20" s="59">
        <v>303.0</v>
      </c>
      <c r="E20" s="75" t="s">
        <v>4163</v>
      </c>
      <c r="F20" s="42" t="s">
        <v>94</v>
      </c>
      <c r="G20" s="38" t="str">
        <f t="shared" si="18"/>
        <v>Bratislavský kraj, &amp;#32celé Slovensko</v>
      </c>
      <c r="H20" s="42" t="s">
        <v>4164</v>
      </c>
      <c r="I20" s="38" t="str">
        <f t="shared" si="19"/>
        <v>reklama, odevy a obuv, účtovníctvo a poradenstvo,, &amp;#32všetky kategórie</v>
      </c>
      <c r="J20" s="42" t="s">
        <v>53</v>
      </c>
      <c r="K20" s="43" t="str">
        <f t="shared" si="20"/>
        <v>1 - 5, &amp;#32všetky možnosti</v>
      </c>
      <c r="L20" s="44" t="str">
        <f t="shared" si="21"/>
        <v>,,</v>
      </c>
      <c r="M20" s="45">
        <f t="shared" si="22"/>
        <v>2613.158921</v>
      </c>
      <c r="N20" s="43"/>
      <c r="O20" s="43" t="str">
        <f>IFERROR(__xludf.DUMMYFUNCTION("SPLIT(Q20,"","")"),"Drotárska cesta 37")</f>
        <v>Drotárska cesta 37</v>
      </c>
      <c r="P20" s="43" t="str">
        <f>IFERROR(__xludf.DUMMYFUNCTION("""COMPUTED_VALUE""")," 811 02 Bratislava")</f>
        <v> 811 02 Bratislava</v>
      </c>
      <c r="Q20" s="42" t="s">
        <v>4165</v>
      </c>
      <c r="R20" s="43">
        <v>48.1558719</v>
      </c>
      <c r="S20" s="43">
        <v>17.0823806</v>
      </c>
      <c r="T20" s="56" t="s">
        <v>4166</v>
      </c>
      <c r="U20" s="112" t="s">
        <v>4167</v>
      </c>
      <c r="V20" s="113" t="s">
        <v>86</v>
      </c>
      <c r="W20" s="49" t="s">
        <v>4168</v>
      </c>
      <c r="X20" s="66" t="s">
        <v>4169</v>
      </c>
      <c r="Y20" s="54" t="s">
        <v>4170</v>
      </c>
      <c r="Z20" s="54" t="s">
        <v>4163</v>
      </c>
      <c r="AA20" s="110" t="s">
        <v>4171</v>
      </c>
      <c r="AB20" s="108" t="s">
        <v>4172</v>
      </c>
      <c r="AC20" s="421" t="s">
        <v>64</v>
      </c>
      <c r="AD20" s="404"/>
      <c r="AE20" s="325"/>
      <c r="AF20" s="422"/>
      <c r="AG20" s="404"/>
      <c r="AH20" s="432"/>
      <c r="AI20" s="325"/>
      <c r="AJ20" s="325"/>
      <c r="AK20" s="54"/>
      <c r="AL20" s="55"/>
      <c r="AM20" s="56"/>
      <c r="AN20" s="56"/>
      <c r="AO20" s="34"/>
      <c r="AP20" s="55"/>
      <c r="AQ20" s="434"/>
      <c r="AR20" s="58" t="str">
        <f t="shared" si="23"/>
        <v>NEED MORE s.r.o. reklama, odevy a obuv, uctovnictvo a poradenstvo,, &amp;#32vsetky kategorie  811 02 Bratislava Prevadzka e-shopu funder.help, tvorba fundraisingovych kampani a sprostredkovanie predaja cez e-commerce. Poctom integracie socialne a zdravotne znevyhodnenych ludi na trhu prace NEED MORE s.r.o. Textil s potlacou alebo vysivkou potlac, vysivka, e-commerce, textil, fundraising, kampane           </v>
      </c>
      <c r="AS20" s="37"/>
      <c r="AT20" s="37"/>
      <c r="AU20" s="37"/>
      <c r="AV20" s="37"/>
      <c r="AW20" s="37"/>
      <c r="AX20" s="37"/>
      <c r="AY20" s="37"/>
      <c r="AZ20" s="37"/>
      <c r="BA20" s="37"/>
      <c r="BB20" s="37"/>
      <c r="BC20" s="37"/>
      <c r="BD20" s="37"/>
      <c r="BE20" s="37"/>
      <c r="BF20" s="37"/>
      <c r="BG20" s="37"/>
      <c r="BH20" s="37"/>
      <c r="BI20" s="37"/>
      <c r="BJ20" s="37"/>
      <c r="BK20" s="37"/>
      <c r="BL20" s="37"/>
      <c r="BM20" s="37"/>
      <c r="BN20" s="37"/>
      <c r="BO20" s="37"/>
    </row>
    <row r="21" ht="15.75" customHeight="1">
      <c r="A21" s="362">
        <v>17.0</v>
      </c>
      <c r="B21" s="362" t="s">
        <v>4118</v>
      </c>
      <c r="C21" s="43"/>
      <c r="D21" s="59">
        <v>62.0</v>
      </c>
      <c r="E21" s="78" t="s">
        <v>4173</v>
      </c>
      <c r="F21" s="41" t="s">
        <v>66</v>
      </c>
      <c r="G21" s="38" t="str">
        <f t="shared" si="18"/>
        <v>Žilinský kraj, &amp;#32celé Slovensko</v>
      </c>
      <c r="H21" s="42" t="s">
        <v>4174</v>
      </c>
      <c r="I21" s="38" t="str">
        <f t="shared" si="19"/>
        <v>čistiace a upratovacie služby, dom a záhrada, auto-moto, elektro, počítačová a kancelárska technika, &amp;#32všetky kategórie</v>
      </c>
      <c r="J21" s="42" t="s">
        <v>53</v>
      </c>
      <c r="K21" s="43" t="str">
        <f t="shared" si="20"/>
        <v>1 - 5, &amp;#32všetky možnosti</v>
      </c>
      <c r="L21" s="44" t="str">
        <f t="shared" si="21"/>
        <v>,,Náhradné plnenie</v>
      </c>
      <c r="M21" s="45">
        <f t="shared" si="22"/>
        <v>35497.34477</v>
      </c>
      <c r="N21" s="43"/>
      <c r="O21" s="43" t="str">
        <f>IFERROR(__xludf.DUMMYFUNCTION("SPLIT(Q21,"","")"),"Hanušákova 1393/22A")</f>
        <v>Hanušákova 1393/22A</v>
      </c>
      <c r="P21" s="43" t="str">
        <f>IFERROR(__xludf.DUMMYFUNCTION("""COMPUTED_VALUE""")," 010 01 Žilina")</f>
        <v> 010 01 Žilina</v>
      </c>
      <c r="Q21" s="42" t="s">
        <v>4175</v>
      </c>
      <c r="R21" s="43">
        <v>49.2061196</v>
      </c>
      <c r="S21" s="43">
        <v>18.7784884</v>
      </c>
      <c r="T21" s="46" t="s">
        <v>4176</v>
      </c>
      <c r="U21" s="69" t="s">
        <v>1506</v>
      </c>
      <c r="V21" s="70" t="s">
        <v>86</v>
      </c>
      <c r="W21" s="61" t="s">
        <v>4177</v>
      </c>
      <c r="X21" s="50" t="s">
        <v>4178</v>
      </c>
      <c r="Y21" s="55" t="s">
        <v>4179</v>
      </c>
      <c r="Z21" s="71" t="s">
        <v>4173</v>
      </c>
      <c r="AA21" s="72" t="s">
        <v>4180</v>
      </c>
      <c r="AB21" s="53" t="s">
        <v>4181</v>
      </c>
      <c r="AC21" s="425" t="s">
        <v>64</v>
      </c>
      <c r="AD21" s="331"/>
      <c r="AE21" s="325"/>
      <c r="AF21" s="325"/>
      <c r="AG21" s="331"/>
      <c r="AH21" s="331"/>
      <c r="AI21" s="325"/>
      <c r="AJ21" s="325"/>
      <c r="AK21" s="55"/>
      <c r="AL21" s="55"/>
      <c r="AM21" s="56"/>
      <c r="AN21" s="56"/>
      <c r="AO21" s="34"/>
      <c r="AP21" s="55"/>
      <c r="AQ21" s="57" t="s">
        <v>40</v>
      </c>
      <c r="AR21" s="58" t="str">
        <f t="shared" si="23"/>
        <v>Damparts o.z. cistiace a upratovacie sluzby, dom a zahrada, auto-moto, elektro, pocitacova a kancelarska technika, &amp;#32vsetky kategorie  010 01 Zilina Cistiace a upratovacie prace, predaj autodielov. Zamestnavame obcanov so zdravotnym postihnutim. Damparts o.z. Predaj autodielov, cistiace a upratovacie prace. cistiace prace, upratovanie, autodiely           </v>
      </c>
      <c r="AS21" s="37"/>
      <c r="AT21" s="37"/>
      <c r="AU21" s="37"/>
      <c r="AV21" s="37"/>
      <c r="AW21" s="37"/>
      <c r="AX21" s="37"/>
      <c r="AY21" s="37"/>
      <c r="AZ21" s="37"/>
      <c r="BA21" s="37"/>
      <c r="BB21" s="37"/>
      <c r="BC21" s="37"/>
      <c r="BD21" s="37"/>
      <c r="BE21" s="37"/>
      <c r="BF21" s="37"/>
      <c r="BG21" s="37"/>
      <c r="BH21" s="37"/>
      <c r="BI21" s="37"/>
      <c r="BJ21" s="37"/>
      <c r="BK21" s="37"/>
      <c r="BL21" s="37"/>
      <c r="BM21" s="37"/>
      <c r="BN21" s="37"/>
      <c r="BO21" s="37"/>
    </row>
    <row r="22" ht="15.75" customHeight="1">
      <c r="A22" s="362">
        <v>18.0</v>
      </c>
      <c r="B22" s="362" t="s">
        <v>4118</v>
      </c>
      <c r="C22" s="43"/>
      <c r="D22" s="59">
        <v>320.0</v>
      </c>
      <c r="E22" s="75" t="s">
        <v>4182</v>
      </c>
      <c r="F22" s="42" t="s">
        <v>51</v>
      </c>
      <c r="G22" s="38" t="str">
        <f t="shared" si="18"/>
        <v>Prešovský kraj, &amp;#32celé Slovensko</v>
      </c>
      <c r="H22" s="42" t="s">
        <v>108</v>
      </c>
      <c r="I22" s="38" t="str">
        <f t="shared" si="19"/>
        <v>čistiace a upratovacie služby, stavebníctvo, &amp;#32všetky kategórie</v>
      </c>
      <c r="J22" s="42" t="s">
        <v>96</v>
      </c>
      <c r="K22" s="43" t="str">
        <f t="shared" si="20"/>
        <v>6 - 10, &amp;#32všetky možnosti</v>
      </c>
      <c r="L22" s="44" t="str">
        <f t="shared" si="21"/>
        <v>Servisné poukážky,,Náhradné plnenie</v>
      </c>
      <c r="M22" s="45">
        <f t="shared" si="22"/>
        <v>28891.32483</v>
      </c>
      <c r="N22" s="43"/>
      <c r="O22" s="43" t="str">
        <f>IFERROR(__xludf.DUMMYFUNCTION("SPLIT(Q22,"","")"),"Hollého 12")</f>
        <v>Hollého 12</v>
      </c>
      <c r="P22" s="43" t="str">
        <f>IFERROR(__xludf.DUMMYFUNCTION("""COMPUTED_VALUE""")," 083 01 Sabinov")</f>
        <v> 083 01 Sabinov</v>
      </c>
      <c r="Q22" s="42" t="s">
        <v>4183</v>
      </c>
      <c r="R22" s="43">
        <v>49.1051674</v>
      </c>
      <c r="S22" s="43">
        <v>21.0894524</v>
      </c>
      <c r="T22" s="56" t="s">
        <v>4184</v>
      </c>
      <c r="U22" s="125" t="s">
        <v>4185</v>
      </c>
      <c r="V22" s="435" t="s">
        <v>4186</v>
      </c>
      <c r="W22" s="133" t="s">
        <v>4187</v>
      </c>
      <c r="X22" s="129" t="s">
        <v>4188</v>
      </c>
      <c r="Y22" s="34" t="s">
        <v>4189</v>
      </c>
      <c r="Z22" s="54" t="s">
        <v>4190</v>
      </c>
      <c r="AA22" s="110" t="s">
        <v>4191</v>
      </c>
      <c r="AB22" s="108" t="s">
        <v>4192</v>
      </c>
      <c r="AC22" s="421" t="s">
        <v>64</v>
      </c>
      <c r="AD22" s="331"/>
      <c r="AE22" s="325"/>
      <c r="AF22" s="325"/>
      <c r="AG22" s="331"/>
      <c r="AH22" s="331"/>
      <c r="AI22" s="325"/>
      <c r="AJ22" s="325"/>
      <c r="AK22" s="55"/>
      <c r="AL22" s="55"/>
      <c r="AM22" s="56"/>
      <c r="AN22" s="56"/>
      <c r="AO22" s="18" t="s">
        <v>321</v>
      </c>
      <c r="AP22" s="34"/>
      <c r="AQ22" s="131" t="s">
        <v>40</v>
      </c>
      <c r="AR22" s="58" t="str">
        <f t="shared" si="23"/>
        <v>FEBA-ECO s. r. o., r. s. p. cistiace a upratovacie sluzby, stavebnictvo, &amp;#32vsetky kategorie  083 01 Sabinov Cistenie a pranie textilii, pranie, cistenie a tepovanie kobercov, upratovacie sluzby,
stavebna cinnost.
 Nasa firma prednostne zamestnava znevyhodnene osoby na trhu prace, dalej vzdelava a pripravuje osoby na ziskanie trvaleho zamestnania. Cistiaren, pracovna Feba - eco Cistenie a pranie textilii, upratovacie sluzby, cistenie a pranie kobercov. pranie, cistenie, tepovanie, stavebna cinnost          Servisne poukazky </v>
      </c>
      <c r="AS22" s="37"/>
      <c r="AT22" s="37"/>
      <c r="AU22" s="37"/>
      <c r="AV22" s="37"/>
      <c r="AW22" s="37"/>
      <c r="AX22" s="37"/>
      <c r="AY22" s="37"/>
      <c r="AZ22" s="37"/>
      <c r="BA22" s="37"/>
      <c r="BB22" s="37"/>
      <c r="BC22" s="37"/>
      <c r="BD22" s="37"/>
      <c r="BE22" s="37"/>
      <c r="BF22" s="37"/>
      <c r="BG22" s="37"/>
      <c r="BH22" s="37"/>
      <c r="BI22" s="37"/>
      <c r="BJ22" s="37"/>
      <c r="BK22" s="37"/>
      <c r="BL22" s="37"/>
      <c r="BM22" s="37"/>
      <c r="BN22" s="37"/>
      <c r="BO22" s="37"/>
    </row>
    <row r="23" ht="15.75" customHeight="1">
      <c r="A23" s="362">
        <v>19.0</v>
      </c>
      <c r="B23" s="362" t="s">
        <v>4193</v>
      </c>
      <c r="C23" s="43"/>
      <c r="D23" s="59">
        <v>79.0</v>
      </c>
      <c r="E23" s="78" t="s">
        <v>4194</v>
      </c>
      <c r="F23" s="41" t="s">
        <v>51</v>
      </c>
      <c r="G23" s="38" t="str">
        <f t="shared" si="18"/>
        <v>Prešovský kraj, &amp;#32celé Slovensko</v>
      </c>
      <c r="H23" s="42" t="s">
        <v>639</v>
      </c>
      <c r="I23" s="38" t="str">
        <f t="shared" si="19"/>
        <v>čistiace a upratovacie služby, dom a záhrada, &amp;#32všetky kategórie</v>
      </c>
      <c r="J23" s="42" t="s">
        <v>53</v>
      </c>
      <c r="K23" s="43" t="str">
        <f t="shared" si="20"/>
        <v>1 - 5, &amp;#32všetky možnosti</v>
      </c>
      <c r="L23" s="44" t="str">
        <f t="shared" si="21"/>
        <v>,,Náhradné plnenie</v>
      </c>
      <c r="M23" s="45">
        <f t="shared" si="22"/>
        <v>20809.93115</v>
      </c>
      <c r="N23" s="43"/>
      <c r="O23" s="43" t="str">
        <f>IFERROR(__xludf.DUMMYFUNCTION("SPLIT(Q23,"","")"),"Vyšná Jedľová 33")</f>
        <v>Vyšná Jedľová 33</v>
      </c>
      <c r="P23" s="43" t="str">
        <f>IFERROR(__xludf.DUMMYFUNCTION("""COMPUTED_VALUE""")," 089 01 Vyšná Jedľová
")</f>
        <v> 089 01 Vyšná Jedľová
</v>
      </c>
      <c r="Q23" s="42" t="s">
        <v>4195</v>
      </c>
      <c r="R23" s="43">
        <v>49.3458798</v>
      </c>
      <c r="S23" s="43">
        <v>21.5424936</v>
      </c>
      <c r="T23" s="46" t="s">
        <v>4196</v>
      </c>
      <c r="U23" s="69" t="s">
        <v>4197</v>
      </c>
      <c r="V23" s="70" t="s">
        <v>86</v>
      </c>
      <c r="W23" s="61" t="s">
        <v>4198</v>
      </c>
      <c r="X23" s="50" t="s">
        <v>4199</v>
      </c>
      <c r="Y23" s="55" t="s">
        <v>4200</v>
      </c>
      <c r="Z23" s="71" t="s">
        <v>4201</v>
      </c>
      <c r="AA23" s="72" t="s">
        <v>4202</v>
      </c>
      <c r="AB23" s="53" t="s">
        <v>4203</v>
      </c>
      <c r="AC23" s="425" t="s">
        <v>64</v>
      </c>
      <c r="AD23" s="331"/>
      <c r="AE23" s="325"/>
      <c r="AF23" s="325"/>
      <c r="AG23" s="331"/>
      <c r="AH23" s="331"/>
      <c r="AI23" s="325"/>
      <c r="AJ23" s="325"/>
      <c r="AK23" s="55"/>
      <c r="AL23" s="55"/>
      <c r="AM23" s="56"/>
      <c r="AN23" s="56"/>
      <c r="AO23" s="34"/>
      <c r="AP23" s="55"/>
      <c r="AQ23" s="57" t="s">
        <v>40</v>
      </c>
      <c r="AR23" s="58" t="str">
        <f t="shared" si="23"/>
        <v>Obecny podnik Jedlova s.r.o.  cistiace a upratovacie sluzby, dom a zahrada, &amp;#32vsetky kategorie  089 01 Vysna Jedlova
 Nasou zakladnou cinnostou je poskytovanie sluzieb pracovne a zehliarne pre restauracie, hotely, domovy socialnych sluzieb a pre fyzicke osoby. Vedlajsou cinnostou je starostlivost o zelen pre fyzicke osoby. Zamestnavanim znevyhodnenych osob (zdravotne a vekovo znevyhodnene osoby), zveladovanim verejnych priestranstiev. Obecny podnik Jedlova s.r.o. rsp Cinnost pracovne a cistiarne. pracovna, cistiaren           </v>
      </c>
      <c r="AS23" s="37"/>
      <c r="AT23" s="37"/>
      <c r="AU23" s="37"/>
      <c r="AV23" s="37"/>
      <c r="AW23" s="37"/>
      <c r="AX23" s="37"/>
      <c r="AY23" s="37"/>
      <c r="AZ23" s="37"/>
      <c r="BA23" s="37"/>
      <c r="BB23" s="37"/>
      <c r="BC23" s="37"/>
      <c r="BD23" s="37"/>
      <c r="BE23" s="37"/>
      <c r="BF23" s="37"/>
      <c r="BG23" s="37"/>
      <c r="BH23" s="37"/>
      <c r="BI23" s="37"/>
      <c r="BJ23" s="37"/>
      <c r="BK23" s="37"/>
      <c r="BL23" s="37"/>
      <c r="BM23" s="37"/>
      <c r="BN23" s="37"/>
      <c r="BO23" s="37"/>
    </row>
    <row r="24" ht="15.75" customHeight="1">
      <c r="A24" s="362">
        <v>20.0</v>
      </c>
      <c r="B24" s="362" t="s">
        <v>4193</v>
      </c>
      <c r="C24" s="43"/>
      <c r="D24" s="59">
        <v>119.0</v>
      </c>
      <c r="E24" s="97" t="s">
        <v>4204</v>
      </c>
      <c r="F24" s="41" t="s">
        <v>51</v>
      </c>
      <c r="G24" s="38" t="str">
        <f t="shared" si="18"/>
        <v>Prešovský kraj, &amp;#32celé Slovensko</v>
      </c>
      <c r="H24" s="42" t="s">
        <v>2008</v>
      </c>
      <c r="I24" s="38" t="str">
        <f t="shared" si="19"/>
        <v>stavebníctvo, dom a záhrada, &amp;#32všetky kategórie</v>
      </c>
      <c r="J24" s="42" t="s">
        <v>82</v>
      </c>
      <c r="K24" s="43" t="str">
        <f t="shared" si="20"/>
        <v>11 - 15, &amp;#32všetky možnosti</v>
      </c>
      <c r="L24" s="44" t="str">
        <f t="shared" si="21"/>
        <v>,Register partnerov VS,Náhradné plnenie</v>
      </c>
      <c r="M24" s="45">
        <f t="shared" si="22"/>
        <v>23245.54849</v>
      </c>
      <c r="N24" s="43"/>
      <c r="O24" s="43" t="str">
        <f>IFERROR(__xludf.DUMMYFUNCTION("SPLIT(Q24,"","")"),"Masarykova 10")</f>
        <v>Masarykova 10</v>
      </c>
      <c r="P24" s="43" t="str">
        <f>IFERROR(__xludf.DUMMYFUNCTION("""COMPUTED_VALUE""")," 080 01 Prešov ")</f>
        <v> 080 01 Prešov </v>
      </c>
      <c r="Q24" s="42" t="s">
        <v>4205</v>
      </c>
      <c r="R24" s="43">
        <v>48.9910649</v>
      </c>
      <c r="S24" s="43">
        <v>21.2466313</v>
      </c>
      <c r="T24" s="56" t="s">
        <v>4206</v>
      </c>
      <c r="U24" s="34" t="s">
        <v>4207</v>
      </c>
      <c r="V24" s="63" t="s">
        <v>86</v>
      </c>
      <c r="W24" s="61" t="s">
        <v>4208</v>
      </c>
      <c r="X24" s="50" t="s">
        <v>4209</v>
      </c>
      <c r="Y24" s="55" t="s">
        <v>4210</v>
      </c>
      <c r="Z24" s="54" t="s">
        <v>4211</v>
      </c>
      <c r="AA24" s="46" t="s">
        <v>4212</v>
      </c>
      <c r="AB24" s="53" t="s">
        <v>4213</v>
      </c>
      <c r="AC24" s="425" t="s">
        <v>64</v>
      </c>
      <c r="AD24" s="331"/>
      <c r="AE24" s="325"/>
      <c r="AF24" s="325"/>
      <c r="AG24" s="331"/>
      <c r="AH24" s="331"/>
      <c r="AI24" s="325"/>
      <c r="AJ24" s="325"/>
      <c r="AK24" s="55"/>
      <c r="AL24" s="55"/>
      <c r="AM24" s="56"/>
      <c r="AN24" s="56"/>
      <c r="AO24" s="47"/>
      <c r="AP24" s="62" t="s">
        <v>39</v>
      </c>
      <c r="AQ24" s="57" t="s">
        <v>40</v>
      </c>
      <c r="AR24" s="58" t="str">
        <f t="shared" si="23"/>
        <v>ATILA GENA s. r. o. stavebnictvo, dom a zahrada, &amp;#32vsetky kategorie  080 01 Presov  Robime pomocne prace na stavbe, vykopove a buracie prace, kladieme zamkovu dlazbu, malujeme. Davame pracu dlhodobo nezamestnanym ludom, ktori maju problem najst si zamestnanie. Atila gena s.r.o Pomocne prace, buracie a vykopove prace, zamkove dlazby; robime aj pilenie a vyrezavanie stromov. stavebne prace, pilenie stromov, malovanie           Register partnerov VS</v>
      </c>
      <c r="AS24" s="37"/>
      <c r="AT24" s="37"/>
      <c r="AU24" s="37"/>
      <c r="AV24" s="37"/>
      <c r="AW24" s="37"/>
      <c r="AX24" s="37"/>
      <c r="AY24" s="37"/>
      <c r="AZ24" s="37"/>
      <c r="BA24" s="37"/>
      <c r="BB24" s="37"/>
      <c r="BC24" s="37"/>
      <c r="BD24" s="37"/>
      <c r="BE24" s="37"/>
      <c r="BF24" s="37"/>
      <c r="BG24" s="37"/>
      <c r="BH24" s="37"/>
      <c r="BI24" s="37"/>
      <c r="BJ24" s="37"/>
      <c r="BK24" s="37"/>
      <c r="BL24" s="37"/>
      <c r="BM24" s="37"/>
      <c r="BN24" s="37"/>
      <c r="BO24" s="37"/>
    </row>
    <row r="25" ht="15.75" customHeight="1">
      <c r="A25" s="362">
        <v>21.0</v>
      </c>
      <c r="B25" s="362" t="s">
        <v>4193</v>
      </c>
      <c r="C25" s="43"/>
      <c r="D25" s="59">
        <v>264.0</v>
      </c>
      <c r="E25" s="75" t="s">
        <v>4214</v>
      </c>
      <c r="F25" s="42" t="s">
        <v>181</v>
      </c>
      <c r="G25" s="38" t="str">
        <f t="shared" si="18"/>
        <v>Banskobystrický kraj, &amp;#32celé Slovensko</v>
      </c>
      <c r="H25" s="42" t="s">
        <v>723</v>
      </c>
      <c r="I25" s="38" t="str">
        <f t="shared" si="19"/>
        <v>čistiace a upratovacie služby, &amp;#32všetky kategórie</v>
      </c>
      <c r="J25" s="42" t="s">
        <v>96</v>
      </c>
      <c r="K25" s="43" t="str">
        <f t="shared" si="20"/>
        <v>6 - 10, &amp;#32všetky možnosti</v>
      </c>
      <c r="L25" s="44" t="str">
        <f t="shared" si="21"/>
        <v>,Register partnerov VS,</v>
      </c>
      <c r="M25" s="45">
        <f t="shared" si="22"/>
        <v>16185.23816</v>
      </c>
      <c r="N25" s="43"/>
      <c r="O25" s="43" t="str">
        <f>IFERROR(__xludf.DUMMYFUNCTION("SPLIT(Q25,"","")"),"Sokolská 327/27")</f>
        <v>Sokolská 327/27</v>
      </c>
      <c r="P25" s="43" t="str">
        <f>IFERROR(__xludf.DUMMYFUNCTION("""COMPUTED_VALUE""")," 960 01 Zvolen")</f>
        <v> 960 01 Zvolen</v>
      </c>
      <c r="Q25" s="42" t="s">
        <v>4215</v>
      </c>
      <c r="R25" s="43">
        <v>48.5779083</v>
      </c>
      <c r="S25" s="43">
        <v>19.134971</v>
      </c>
      <c r="T25" s="56" t="s">
        <v>4216</v>
      </c>
      <c r="U25" s="112" t="s">
        <v>4217</v>
      </c>
      <c r="V25" s="113" t="s">
        <v>86</v>
      </c>
      <c r="W25" s="49" t="s">
        <v>4218</v>
      </c>
      <c r="X25" s="66" t="s">
        <v>4219</v>
      </c>
      <c r="Y25" s="54" t="s">
        <v>4220</v>
      </c>
      <c r="Z25" s="54" t="s">
        <v>4221</v>
      </c>
      <c r="AA25" s="110" t="s">
        <v>4222</v>
      </c>
      <c r="AB25" s="108" t="s">
        <v>4223</v>
      </c>
      <c r="AC25" s="421" t="s">
        <v>64</v>
      </c>
      <c r="AD25" s="404"/>
      <c r="AE25" s="325"/>
      <c r="AF25" s="422"/>
      <c r="AG25" s="404"/>
      <c r="AH25" s="331"/>
      <c r="AI25" s="325"/>
      <c r="AJ25" s="325"/>
      <c r="AK25" s="55"/>
      <c r="AL25" s="55"/>
      <c r="AM25" s="56"/>
      <c r="AN25" s="56"/>
      <c r="AO25" s="47"/>
      <c r="AP25" s="62" t="s">
        <v>39</v>
      </c>
      <c r="AQ25" s="64"/>
      <c r="AR25" s="58" t="str">
        <f t="shared" si="23"/>
        <v>ROBUL Clean s.r.o. cistiace a upratovacie sluzby, &amp;#32vsetky kategorie  960 01 Zvolen Pranie a chemicke cistenie textilnych a kozusinovych vyrobkov. Poskytujeme spolocensky prospesnu sluzbu a zamestnavame zranitelne a znevyhodnene osoby. Pracovna Dudince Pranie a chemicke cistenie. Pracovna, zehlenie, cistiaren           Register partnerov VS</v>
      </c>
      <c r="AS25" s="37"/>
      <c r="AT25" s="37"/>
      <c r="AU25" s="37"/>
      <c r="AV25" s="37"/>
      <c r="AW25" s="37"/>
      <c r="AX25" s="37"/>
      <c r="AY25" s="37"/>
      <c r="AZ25" s="37"/>
      <c r="BA25" s="37"/>
      <c r="BB25" s="37"/>
      <c r="BC25" s="37"/>
      <c r="BD25" s="37"/>
      <c r="BE25" s="37"/>
      <c r="BF25" s="37"/>
      <c r="BG25" s="37"/>
      <c r="BH25" s="37"/>
      <c r="BI25" s="37"/>
      <c r="BJ25" s="37"/>
      <c r="BK25" s="37"/>
      <c r="BL25" s="37"/>
      <c r="BM25" s="37"/>
      <c r="BN25" s="37"/>
      <c r="BO25" s="37"/>
    </row>
    <row r="26">
      <c r="A26" s="362"/>
      <c r="B26" s="431"/>
    </row>
    <row r="27">
      <c r="A27" s="362"/>
      <c r="B27" s="362" t="s">
        <v>4224</v>
      </c>
    </row>
    <row r="28">
      <c r="A28" s="431"/>
      <c r="B28" s="431"/>
    </row>
    <row r="29" ht="15.75" customHeight="1">
      <c r="A29" s="431"/>
      <c r="B29" s="431"/>
      <c r="C29" s="43"/>
      <c r="D29" s="59">
        <v>52.0</v>
      </c>
      <c r="E29" s="78" t="s">
        <v>3486</v>
      </c>
      <c r="F29" s="41" t="s">
        <v>134</v>
      </c>
      <c r="G29" s="38" t="str">
        <f>CONCATENATE(F29,", &amp;#32celé Slovensko")</f>
        <v>Trenčiansky kraj, &amp;#32celé Slovensko</v>
      </c>
      <c r="H29" s="42" t="s">
        <v>3487</v>
      </c>
      <c r="I29" s="38" t="str">
        <f>CONCATENATE(H29,", &amp;#32všetky kategórie")</f>
        <v>kultúra a šport, pre deti, &amp;#32všetky kategórie</v>
      </c>
      <c r="J29" s="42" t="s">
        <v>53</v>
      </c>
      <c r="K29" s="43" t="str">
        <f>CONCATENATE(J29,", &amp;#32všetky možnosti")</f>
        <v>1 - 5, &amp;#32všetky možnosti</v>
      </c>
      <c r="L29" s="44" t="str">
        <f>AO29&amp;","&amp;AP29&amp;","&amp;AQ29</f>
        <v>,,</v>
      </c>
      <c r="M29" s="45">
        <f>RAND()*TODAY()</f>
        <v>18607.71178</v>
      </c>
      <c r="N29" s="43"/>
      <c r="O29" s="43" t="str">
        <f>IFERROR(__xludf.DUMMYFUNCTION("SPLIT(Q29,"","")"),"A. Žarnova 820/16")</f>
        <v>A. Žarnova 820/16</v>
      </c>
      <c r="P29" s="43" t="str">
        <f>IFERROR(__xludf.DUMMYFUNCTION("""COMPUTED_VALUE""")," 971 01 Prievidza ")</f>
        <v> 971 01 Prievidza </v>
      </c>
      <c r="Q29" s="42" t="s">
        <v>4225</v>
      </c>
      <c r="R29" s="43">
        <v>48.7827889</v>
      </c>
      <c r="S29" s="43">
        <v>18.6230612</v>
      </c>
      <c r="T29" s="46" t="s">
        <v>4226</v>
      </c>
      <c r="U29" s="47" t="s">
        <v>4227</v>
      </c>
      <c r="V29" s="63" t="s">
        <v>86</v>
      </c>
      <c r="W29" s="61" t="s">
        <v>4228</v>
      </c>
      <c r="X29" s="424" t="s">
        <v>3492</v>
      </c>
      <c r="Y29" s="76" t="s">
        <v>3493</v>
      </c>
      <c r="Z29" s="54" t="s">
        <v>3494</v>
      </c>
      <c r="AA29" s="46" t="s">
        <v>4229</v>
      </c>
      <c r="AB29" s="53" t="s">
        <v>4230</v>
      </c>
      <c r="AC29" s="52" t="s">
        <v>64</v>
      </c>
      <c r="AD29" s="55"/>
      <c r="AE29" s="56"/>
      <c r="AF29" s="56"/>
      <c r="AG29" s="55"/>
      <c r="AH29" s="55"/>
      <c r="AI29" s="56"/>
      <c r="AJ29" s="56"/>
      <c r="AK29" s="55"/>
      <c r="AL29" s="55"/>
      <c r="AM29" s="56"/>
      <c r="AN29" s="56"/>
      <c r="AO29" s="34"/>
      <c r="AP29" s="55"/>
      <c r="AQ29" s="64"/>
      <c r="AR29" s="58" t="str">
        <f>REPLACE_ACCENTED(E29&amp;" "&amp;I29&amp;" "&amp;P29&amp;" "&amp;T29&amp;" "&amp;U29&amp;" "&amp;Z29&amp;" "&amp;AA29&amp;" "&amp;AB29&amp;" "&amp;AD29&amp;" "&amp;AE29&amp;" "&amp;AF29&amp;" "&amp;AH29&amp;" "&amp;AI29&amp;" "&amp;AJ29&amp;" "&amp;AL29&amp;" "&amp;AM29&amp;" "&amp;AN29&amp;" "&amp;AO29&amp;" "&amp;AP29)</f>
        <v>Baby plavanie, s. r. o. kultura a sport, pre deti, &amp;#32vsetky kategorie  971 01 Prievidza  Spolocnost sa zaobera poskytovanim kurzov plavania pre dojcata, batolata a deti predskolskeho veku. Nasimi zakaznikmi su preto hlavne mamicky s detmi. Vznikom nasho podniku sa nam podarilo podporit zamestnanost v nasom regione. Baby plavanie, s.r.o. Poskytujeme sluzby v oblasti prevazkovania kurzov plavania pre dojcata, batolata a deti predskolskeho veku - kurzy plavania 1x do tyzdna alebo 2x do tyzdna; dlzka trvania kurzov v oboch pripadoch je jeden mesiac. plavanie dojciat, plavanie batoliat, kurzy plavania pre deti           </v>
      </c>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row>
    <row r="30">
      <c r="A30" s="431"/>
      <c r="B30" s="431"/>
    </row>
    <row r="31">
      <c r="A31" s="431"/>
      <c r="B31" s="362" t="s">
        <v>4231</v>
      </c>
    </row>
    <row r="32" ht="15.75" customHeight="1">
      <c r="A32" s="431"/>
      <c r="B32" s="431"/>
      <c r="C32" s="43"/>
      <c r="D32" s="59">
        <v>258.0</v>
      </c>
      <c r="E32" s="75" t="s">
        <v>4232</v>
      </c>
      <c r="F32" s="42" t="s">
        <v>218</v>
      </c>
      <c r="G32" s="38" t="str">
        <f>CONCATENATE(F32,", &amp;#32celé Slovensko")</f>
        <v>Košický kraj, &amp;#32celé Slovensko</v>
      </c>
      <c r="H32" s="42" t="s">
        <v>4233</v>
      </c>
      <c r="I32" s="38" t="str">
        <f>CONCATENATE(H32,", &amp;#32všetky kategórie")</f>
        <v>odpady a recyklácia, nábytok a bytové doplnky, galantéria, bižutéria a darčekové predmety, zvieratá, &amp;#32všetky kategórie</v>
      </c>
      <c r="J32" s="42" t="s">
        <v>82</v>
      </c>
      <c r="K32" s="43" t="str">
        <f>CONCATENATE(J32,", &amp;#32všetky možnosti")</f>
        <v>11 - 15, &amp;#32všetky možnosti</v>
      </c>
      <c r="L32" s="44" t="str">
        <f>AO32&amp;","&amp;AP32&amp;","&amp;AQ32</f>
        <v>,,Náhradné plnenie</v>
      </c>
      <c r="M32" s="45">
        <f>RAND()*TODAY()</f>
        <v>32676.99098</v>
      </c>
      <c r="N32" s="43"/>
      <c r="O32" s="43" t="str">
        <f>IFERROR(__xludf.DUMMYFUNCTION("SPLIT(Q32,"","")"),"Tajovského 1")</f>
        <v>Tajovského 1</v>
      </c>
      <c r="P32" s="43" t="str">
        <f>IFERROR(__xludf.DUMMYFUNCTION("""COMPUTED_VALUE""")," 040 01 Košice")</f>
        <v> 040 01 Košice</v>
      </c>
      <c r="Q32" s="42" t="s">
        <v>4234</v>
      </c>
      <c r="R32" s="43">
        <v>48.7188776</v>
      </c>
      <c r="S32" s="43">
        <v>21.2538374</v>
      </c>
      <c r="T32" s="56" t="s">
        <v>4235</v>
      </c>
      <c r="U32" s="112" t="s">
        <v>4236</v>
      </c>
      <c r="V32" s="113" t="s">
        <v>4237</v>
      </c>
      <c r="W32" s="49" t="s">
        <v>4238</v>
      </c>
      <c r="X32" s="420" t="s">
        <v>4239</v>
      </c>
      <c r="Y32" s="54" t="s">
        <v>4240</v>
      </c>
      <c r="Z32" s="54" t="s">
        <v>4241</v>
      </c>
      <c r="AA32" s="110" t="s">
        <v>4242</v>
      </c>
      <c r="AB32" s="108" t="s">
        <v>4243</v>
      </c>
      <c r="AC32" s="421" t="s">
        <v>64</v>
      </c>
      <c r="AD32" s="404"/>
      <c r="AE32" s="325"/>
      <c r="AF32" s="422"/>
      <c r="AG32" s="404"/>
      <c r="AH32" s="331"/>
      <c r="AI32" s="325"/>
      <c r="AJ32" s="325"/>
      <c r="AK32" s="55"/>
      <c r="AL32" s="55"/>
      <c r="AM32" s="56"/>
      <c r="AN32" s="56"/>
      <c r="AO32" s="34"/>
      <c r="AP32" s="55"/>
      <c r="AQ32" s="57" t="s">
        <v>40</v>
      </c>
      <c r="AR32" s="58" t="str">
        <f>REPLACE_ACCENTED(E32&amp;" "&amp;I32&amp;" "&amp;P32&amp;" "&amp;T32&amp;" "&amp;U32&amp;" "&amp;Z32&amp;" "&amp;AA32&amp;" "&amp;AB32&amp;" "&amp;AD32&amp;" "&amp;AE32&amp;" "&amp;AF32&amp;" "&amp;AH32&amp;" "&amp;AI32&amp;" "&amp;AJ32&amp;" "&amp;AL32&amp;" "&amp;AM32&amp;" "&amp;AN32&amp;" "&amp;AO32&amp;" "&amp;AP32)</f>
        <v>sewn bag s. r. o. odpady a recyklacia, nabytok a bytove doplnky, galanteria, bizuteria a darcekove predmety, zvierata, &amp;#32vsetky kategorie  040 01 Kosice Ponukame rozne tasky a doplnky.
 Sijeme tasky na notebooky, obaly na tablety, darcekove predmety, puzdra na doklady, penazenky a rozne ine predmety podla poziadaviek zakaznika. Vsetky produkty su vyrabane zo zbytkov z textilnej vyroby. Tento material by sa inak poslal na skladku alebo do spalovne...
 Vyrabame aj reklamne, darcekove a upomienkove predmety, tasticky, klucenky a pod.
 Kazdy darcek moze mat svoj pribeh, ale aj svoju buducnost. Kontaktujte nas a dohodnite si detaily. Kazdy produkt, ktory vyrobime, ma za sebou vlastnu historiu. A kedze na jeho povodny ucel ho uz nikto nevyuzije, vyrobime z neho za pomoci ludi v tazkej zivotnej situacii novy produkt, s novym ucelom, novou buducnostou a novym pribehom. sewn bag Darcekove predmety, reklamne predmety, cestovne tasky, penazenky, pelechy pre psov a rozne doplnky. 
 Rucne tkane obrusy, koberce a textilie. krajcirstvo, brasnarstvo, tasky, doplnky, penazenky, kozene vyrobky, koberce, vankuse, pelech, pes, koza           </v>
      </c>
      <c r="AS32" s="37"/>
      <c r="AT32" s="37"/>
      <c r="AU32" s="37"/>
      <c r="AV32" s="37"/>
      <c r="AW32" s="37"/>
      <c r="AX32" s="37"/>
      <c r="AY32" s="37"/>
      <c r="AZ32" s="37"/>
      <c r="BA32" s="37"/>
      <c r="BB32" s="37"/>
      <c r="BC32" s="37"/>
      <c r="BD32" s="37"/>
      <c r="BE32" s="37"/>
      <c r="BF32" s="37"/>
      <c r="BG32" s="37"/>
      <c r="BH32" s="37"/>
      <c r="BI32" s="37"/>
      <c r="BJ32" s="37"/>
      <c r="BK32" s="37"/>
      <c r="BL32" s="37"/>
      <c r="BM32" s="37"/>
      <c r="BN32" s="37"/>
      <c r="BO32" s="37"/>
    </row>
    <row r="33">
      <c r="A33" s="431"/>
      <c r="B33" s="431"/>
    </row>
    <row r="34">
      <c r="A34" s="431"/>
      <c r="B34" s="362" t="s">
        <v>4244</v>
      </c>
    </row>
    <row r="35" ht="15.75" customHeight="1">
      <c r="A35" s="431"/>
      <c r="B35" s="431"/>
      <c r="C35" s="43"/>
      <c r="D35" s="59">
        <v>362.0</v>
      </c>
      <c r="E35" s="219" t="s">
        <v>4245</v>
      </c>
      <c r="F35" s="42" t="s">
        <v>218</v>
      </c>
      <c r="G35" s="38" t="str">
        <f>CONCATENATE(F35,", &amp;#32celé Slovensko")</f>
        <v>Košický kraj, &amp;#32celé Slovensko</v>
      </c>
      <c r="H35" s="42" t="s">
        <v>4246</v>
      </c>
      <c r="I35" s="38" t="str">
        <f>CONCATENATE(H35,", &amp;#32všetky kategórie")</f>
        <v>čistiace a upratovacie služby, dom a záhrada, stavebníctvo, pre deti, iné (tovary a služby), &amp;#32všetky kategórie</v>
      </c>
      <c r="J35" s="42" t="s">
        <v>82</v>
      </c>
      <c r="K35" s="43" t="str">
        <f>CONCATENATE(J35,", &amp;#32všetky možnosti")</f>
        <v>11 - 15, &amp;#32všetky možnosti</v>
      </c>
      <c r="L35" s="44" t="str">
        <f>AO35&amp;","&amp;AP35&amp;","&amp;AQ35</f>
        <v>Servisné poukážky,Register partnerov VS,</v>
      </c>
      <c r="M35" s="45">
        <f>RAND()*TODAY()</f>
        <v>31928.25304</v>
      </c>
      <c r="N35" s="43"/>
      <c r="O35" s="43" t="str">
        <f>IFERROR(__xludf.DUMMYFUNCTION("SPLIT(Q35,"","")"),"053 40 Slovinky 58")</f>
        <v>053 40 Slovinky 58</v>
      </c>
      <c r="P35" s="43"/>
      <c r="Q35" s="42" t="s">
        <v>4247</v>
      </c>
      <c r="R35" s="81">
        <v>48.8817456</v>
      </c>
      <c r="S35" s="81">
        <v>20.8463514</v>
      </c>
      <c r="T35" s="82" t="s">
        <v>4248</v>
      </c>
      <c r="U35" s="85" t="s">
        <v>4249</v>
      </c>
      <c r="V35" s="98" t="s">
        <v>86</v>
      </c>
      <c r="W35" s="180" t="s">
        <v>4250</v>
      </c>
      <c r="X35" s="106" t="s">
        <v>4251</v>
      </c>
      <c r="Y35" s="85" t="s">
        <v>4252</v>
      </c>
      <c r="Z35" s="85"/>
      <c r="AA35" s="82" t="s">
        <v>4245</v>
      </c>
      <c r="AB35" s="86" t="s">
        <v>4253</v>
      </c>
      <c r="AC35" s="436" t="s">
        <v>64</v>
      </c>
      <c r="AD35" s="331"/>
      <c r="AE35" s="325"/>
      <c r="AF35" s="325"/>
      <c r="AG35" s="331"/>
      <c r="AH35" s="331"/>
      <c r="AI35" s="325"/>
      <c r="AJ35" s="325"/>
      <c r="AK35" s="55"/>
      <c r="AL35" s="55"/>
      <c r="AM35" s="56"/>
      <c r="AN35" s="56"/>
      <c r="AO35" s="34" t="s">
        <v>321</v>
      </c>
      <c r="AP35" s="34" t="s">
        <v>39</v>
      </c>
      <c r="AQ35" s="131"/>
      <c r="AR35" s="43" t="str">
        <f>REPLACE_ACCENTED(E35&amp;" "&amp;I35&amp;" "&amp;P35&amp;" "&amp;T35&amp;" "&amp;U35&amp;" "&amp;Z35&amp;" "&amp;AA35&amp;" "&amp;AB35&amp;" "&amp;AD35&amp;" "&amp;AE35&amp;" "&amp;AF35&amp;" "&amp;AH35&amp;" "&amp;AI35&amp;" "&amp;AJ35&amp;" "&amp;AL35&amp;" "&amp;AM35&amp;" "&amp;AN35&amp;" "&amp;AO35&amp;" "&amp;AP35)</f>
        <v>Socialny podnik obce Slovinky s. r. o., r. s. p. cistiace a upratovacie sluzby, dom a zahrada, stavebnictvo, pre deti, ine (tovary a sluzby), &amp;#32vsetky kategorie  Zamestnanci nasho podniku vykonavaju hlavne cinnosti pre obec, kosenie, cistenie potokov, zveladovanie verejnych priestranstiev, zber smeti z cintorinov a obce, stavebne a zemne prace. Vykonavaju aj cinnosti pre obyvatelov obce, najcastejsie ide o kosenie zahrad a pozemkov, stiepanie, rezanie a ukladanie dreva ale pomahaju aj s upravou domov, malovanim, upravou zahrad alebo inymi cinnostami, ktore obyvatelia potrebuju. Mame aj krajcirsku dielnu, v ktorej sa tkaju koberce, ktore su velmi oblubene u nasich obyvatelov, obyvatelov okolitych aj vzdialenych miest a obci a nase koberce su aj v zahranici.  Nase sikovne krajcirky siju rozne vyrobky - vyrobky do domacnosti (chnapky, zastery, stoly), dekorativne predmety, hracky a rozne vyrobky na zakazku. Takisto sme spustili opravu odevov, ktora je velmi popularna.  Davame prilezitost znevyhodnenym osobam uplatnit sa na trhu prace.   Socialny podnik obce Slovinky s. r. o., r. s. p. Stavebne prace, zemne prace, zehlenie, pranie, umyvanie okien, stiepanie, ukladanie, rezanie dreva, malovanie domov, kosenie zahrad a pozemkov          Servisne poukazky Register partnerov VS</v>
      </c>
      <c r="AS35" s="37"/>
      <c r="AT35" s="37"/>
      <c r="AU35" s="37"/>
      <c r="AV35" s="37"/>
      <c r="AW35" s="37"/>
      <c r="AX35" s="37"/>
      <c r="AY35" s="37"/>
      <c r="AZ35" s="37"/>
      <c r="BA35" s="37"/>
      <c r="BB35" s="37"/>
      <c r="BC35" s="37"/>
      <c r="BD35" s="37"/>
      <c r="BE35" s="37"/>
      <c r="BF35" s="37"/>
      <c r="BG35" s="37"/>
      <c r="BH35" s="37"/>
      <c r="BI35" s="37"/>
      <c r="BJ35" s="37"/>
      <c r="BK35" s="37"/>
      <c r="BL35" s="37"/>
      <c r="BM35" s="37"/>
      <c r="BN35" s="37"/>
      <c r="BO35" s="37"/>
    </row>
    <row r="36">
      <c r="A36" s="431"/>
      <c r="B36" s="431"/>
    </row>
    <row r="37">
      <c r="A37" s="431"/>
      <c r="B37" s="362" t="s">
        <v>4254</v>
      </c>
    </row>
    <row r="38" ht="15.75" customHeight="1">
      <c r="A38" s="431"/>
      <c r="B38" s="362" t="s">
        <v>4255</v>
      </c>
      <c r="C38" s="43"/>
      <c r="D38" s="59">
        <v>36.0</v>
      </c>
      <c r="E38" s="78" t="s">
        <v>4256</v>
      </c>
      <c r="F38" s="41" t="s">
        <v>134</v>
      </c>
      <c r="G38" s="38" t="str">
        <f t="shared" ref="G38:G57" si="24">CONCATENATE(F38,", &amp;#32celé Slovensko")</f>
        <v>Trenčiansky kraj, &amp;#32celé Slovensko</v>
      </c>
      <c r="H38" s="42" t="s">
        <v>4257</v>
      </c>
      <c r="I38" s="38" t="str">
        <f t="shared" ref="I38:I57" si="25">CONCATENATE(H38,", &amp;#32všetky kategórie")</f>
        <v>poľnohospodárstvo a lesníctvo, dom a záhrada, bižutéria a darčekové predmety, iné (tovary a služby), zvieratá, &amp;#32všetky kategórie</v>
      </c>
      <c r="J38" s="42" t="s">
        <v>53</v>
      </c>
      <c r="K38" s="43" t="str">
        <f t="shared" ref="K38:K57" si="26">CONCATENATE(J38,", &amp;#32všetky možnosti")</f>
        <v>1 - 5, &amp;#32všetky možnosti</v>
      </c>
      <c r="L38" s="44" t="str">
        <f t="shared" ref="L38:L57" si="27">AO38&amp;","&amp;AP38&amp;","&amp;AQ38</f>
        <v>,,</v>
      </c>
      <c r="M38" s="45">
        <f t="shared" ref="M38:M57" si="28">RAND()*TODAY()</f>
        <v>38708.35711</v>
      </c>
      <c r="N38" s="43"/>
      <c r="O38" s="43" t="str">
        <f>IFERROR(__xludf.DUMMYFUNCTION("SPLIT(Q38,"","")"),"Trenčianska cesta 24")</f>
        <v>Trenčianska cesta 24</v>
      </c>
      <c r="P38" s="43" t="str">
        <f>IFERROR(__xludf.DUMMYFUNCTION("""COMPUTED_VALUE""")," 915 01 Nové Mesto nad Váhom")</f>
        <v> 915 01 Nové Mesto nad Váhom</v>
      </c>
      <c r="Q38" s="42" t="s">
        <v>4258</v>
      </c>
      <c r="R38" s="43">
        <v>48.7512926</v>
      </c>
      <c r="S38" s="43">
        <v>17.8395138</v>
      </c>
      <c r="T38" s="46" t="s">
        <v>4259</v>
      </c>
      <c r="U38" s="47" t="s">
        <v>4260</v>
      </c>
      <c r="V38" s="63" t="s">
        <v>4261</v>
      </c>
      <c r="W38" s="61" t="s">
        <v>4262</v>
      </c>
      <c r="X38" s="50" t="s">
        <v>4263</v>
      </c>
      <c r="Y38" s="55" t="s">
        <v>4264</v>
      </c>
      <c r="Z38" s="54" t="s">
        <v>4265</v>
      </c>
      <c r="AA38" s="46" t="s">
        <v>4266</v>
      </c>
      <c r="AB38" s="53" t="s">
        <v>4267</v>
      </c>
      <c r="AC38" s="425" t="s">
        <v>64</v>
      </c>
      <c r="AD38" s="331"/>
      <c r="AE38" s="325"/>
      <c r="AF38" s="325"/>
      <c r="AG38" s="331"/>
      <c r="AH38" s="331"/>
      <c r="AI38" s="325"/>
      <c r="AJ38" s="325"/>
      <c r="AK38" s="55"/>
      <c r="AL38" s="55"/>
      <c r="AM38" s="56"/>
      <c r="AN38" s="56"/>
      <c r="AO38" s="34"/>
      <c r="AP38" s="55"/>
      <c r="AQ38" s="64"/>
      <c r="AR38" s="58" t="str">
        <f t="shared" ref="AR38:AR57" si="29">REPLACE_ACCENTED(E38&amp;" "&amp;I38&amp;" "&amp;P38&amp;" "&amp;T38&amp;" "&amp;U38&amp;" "&amp;Z38&amp;" "&amp;AA38&amp;" "&amp;AB38&amp;" "&amp;AD38&amp;" "&amp;AE38&amp;" "&amp;AF38&amp;" "&amp;AH38&amp;" "&amp;AI38&amp;" "&amp;AJ38&amp;" "&amp;AL38&amp;" "&amp;AM38&amp;" "&amp;AN38&amp;" "&amp;AO38&amp;" "&amp;AP38)</f>
        <v>ZIPA plus s. r. o. polnohospodarstvo a lesnictvo, dom a zahrada, bizuteria a darcekove predmety, ine (tovary a sluzby), zvierata, &amp;#32vsetky kategorie  915 01 Nove Mesto nad Vahom Zameriavame sa najma na predaj klampiarskych vyrobkov, ponukame kompletny zlabovy system: zlaby, zvody, haky, vypustne kolena, horne kolena na zber dazdovej vody, aj na tenkostenny a hrubostenny program pouzivany na kurenie.                                                        Mame siroku ponuku postrekov proti skodcom, rozne pasce, zahradny sortiment - kvetinace, motyky, hrable, krompace, pily, sekery, krhle, postrekovace, kosacky, ochranne pomocky ako rukavice, okuliare, ochranny odev, gumaky.                                                                                      Dalej ponukame redukcie k celkovemu zavlazovaciemu systemu - hadice, rozprasovace, bazeny, bazenovu chemiu a tiez drogeriu, ako su mopy, kyble, handry na podlahu, mydla a podobne. Okrem ineho mame v ponuke aj sezonny tovar - zavaracie pohare, viecka, flase, sudy na ovocie, kompostery, kontajnerove nadoby, sortiment pre drobnochovatelov - napajacky a krmiva pre hydinu, jaslicky.                                                                                                                 Nas podnik ponuka tiez predaj celosezonnych vyrobkov a vlastnej tvorby z oblasti keramiky a aranzovanie vencov k akejkolvek prilezitosti.  Dolezitym aspektom nasej vynimocnosti je prepojenie planovania vyroby a predaja doplnkoveho a darcekoveho sortimentu so zamestnavanim pracovnikov, z ktorych cast je zo skupiny zdravotne znevyhodnenych osob. Uplatnujeme principy "kolektivneho riadenia" a reinvestovania zisku spat do podnikania. A v neposlednom rade, originalita kazdeho jedneho rucne vypracovaneho vyrobku robi pracu a vysledny produkt vynimocnym a originalnym. Dom a zahrada Prevadzkaren sa zaobera predajom klampiarskeho a zahradneho sortimentu. Zaroven ponuka sluzby v aranzovani vencov, vencekov, ikeban a vyrobu keramiky podla poziadavky zakaznika. zahradnictvo, klampiarstvo, drobnochovatelstvo, keramika, kvety, aranzovanie, drogeria, poradenstvo, kosenie, bazen, zavlazovanie, kotlinka, kvetinac, pracovne odevy           </v>
      </c>
      <c r="AS38" s="37" t="str">
        <f t="array" ref="AS38">IF(COUNTIF(LOWER(Sheet2!A:A), LOWER(E38)) &gt; 0, "No longer exists", "Exists")</f>
        <v>Exists</v>
      </c>
      <c r="AT38" s="37"/>
      <c r="AU38" s="37"/>
      <c r="AV38" s="37"/>
      <c r="AW38" s="37"/>
      <c r="AX38" s="37"/>
      <c r="AY38" s="37"/>
      <c r="AZ38" s="37"/>
      <c r="BA38" s="37"/>
      <c r="BB38" s="37"/>
      <c r="BC38" s="37"/>
      <c r="BD38" s="37"/>
      <c r="BE38" s="37"/>
      <c r="BF38" s="37"/>
      <c r="BG38" s="37"/>
      <c r="BH38" s="37"/>
      <c r="BI38" s="37"/>
      <c r="BJ38" s="37"/>
      <c r="BK38" s="37"/>
      <c r="BL38" s="37"/>
      <c r="BM38" s="37"/>
      <c r="BN38" s="37"/>
      <c r="BO38" s="37"/>
    </row>
    <row r="39" ht="15.75" customHeight="1">
      <c r="A39" s="431"/>
      <c r="B39" s="431"/>
      <c r="C39" s="43"/>
      <c r="D39" s="59">
        <v>74.0</v>
      </c>
      <c r="E39" s="78" t="s">
        <v>4268</v>
      </c>
      <c r="F39" s="41" t="s">
        <v>134</v>
      </c>
      <c r="G39" s="38" t="str">
        <f t="shared" si="24"/>
        <v>Trenčiansky kraj, &amp;#32celé Slovensko</v>
      </c>
      <c r="H39" s="42" t="s">
        <v>4269</v>
      </c>
      <c r="I39" s="38" t="str">
        <f t="shared" si="25"/>
        <v>vzdelávanie, účtovníctvo a poradenstvo, kultúra a šport, krása-zdravie-relax, odpady a recyklácia, reklama, iné (tovary a služby), &amp;#32všetky kategórie</v>
      </c>
      <c r="J39" s="42" t="s">
        <v>96</v>
      </c>
      <c r="K39" s="43" t="str">
        <f t="shared" si="26"/>
        <v>6 - 10, &amp;#32všetky možnosti</v>
      </c>
      <c r="L39" s="44" t="str">
        <f t="shared" si="27"/>
        <v>,Register partnerov VS,Náhradné plnenie</v>
      </c>
      <c r="M39" s="45">
        <f t="shared" si="28"/>
        <v>31403.4171</v>
      </c>
      <c r="N39" s="43"/>
      <c r="O39" s="43" t="str">
        <f>IFERROR(__xludf.DUMMYFUNCTION("SPLIT(Q39,"","")"),"Podzámocká 67/6")</f>
        <v>Podzámocká 67/6</v>
      </c>
      <c r="P39" s="43" t="str">
        <f>IFERROR(__xludf.DUMMYFUNCTION("""COMPUTED_VALUE""")," 972 01 Bojnice")</f>
        <v> 972 01 Bojnice</v>
      </c>
      <c r="Q39" s="42" t="s">
        <v>4270</v>
      </c>
      <c r="R39" s="43">
        <v>48.7788427</v>
      </c>
      <c r="S39" s="43">
        <v>18.5799094</v>
      </c>
      <c r="T39" s="46" t="s">
        <v>4271</v>
      </c>
      <c r="U39" s="69" t="s">
        <v>4272</v>
      </c>
      <c r="V39" s="70" t="s">
        <v>4273</v>
      </c>
      <c r="W39" s="61" t="s">
        <v>4274</v>
      </c>
      <c r="X39" s="50" t="s">
        <v>4275</v>
      </c>
      <c r="Y39" s="55" t="s">
        <v>4276</v>
      </c>
      <c r="Z39" s="71" t="s">
        <v>4268</v>
      </c>
      <c r="AA39" s="72" t="s">
        <v>4277</v>
      </c>
      <c r="AB39" s="53" t="s">
        <v>4278</v>
      </c>
      <c r="AC39" s="437" t="s">
        <v>129</v>
      </c>
      <c r="AD39" s="331" t="s">
        <v>4268</v>
      </c>
      <c r="AE39" s="325" t="s">
        <v>4279</v>
      </c>
      <c r="AF39" s="325" t="s">
        <v>4280</v>
      </c>
      <c r="AG39" s="331" t="s">
        <v>64</v>
      </c>
      <c r="AH39" s="331"/>
      <c r="AI39" s="325"/>
      <c r="AJ39" s="325"/>
      <c r="AK39" s="55"/>
      <c r="AL39" s="55"/>
      <c r="AM39" s="56"/>
      <c r="AN39" s="56"/>
      <c r="AO39" s="47"/>
      <c r="AP39" s="62" t="s">
        <v>39</v>
      </c>
      <c r="AQ39" s="57" t="s">
        <v>40</v>
      </c>
      <c r="AR39" s="58" t="str">
        <f t="shared" si="29"/>
        <v>Joyell s.r.o. vzdelavanie, uctovnictvo a poradenstvo, kultura a sport, krasa-zdravie-relax, odpady a recyklacia, reklama, ine (tovary a sluzby), &amp;#32vsetky kategorie  972 01 Bojnice Nasa spolocnost Joyell s.r.o. sidli v Bojniciach, je sucastou holdingu Well management, poskytuje expertne sluzby v oblasti vedomostnej ekonomiky a vo viacerych odvetviach, ako Program zdravia pre podniky, Firemny koucing, Reklama a marketing, Verejne obstaravanie, Podnikovy nakup, Dotacie cez Eurofondy, Vydavatelska cinnost a prevadzka umeleckej Galerie Velvet. Nasim pozitivnym socialnym vplyvom je podpora zamestnanosti prostrednictvom zamestnavania znevyhodnenych alebo zranitelnych osob. Joyell s.r.o. 
Nasa prva prevadzkaren Joyell s.r.o. sidli v Bojniciach, poskytuje expertne sluzby v oblasti vedomostnej ekonomiky a vo viacerych odvetviach, ako Program zdravia pre podniky, Firemny koucing, Reklama a marketing, Verejne obstaravanie, Podnikovy nakup, Dotacie cez Eurofondy, Vydavatelska cinnost a prevadzka umeleckej Galerie Velvet. vedomostna ekonomika, zdravie, marketing, verejne obstaravanie, firemny koucing, podnikovy nakup, dotacie Eurofondy Joyell s.r.o. Nasa druha prevadzkaren Joyell s.r.o. sidli v Bratislave, poskytuje expertne sluzby v oblasti vedomostnej ekonomiky, expertne sluzby vo viacerych odvetviach, ako Program zdravia, Telefon marketing a poradenstvo pre riadenie firiem. vedomostna ekonomika, zdravie, marketing, poradenstvo, konzultacie        Register partnerov VS</v>
      </c>
      <c r="AS39" s="37" t="str">
        <f t="array" ref="AS39">IF(COUNTIF(LOWER(Sheet2!A:A), LOWER(E39)) &gt; 0, "No longer exists", "Exists")</f>
        <v>Exists</v>
      </c>
      <c r="AT39" s="37"/>
      <c r="AU39" s="37"/>
      <c r="AV39" s="37"/>
      <c r="AW39" s="37"/>
      <c r="AX39" s="37"/>
      <c r="AY39" s="37"/>
      <c r="AZ39" s="37"/>
      <c r="BA39" s="37"/>
      <c r="BB39" s="37"/>
      <c r="BC39" s="37"/>
      <c r="BD39" s="37"/>
      <c r="BE39" s="37"/>
      <c r="BF39" s="37"/>
      <c r="BG39" s="37"/>
      <c r="BH39" s="37"/>
      <c r="BI39" s="37"/>
      <c r="BJ39" s="37"/>
      <c r="BK39" s="37"/>
      <c r="BL39" s="37"/>
      <c r="BM39" s="37"/>
      <c r="BN39" s="37"/>
      <c r="BO39" s="37"/>
    </row>
    <row r="40" ht="15.75" customHeight="1">
      <c r="A40" s="431"/>
      <c r="B40" s="431"/>
      <c r="C40" s="43"/>
      <c r="D40" s="59">
        <v>92.0</v>
      </c>
      <c r="E40" s="96" t="s">
        <v>4281</v>
      </c>
      <c r="F40" s="41" t="s">
        <v>66</v>
      </c>
      <c r="G40" s="38" t="str">
        <f t="shared" si="24"/>
        <v>Žilinský kraj, &amp;#32celé Slovensko</v>
      </c>
      <c r="H40" s="42" t="s">
        <v>4282</v>
      </c>
      <c r="I40" s="38" t="str">
        <f t="shared" si="25"/>
        <v>poľnohospodárstvo a lesníctvo, dom a záhrada, stavebníctvo, vzdelávanie, kultúra a šport, potraviny a nápoje, reklama, &amp;#32všetky kategórie</v>
      </c>
      <c r="J40" s="42" t="s">
        <v>96</v>
      </c>
      <c r="K40" s="43" t="str">
        <f t="shared" si="26"/>
        <v>6 - 10, &amp;#32všetky možnosti</v>
      </c>
      <c r="L40" s="44" t="str">
        <f t="shared" si="27"/>
        <v>,Register partnerov VS,</v>
      </c>
      <c r="M40" s="45">
        <f t="shared" si="28"/>
        <v>19246.831</v>
      </c>
      <c r="N40" s="43"/>
      <c r="O40" s="43" t="str">
        <f>IFERROR(__xludf.DUMMYFUNCTION("SPLIT(Q40,"","")"),"Areál sídla Roľníckeho družstva Veľká Rača 10062")</f>
        <v>Areál sídla Roľníckeho družstva Veľká Rača 10062</v>
      </c>
      <c r="P40" s="43" t="str">
        <f>IFERROR(__xludf.DUMMYFUNCTION("""COMPUTED_VALUE""")," 023 01 Oščadnica")</f>
        <v> 023 01 Oščadnica</v>
      </c>
      <c r="Q40" s="80" t="s">
        <v>4283</v>
      </c>
      <c r="R40" s="43">
        <v>49.4265477</v>
      </c>
      <c r="S40" s="43">
        <v>18.8441423</v>
      </c>
      <c r="T40" s="46" t="s">
        <v>4284</v>
      </c>
      <c r="U40" s="69" t="s">
        <v>4285</v>
      </c>
      <c r="V40" s="438" t="s">
        <v>4286</v>
      </c>
      <c r="W40" s="61" t="s">
        <v>4287</v>
      </c>
      <c r="X40" s="50" t="s">
        <v>4288</v>
      </c>
      <c r="Y40" s="55" t="s">
        <v>4289</v>
      </c>
      <c r="Z40" s="71" t="s">
        <v>4281</v>
      </c>
      <c r="AA40" s="72" t="s">
        <v>4290</v>
      </c>
      <c r="AB40" s="53" t="s">
        <v>4291</v>
      </c>
      <c r="AC40" s="425" t="s">
        <v>64</v>
      </c>
      <c r="AD40" s="331"/>
      <c r="AE40" s="325"/>
      <c r="AF40" s="325"/>
      <c r="AG40" s="331"/>
      <c r="AH40" s="331"/>
      <c r="AI40" s="325"/>
      <c r="AJ40" s="325"/>
      <c r="AK40" s="55"/>
      <c r="AL40" s="55"/>
      <c r="AM40" s="56"/>
      <c r="AN40" s="56"/>
      <c r="AO40" s="47"/>
      <c r="AP40" s="62" t="s">
        <v>39</v>
      </c>
      <c r="AQ40" s="64"/>
      <c r="AR40" s="58" t="str">
        <f t="shared" si="29"/>
        <v>Tradicie Kysuc, s. r. o. polnohospodarstvo a lesnictvo, dom a zahrada, stavebnictvo, vzdelavanie, kultura a sport, potraviny a napoje, reklama, &amp;#32vsetky kategorie  023 01 Oscadnica Hlavnym predmetom nasho podnikania je vykup ovcieho mlieka od regionalnych prvovyrobcov, nasledne spracovanie - vyroba syrarskych vyrobkov a poskytovanie sluzieb v oblasti propagacie tohto druhu vyrobkov. V podnikovej predajni okrem svojich vyrobkov predavame aj remeselne vyrobky od regionalnych vyrobcov. Organizujeme spolocensko- kulturne akcie , workshopy, ktore prezentuju tradicne ovciarstvo na Kysuciach a kulturne tradicie regionu. Svoju podnikatelsku cinnost synergicky prepajame so snahou o tvorbu, rozvoj, ochranu, obnovu a prezentaciu duchovnych a kulturnych hodnot. V neposlednom rade sa snazime o zachovanie tradicii regionu. Poriadanim workshopov pre deti zo zasladnych skol, kde nazorne uvidia spracovanie ovcieho mlieka, prispievame k vzdelavaniu a vychove. Podporou chovu oviec nepriamo zasahujeme aj do tvorby a ochrany zivotneho prostredia a ochrany zdravia obyvatelstva. Zamestnavanim znevyhodnenych obcanov podporujeme regionalny rozvoj a zamestnanost. Tradicie Kysuc, s. r. o. Vyroba syrarskych vyrobkov z ovcieho mlieka, predaj remeselnych vyrobkov od regionalnych vyrobcov, organizovanie spolocensko kulturnych akcii, workshopov prezentujucich tradicne ovciarstvo na Kysuciach a kulturne tradicie regionu. ovci syr makky, ovcie syrove nite, ovcie jogurty, ovci syr dlho zrejuci, ovci syr udeny , nazorna ukazka spracovania ovcieho mlieka a vyroba vyrobkov, folklorne podujatia, ovciarstvo na Kysuciach           Register partnerov VS</v>
      </c>
      <c r="AS40" s="37" t="str">
        <f t="array" ref="AS40">IF(COUNTIF(LOWER(Sheet2!A:A), LOWER(E40)) &gt; 0, "No longer exists", "Exists")</f>
        <v>Exists</v>
      </c>
      <c r="AT40" s="37"/>
      <c r="AU40" s="37"/>
      <c r="AV40" s="37"/>
      <c r="AW40" s="37"/>
      <c r="AX40" s="37"/>
      <c r="AY40" s="37"/>
      <c r="AZ40" s="37"/>
      <c r="BA40" s="37"/>
      <c r="BB40" s="37"/>
      <c r="BC40" s="37"/>
      <c r="BD40" s="37"/>
      <c r="BE40" s="37"/>
      <c r="BF40" s="37"/>
      <c r="BG40" s="37"/>
      <c r="BH40" s="37"/>
      <c r="BI40" s="37"/>
      <c r="BJ40" s="37"/>
      <c r="BK40" s="37"/>
      <c r="BL40" s="37"/>
      <c r="BM40" s="37"/>
      <c r="BN40" s="37"/>
      <c r="BO40" s="37"/>
    </row>
    <row r="41" ht="15.75" customHeight="1">
      <c r="A41" s="431"/>
      <c r="B41" s="431"/>
      <c r="C41" s="43"/>
      <c r="D41" s="59">
        <v>116.0</v>
      </c>
      <c r="E41" s="97" t="s">
        <v>4292</v>
      </c>
      <c r="F41" s="41" t="s">
        <v>51</v>
      </c>
      <c r="G41" s="38" t="str">
        <f t="shared" si="24"/>
        <v>Prešovský kraj, &amp;#32celé Slovensko</v>
      </c>
      <c r="H41" s="42" t="s">
        <v>1009</v>
      </c>
      <c r="I41" s="38" t="str">
        <f t="shared" si="25"/>
        <v>stavebníctvo, &amp;#32všetky kategórie</v>
      </c>
      <c r="J41" s="42" t="s">
        <v>96</v>
      </c>
      <c r="K41" s="43" t="str">
        <f t="shared" si="26"/>
        <v>6 - 10, &amp;#32všetky možnosti</v>
      </c>
      <c r="L41" s="44" t="str">
        <f t="shared" si="27"/>
        <v>,Register partnerov VS,</v>
      </c>
      <c r="M41" s="45">
        <f t="shared" si="28"/>
        <v>19441.98452</v>
      </c>
      <c r="N41" s="43"/>
      <c r="O41" s="43" t="str">
        <f>IFERROR(__xludf.DUMMYFUNCTION("SPLIT(Q41,"","")"),"Jarovnice 129")</f>
        <v>Jarovnice 129</v>
      </c>
      <c r="P41" s="43" t="str">
        <f>IFERROR(__xludf.DUMMYFUNCTION("""COMPUTED_VALUE""")," 082 63 Jarovnice")</f>
        <v> 082 63 Jarovnice</v>
      </c>
      <c r="Q41" s="42" t="s">
        <v>4293</v>
      </c>
      <c r="R41" s="43">
        <v>49.0583126999999</v>
      </c>
      <c r="S41" s="43">
        <v>21.055168</v>
      </c>
      <c r="T41" s="56" t="s">
        <v>4294</v>
      </c>
      <c r="U41" s="34" t="s">
        <v>4295</v>
      </c>
      <c r="V41" s="63" t="s">
        <v>86</v>
      </c>
      <c r="W41" s="61" t="s">
        <v>4296</v>
      </c>
      <c r="X41" s="50" t="s">
        <v>4297</v>
      </c>
      <c r="Y41" s="55" t="s">
        <v>4298</v>
      </c>
      <c r="Z41" s="54" t="s">
        <v>4299</v>
      </c>
      <c r="AA41" s="46" t="s">
        <v>4300</v>
      </c>
      <c r="AB41" s="53" t="s">
        <v>4301</v>
      </c>
      <c r="AC41" s="425" t="s">
        <v>64</v>
      </c>
      <c r="AD41" s="331"/>
      <c r="AE41" s="325"/>
      <c r="AF41" s="325"/>
      <c r="AG41" s="331"/>
      <c r="AH41" s="331"/>
      <c r="AI41" s="325"/>
      <c r="AJ41" s="325"/>
      <c r="AK41" s="55"/>
      <c r="AL41" s="55"/>
      <c r="AM41" s="56"/>
      <c r="AN41" s="56"/>
      <c r="AO41" s="47"/>
      <c r="AP41" s="62" t="s">
        <v>39</v>
      </c>
      <c r="AQ41" s="64"/>
      <c r="AR41" s="58" t="str">
        <f t="shared" si="29"/>
        <v>Socialny podnik Jarovnice, s.r.o. stavebnictvo, &amp;#32vsetky kategorie  082 63 Jarovnice Vykopove prace, pomocne stavebne prace, buracie prace a odpadove hospodarstvo. Zamestnavame osoby z marginalizovanej romskej komunity. Socialny podnik Jarovnice s.r.o Robime vykopove a buracie prace. zemne prace buranie           Register partnerov VS</v>
      </c>
      <c r="AS41" s="37" t="str">
        <f t="array" ref="AS41">IF(COUNTIF(LOWER(Sheet2!A:A), LOWER(E41)) &gt; 0, "No longer exists", "Exists")</f>
        <v>Exists</v>
      </c>
      <c r="AT41" s="37"/>
      <c r="AU41" s="37"/>
      <c r="AV41" s="37"/>
      <c r="AW41" s="37"/>
      <c r="AX41" s="37"/>
      <c r="AY41" s="37"/>
      <c r="AZ41" s="37"/>
      <c r="BA41" s="37"/>
      <c r="BB41" s="37"/>
      <c r="BC41" s="37"/>
      <c r="BD41" s="37"/>
      <c r="BE41" s="37"/>
      <c r="BF41" s="37"/>
      <c r="BG41" s="37"/>
      <c r="BH41" s="37"/>
      <c r="BI41" s="37"/>
      <c r="BJ41" s="37"/>
      <c r="BK41" s="37"/>
      <c r="BL41" s="37"/>
      <c r="BM41" s="37"/>
      <c r="BN41" s="37"/>
      <c r="BO41" s="37"/>
    </row>
    <row r="42" ht="15.75" customHeight="1">
      <c r="A42" s="431"/>
      <c r="B42" s="431"/>
      <c r="C42" s="43"/>
      <c r="D42" s="59">
        <v>117.0</v>
      </c>
      <c r="E42" s="97" t="s">
        <v>4302</v>
      </c>
      <c r="F42" s="41" t="s">
        <v>181</v>
      </c>
      <c r="G42" s="38" t="str">
        <f t="shared" si="24"/>
        <v>Banskobystrický kraj, &amp;#32celé Slovensko</v>
      </c>
      <c r="H42" s="41" t="s">
        <v>4303</v>
      </c>
      <c r="I42" s="38" t="str">
        <f t="shared" si="25"/>
        <v>čistiace a upratovacie služby, dom a záhrada, poľnohospodárstvo a lesníctvo,  cestovný ruch, ubytovacie a stravovacie služby,  vzdelávanie, kultúra a šport, krása-zdravie-relax, &amp;#32všetky kategórie</v>
      </c>
      <c r="J42" s="42" t="s">
        <v>96</v>
      </c>
      <c r="K42" s="43" t="str">
        <f t="shared" si="26"/>
        <v>6 - 10, &amp;#32všetky možnosti</v>
      </c>
      <c r="L42" s="44" t="str">
        <f t="shared" si="27"/>
        <v>,Register partnerov VS,Náhradné plnenie</v>
      </c>
      <c r="M42" s="45">
        <f t="shared" si="28"/>
        <v>38687.91291</v>
      </c>
      <c r="N42" s="43"/>
      <c r="O42" s="43" t="str">
        <f>IFERROR(__xludf.DUMMYFUNCTION("SPLIT(Q42,"","")"),"Žarnovická Huta 66")</f>
        <v>Žarnovická Huta 66</v>
      </c>
      <c r="P42" s="43" t="str">
        <f>IFERROR(__xludf.DUMMYFUNCTION("""COMPUTED_VALUE""")," 966 81 Žarnovica")</f>
        <v> 966 81 Žarnovica</v>
      </c>
      <c r="Q42" s="42" t="s">
        <v>4304</v>
      </c>
      <c r="R42" s="43">
        <v>48.4931764</v>
      </c>
      <c r="S42" s="43">
        <v>18.6923728</v>
      </c>
      <c r="T42" s="56" t="s">
        <v>4305</v>
      </c>
      <c r="U42" s="34" t="s">
        <v>4306</v>
      </c>
      <c r="V42" s="63" t="s">
        <v>4307</v>
      </c>
      <c r="W42" s="61" t="s">
        <v>4308</v>
      </c>
      <c r="X42" s="50" t="s">
        <v>4309</v>
      </c>
      <c r="Y42" s="55" t="s">
        <v>4310</v>
      </c>
      <c r="Z42" s="54" t="s">
        <v>4311</v>
      </c>
      <c r="AA42" s="46" t="s">
        <v>4312</v>
      </c>
      <c r="AB42" s="53" t="s">
        <v>4313</v>
      </c>
      <c r="AC42" s="437" t="s">
        <v>129</v>
      </c>
      <c r="AD42" s="331" t="s">
        <v>4314</v>
      </c>
      <c r="AE42" s="325" t="s">
        <v>4315</v>
      </c>
      <c r="AF42" s="325" t="s">
        <v>4316</v>
      </c>
      <c r="AG42" s="331" t="s">
        <v>64</v>
      </c>
      <c r="AH42" s="331"/>
      <c r="AI42" s="325"/>
      <c r="AJ42" s="325"/>
      <c r="AK42" s="55"/>
      <c r="AL42" s="55"/>
      <c r="AM42" s="56"/>
      <c r="AN42" s="56"/>
      <c r="AO42" s="47"/>
      <c r="AP42" s="62" t="s">
        <v>39</v>
      </c>
      <c r="AQ42" s="57" t="s">
        <v>40</v>
      </c>
      <c r="AR42" s="58" t="str">
        <f t="shared" si="29"/>
        <v>STEFANI n.o. cistiace a upratovacie sluzby, dom a zahrada, polnohospodarstvo a lesnictvo,  cestovny ruch, ubytovacie a stravovacie sluzby,  vzdelavanie, kultura a sport, krasa-zdravie-relax, &amp;#32vsetky kategorie  966 81 Zarnovica Nas tim tvoria zrucni mladi ludia so zdravotnym znevyhodnenim, ktori sa nezlaknu ziadnej (fyzicky nenarocnej) prace. Prijimame zakazky na vyrobu drobnych dekoracnych predmetov, balenie, skladanie, sitie, malovanie, ale tiez vieme poskytnut sluzby ako nakupy do domacnosti, upratovanie, pomocne prace v exterieri a ine. Idealne su pre nas velke dlhodobe zakazky, kde sa vieme zapracovat a zautomatizovat procesy a nasledne dlhodobo opakovat jednu cinnost. Velmi nas tesia pomocne prace pre vyrobne spolocnosti, ktorym pomahame s ukonmi, ktore zatazuju ich interny personal a pre nas su velkym potesenim. Dakujeme za kazdu jednu objednavku nasich sluzieb. :) Okrem zamestnavania zdravotne znevyhodnenych zamestnancov sa venujeme dobrovolnickym aktivitam v oblasti ekologie, prevencie psychickeho zdravia, budovania zdravych rodinnych vztahov, vzdelavania mladych ludi, organizovania podujati pre deti a mladez v nasom meste a mnohemu inemu. Zapajame sa do vsetkych zmysluplnych iniciativ v regione a podporujeme priatelsky komunitny zivot v nasom meste i sirokom okoli. STEFANI n.o., r.s.p. V nasej prevadzke vykonavame drobne rucne prace na zakazku. Priestor je zaroven komunitnym centrom pre rodiny s detmi v nasom meste. kaviaren, kosiky, sviecky, kosenie, upratovanie, dekoracie, balenie, skladanie, strihanie, vyroba, sitie, pletenie Pekny les  Turisticko-vzdelavaci areal zamerany na vzdelavanie v oblasti ekologie. Poskytujeme tu ubytovanie v prirode, skolenia, teambuildingy, svadby, oslavy, tabory, animacie, vzdelavanie deti a mladeze. V prevadzke je moznost zakupit si lokalne vyrobky: vcelarske produkty, mlieka a syry, sirupy a stavy a mnoho ineho. med, propolis, syr, zvierata, ubytovanie, oslava, teambuilding, svadba, vzdelavanie, pobyt, ekologia, priroda, tabor, restauracia, bufet, koncert, penzion, gastro,         Register partnerov VS</v>
      </c>
      <c r="AS42" s="37" t="str">
        <f t="array" ref="AS42">IF(COUNTIF(LOWER(Sheet2!A:A), LOWER(E42)) &gt; 0, "No longer exists", "Exists")</f>
        <v>Exists</v>
      </c>
      <c r="AT42" s="37"/>
      <c r="AU42" s="37"/>
      <c r="AV42" s="37"/>
      <c r="AW42" s="37"/>
      <c r="AX42" s="37"/>
      <c r="AY42" s="37"/>
      <c r="AZ42" s="37"/>
      <c r="BA42" s="37"/>
      <c r="BB42" s="37"/>
      <c r="BC42" s="37"/>
      <c r="BD42" s="37"/>
      <c r="BE42" s="37"/>
      <c r="BF42" s="37"/>
      <c r="BG42" s="37"/>
      <c r="BH42" s="37"/>
      <c r="BI42" s="37"/>
      <c r="BJ42" s="37"/>
      <c r="BK42" s="37"/>
      <c r="BL42" s="37"/>
      <c r="BM42" s="37"/>
      <c r="BN42" s="37"/>
      <c r="BO42" s="37"/>
    </row>
    <row r="43" ht="15.75" customHeight="1">
      <c r="A43" s="431"/>
      <c r="B43" s="431"/>
      <c r="C43" s="43"/>
      <c r="D43" s="59">
        <v>159.0</v>
      </c>
      <c r="E43" s="75" t="s">
        <v>4317</v>
      </c>
      <c r="F43" s="42" t="s">
        <v>134</v>
      </c>
      <c r="G43" s="38" t="str">
        <f t="shared" si="24"/>
        <v>Trenčiansky kraj, &amp;#32celé Slovensko</v>
      </c>
      <c r="H43" s="42" t="s">
        <v>385</v>
      </c>
      <c r="I43" s="38" t="str">
        <f t="shared" si="25"/>
        <v>iné (tovary a služby), &amp;#32všetky kategórie</v>
      </c>
      <c r="J43" s="42" t="s">
        <v>82</v>
      </c>
      <c r="K43" s="43" t="str">
        <f t="shared" si="26"/>
        <v>11 - 15, &amp;#32všetky možnosti</v>
      </c>
      <c r="L43" s="44" t="str">
        <f t="shared" si="27"/>
        <v>,,</v>
      </c>
      <c r="M43" s="45">
        <f t="shared" si="28"/>
        <v>6994.584773</v>
      </c>
      <c r="N43" s="43"/>
      <c r="O43" s="43" t="str">
        <f>IFERROR(__xludf.DUMMYFUNCTION("SPLIT(Q43,"","")"),"I.Krasku 707/2")</f>
        <v>I.Krasku 707/2</v>
      </c>
      <c r="P43" s="43" t="str">
        <f>IFERROR(__xludf.DUMMYFUNCTION("""COMPUTED_VALUE""")," 971 01 Prievidza")</f>
        <v> 971 01 Prievidza</v>
      </c>
      <c r="Q43" s="42" t="s">
        <v>4318</v>
      </c>
      <c r="R43" s="43">
        <v>48.7777468</v>
      </c>
      <c r="S43" s="43">
        <v>18.6175426</v>
      </c>
      <c r="T43" s="56" t="s">
        <v>4319</v>
      </c>
      <c r="U43" s="34" t="s">
        <v>1830</v>
      </c>
      <c r="V43" s="63" t="s">
        <v>86</v>
      </c>
      <c r="W43" s="61" t="s">
        <v>4320</v>
      </c>
      <c r="X43" s="50" t="s">
        <v>4321</v>
      </c>
      <c r="Y43" s="55" t="s">
        <v>4322</v>
      </c>
      <c r="Z43" s="54" t="s">
        <v>4317</v>
      </c>
      <c r="AA43" s="46" t="s">
        <v>4323</v>
      </c>
      <c r="AB43" s="53" t="s">
        <v>4324</v>
      </c>
      <c r="AC43" s="425" t="s">
        <v>64</v>
      </c>
      <c r="AD43" s="331"/>
      <c r="AE43" s="325"/>
      <c r="AF43" s="325"/>
      <c r="AG43" s="331"/>
      <c r="AH43" s="331"/>
      <c r="AI43" s="325"/>
      <c r="AJ43" s="325"/>
      <c r="AK43" s="55"/>
      <c r="AL43" s="55"/>
      <c r="AM43" s="56"/>
      <c r="AN43" s="56"/>
      <c r="AO43" s="34"/>
      <c r="AP43" s="55"/>
      <c r="AQ43" s="64"/>
      <c r="AR43" s="58" t="str">
        <f t="shared" si="29"/>
        <v>Lupex, s.r.o. ine (tovary a sluzby), &amp;#32vsetky kategorie  971 01 Prievidza Nasa ponuka: vyroba spongii, balenie utierok pre domacnosti. Podporujeme regionalny rozvoj a zamestnanost. Lupex, s.r.o. Vyroba spongii, balenie utierok pre domacnost. spngie, kuchynske utierky           </v>
      </c>
      <c r="AS43" s="37" t="str">
        <f t="array" ref="AS43">IF(COUNTIF(LOWER(Sheet2!A:A), LOWER(E43)) &gt; 0, "No longer exists", "Exists")</f>
        <v>Exists</v>
      </c>
      <c r="AT43" s="37"/>
      <c r="AU43" s="37"/>
      <c r="AV43" s="37"/>
      <c r="AW43" s="37"/>
      <c r="AX43" s="37"/>
      <c r="AY43" s="37"/>
      <c r="AZ43" s="37"/>
      <c r="BA43" s="37"/>
      <c r="BB43" s="37"/>
      <c r="BC43" s="37"/>
      <c r="BD43" s="37"/>
      <c r="BE43" s="37"/>
      <c r="BF43" s="37"/>
      <c r="BG43" s="37"/>
      <c r="BH43" s="37"/>
      <c r="BI43" s="37"/>
      <c r="BJ43" s="37"/>
      <c r="BK43" s="37"/>
      <c r="BL43" s="37"/>
      <c r="BM43" s="37"/>
      <c r="BN43" s="37"/>
      <c r="BO43" s="37"/>
    </row>
    <row r="44" ht="15.75" customHeight="1">
      <c r="A44" s="431"/>
      <c r="B44" s="431"/>
      <c r="C44" s="43"/>
      <c r="D44" s="59">
        <v>168.0</v>
      </c>
      <c r="E44" s="75" t="s">
        <v>4325</v>
      </c>
      <c r="F44" s="42" t="s">
        <v>51</v>
      </c>
      <c r="G44" s="38" t="str">
        <f t="shared" si="24"/>
        <v>Prešovský kraj, &amp;#32celé Slovensko</v>
      </c>
      <c r="H44" s="42" t="s">
        <v>4326</v>
      </c>
      <c r="I44" s="38" t="str">
        <f t="shared" si="25"/>
        <v>odevy a obuv, nábytok a bytové doplnky, &amp;#32všetky kategórie</v>
      </c>
      <c r="J44" s="42" t="s">
        <v>68</v>
      </c>
      <c r="K44" s="43" t="str">
        <f t="shared" si="26"/>
        <v>16 - 20, &amp;#32všetky možnosti</v>
      </c>
      <c r="L44" s="44" t="str">
        <f t="shared" si="27"/>
        <v>,Register partnerov VS,Náhradné plnenie</v>
      </c>
      <c r="M44" s="45">
        <f t="shared" si="28"/>
        <v>22296.54781</v>
      </c>
      <c r="N44" s="43"/>
      <c r="O44" s="43" t="str">
        <f>IFERROR(__xludf.DUMMYFUNCTION("SPLIT(Q44,"","")"),"Rovné 145")</f>
        <v>Rovné 145</v>
      </c>
      <c r="P44" s="43" t="str">
        <f>IFERROR(__xludf.DUMMYFUNCTION("""COMPUTED_VALUE""")," 067 32 Vyšný Hrušov")</f>
        <v> 067 32 Vyšný Hrušov</v>
      </c>
      <c r="Q44" s="42" t="s">
        <v>4327</v>
      </c>
      <c r="R44" s="43">
        <v>48.9785751999999</v>
      </c>
      <c r="S44" s="43">
        <v>22.009348</v>
      </c>
      <c r="T44" s="56" t="s">
        <v>4328</v>
      </c>
      <c r="U44" s="34" t="s">
        <v>4329</v>
      </c>
      <c r="V44" s="63" t="s">
        <v>86</v>
      </c>
      <c r="W44" s="61" t="s">
        <v>4330</v>
      </c>
      <c r="X44" s="66" t="s">
        <v>4331</v>
      </c>
      <c r="Y44" s="55" t="s">
        <v>4332</v>
      </c>
      <c r="Z44" s="54" t="s">
        <v>4325</v>
      </c>
      <c r="AA44" s="46" t="s">
        <v>4333</v>
      </c>
      <c r="AB44" s="53" t="s">
        <v>4334</v>
      </c>
      <c r="AC44" s="425" t="s">
        <v>64</v>
      </c>
      <c r="AD44" s="331"/>
      <c r="AE44" s="325"/>
      <c r="AF44" s="325"/>
      <c r="AG44" s="331"/>
      <c r="AH44" s="331"/>
      <c r="AI44" s="325"/>
      <c r="AJ44" s="325"/>
      <c r="AK44" s="55"/>
      <c r="AL44" s="55"/>
      <c r="AM44" s="56"/>
      <c r="AN44" s="56"/>
      <c r="AO44" s="47"/>
      <c r="AP44" s="62" t="s">
        <v>39</v>
      </c>
      <c r="AQ44" s="57" t="s">
        <v>40</v>
      </c>
      <c r="AR44" s="58" t="str">
        <f t="shared" si="29"/>
        <v>Jana Bezegova ROBEN r.s.p. odevy a obuv, nabytok a bytove doplnky, &amp;#32vsetky kategorie  067 32 Vysny Hrusov Odevna a textilna vyroba, sitie akychkolvek vyrobkov pre sukromnu sferu. Zamestnavame zdravotne tazko postihnutych a invalidnych zamestnancov; na dosiahnutie meratelneho pozitivneho socialneho vplyvu pouzijeme 51% zisku. Jana Bezegova ROBEN r.s.p. Sitie vyrobkov bytoveho textilu, odevneho textilu. ruska,pracovne odevy, detsky,damsky,pansky textil, vankuse, obrusy, zaclony, zavesy, prehozy           Register partnerov VS</v>
      </c>
      <c r="AS44" s="37" t="str">
        <f t="array" ref="AS44">IF(COUNTIF(LOWER(Sheet2!A:A), LOWER(E44)) &gt; 0, "No longer exists", "Exists")</f>
        <v>Exists</v>
      </c>
      <c r="AT44" s="37"/>
      <c r="AU44" s="37"/>
      <c r="AV44" s="37"/>
      <c r="AW44" s="37"/>
      <c r="AX44" s="37"/>
      <c r="AY44" s="37"/>
      <c r="AZ44" s="37"/>
      <c r="BA44" s="37"/>
      <c r="BB44" s="37"/>
      <c r="BC44" s="37"/>
      <c r="BD44" s="37"/>
      <c r="BE44" s="37"/>
      <c r="BF44" s="37"/>
      <c r="BG44" s="37"/>
      <c r="BH44" s="37"/>
      <c r="BI44" s="37"/>
      <c r="BJ44" s="37"/>
      <c r="BK44" s="37"/>
      <c r="BL44" s="37"/>
      <c r="BM44" s="37"/>
      <c r="BN44" s="37"/>
      <c r="BO44" s="37"/>
    </row>
    <row r="45" ht="15.75" customHeight="1">
      <c r="A45" s="431"/>
      <c r="B45" s="431"/>
      <c r="C45" s="43"/>
      <c r="D45" s="59">
        <v>200.0</v>
      </c>
      <c r="E45" s="75" t="s">
        <v>4335</v>
      </c>
      <c r="F45" s="42" t="s">
        <v>66</v>
      </c>
      <c r="G45" s="38" t="str">
        <f t="shared" si="24"/>
        <v>Žilinský kraj, &amp;#32celé Slovensko</v>
      </c>
      <c r="H45" s="42" t="s">
        <v>4336</v>
      </c>
      <c r="I45" s="38" t="str">
        <f t="shared" si="25"/>
        <v>reklama, obaly, nábytok a bytové doplnky, bižutéria a darčekové predmety, pre deti, &amp;#32všetky kategórie</v>
      </c>
      <c r="J45" s="42" t="s">
        <v>53</v>
      </c>
      <c r="K45" s="43" t="str">
        <f t="shared" si="26"/>
        <v>1 - 5, &amp;#32všetky možnosti</v>
      </c>
      <c r="L45" s="44" t="str">
        <f t="shared" si="27"/>
        <v>,,Náhradné plnenie</v>
      </c>
      <c r="M45" s="45">
        <f t="shared" si="28"/>
        <v>14709.19495</v>
      </c>
      <c r="N45" s="43"/>
      <c r="O45" s="43" t="str">
        <f>IFERROR(__xludf.DUMMYFUNCTION("SPLIT(Q45,"","")"),"Hradná 528/13")</f>
        <v>Hradná 528/13</v>
      </c>
      <c r="P45" s="43" t="str">
        <f>IFERROR(__xludf.DUMMYFUNCTION("""COMPUTED_VALUE""")," 033 01 Liptovský Hrádok")</f>
        <v> 033 01 Liptovský Hrádok</v>
      </c>
      <c r="Q45" s="42" t="s">
        <v>4337</v>
      </c>
      <c r="R45" s="43">
        <v>49.039858</v>
      </c>
      <c r="S45" s="43">
        <v>19.7274875</v>
      </c>
      <c r="T45" s="56" t="s">
        <v>4338</v>
      </c>
      <c r="U45" s="112" t="s">
        <v>1301</v>
      </c>
      <c r="V45" s="113" t="s">
        <v>4339</v>
      </c>
      <c r="W45" s="49" t="s">
        <v>4340</v>
      </c>
      <c r="X45" s="66" t="s">
        <v>4341</v>
      </c>
      <c r="Y45" s="54" t="s">
        <v>4342</v>
      </c>
      <c r="Z45" s="54" t="s">
        <v>4343</v>
      </c>
      <c r="AA45" s="110" t="s">
        <v>4344</v>
      </c>
      <c r="AB45" s="108" t="s">
        <v>4345</v>
      </c>
      <c r="AC45" s="421" t="s">
        <v>64</v>
      </c>
      <c r="AD45" s="404"/>
      <c r="AE45" s="325"/>
      <c r="AF45" s="422"/>
      <c r="AG45" s="404"/>
      <c r="AH45" s="331"/>
      <c r="AI45" s="325"/>
      <c r="AJ45" s="325"/>
      <c r="AK45" s="55"/>
      <c r="AL45" s="55"/>
      <c r="AM45" s="56"/>
      <c r="AN45" s="56"/>
      <c r="AO45" s="34"/>
      <c r="AP45" s="55"/>
      <c r="AQ45" s="57" t="s">
        <v>40</v>
      </c>
      <c r="AR45" s="58" t="str">
        <f t="shared" si="29"/>
        <v>APZ Liptovsky Hradok, n. o. reklama, obaly, nabytok a bytove doplnky, bizuteria a darcekove predmety, pre deti, &amp;#32vsetky kategorie  033 01 Liptovsky Hradok Zamestnavanie zranitelnych a znevyhodnenych osob v krajcirskej dielni, ktora sa venuje najma textilnej vyrobe, vyrobe suvenirov, darcekov a reklamnych predmetov. Realizujeme sluzby na podporu regionalneho rozvoja a zamestnanosti. Prvosienka Krajcirska dielna - textilna vyroba, vyroba suvenirov, darcekov a reklamnych predmetov, textilnych hraciek a babik, rozne obaly a vrecka, tasky, a pod. textilne hracky, babiky, patchworkove deky, darceky, vrecka, obaly, bytovy textil, reklamne predmety, babiky, zaclony, zavesy, obrusy, edukacne hracky, patchwork kurzy, vianocne dekoracie, svadobne dekoracie, anjeliky, reklamne predmety           </v>
      </c>
      <c r="AS45" s="37" t="str">
        <f t="array" ref="AS45">IF(COUNTIF(LOWER(Sheet2!A:A), LOWER(E45)) &gt; 0, "No longer exists", "Exists")</f>
        <v>Exists</v>
      </c>
      <c r="AT45" s="37"/>
      <c r="AU45" s="37"/>
      <c r="AV45" s="37"/>
      <c r="AW45" s="37"/>
      <c r="AX45" s="37"/>
      <c r="AY45" s="37"/>
      <c r="AZ45" s="37"/>
      <c r="BA45" s="37"/>
      <c r="BB45" s="37"/>
      <c r="BC45" s="37"/>
      <c r="BD45" s="37"/>
      <c r="BE45" s="37"/>
      <c r="BF45" s="37"/>
      <c r="BG45" s="37"/>
      <c r="BH45" s="37"/>
      <c r="BI45" s="37"/>
      <c r="BJ45" s="37"/>
      <c r="BK45" s="37"/>
      <c r="BL45" s="37"/>
      <c r="BM45" s="37"/>
      <c r="BN45" s="37"/>
      <c r="BO45" s="37"/>
    </row>
    <row r="46" ht="15.75" customHeight="1">
      <c r="A46" s="431"/>
      <c r="B46" s="431"/>
      <c r="C46" s="43"/>
      <c r="D46" s="59">
        <v>230.0</v>
      </c>
      <c r="E46" s="75" t="s">
        <v>4346</v>
      </c>
      <c r="F46" s="42" t="s">
        <v>66</v>
      </c>
      <c r="G46" s="38" t="str">
        <f t="shared" si="24"/>
        <v>Žilinský kraj, &amp;#32celé Slovensko</v>
      </c>
      <c r="H46" s="42" t="s">
        <v>258</v>
      </c>
      <c r="I46" s="38" t="str">
        <f t="shared" si="25"/>
        <v>odevy a obuv, &amp;#32všetky kategórie</v>
      </c>
      <c r="J46" s="42" t="s">
        <v>96</v>
      </c>
      <c r="K46" s="43" t="str">
        <f t="shared" si="26"/>
        <v>6 - 10, &amp;#32všetky možnosti</v>
      </c>
      <c r="L46" s="44" t="str">
        <f t="shared" si="27"/>
        <v>,Register partnerov VS,</v>
      </c>
      <c r="M46" s="45">
        <f t="shared" si="28"/>
        <v>33933.31701</v>
      </c>
      <c r="N46" s="43"/>
      <c r="O46" s="43" t="str">
        <f>IFERROR(__xludf.DUMMYFUNCTION("SPLIT(Q46,"","")"),"Belanského 228")</f>
        <v>Belanského 228</v>
      </c>
      <c r="P46" s="43" t="str">
        <f>IFERROR(__xludf.DUMMYFUNCTION("""COMPUTED_VALUE""")," 024 01 Kysucké Nové Mesto")</f>
        <v> 024 01 Kysucké Nové Mesto</v>
      </c>
      <c r="Q46" s="42" t="s">
        <v>2431</v>
      </c>
      <c r="R46" s="43">
        <v>49.3024942</v>
      </c>
      <c r="S46" s="43">
        <v>18.7865201</v>
      </c>
      <c r="T46" s="56" t="s">
        <v>4347</v>
      </c>
      <c r="U46" s="112" t="s">
        <v>4348</v>
      </c>
      <c r="V46" s="113" t="s">
        <v>86</v>
      </c>
      <c r="W46" s="49" t="s">
        <v>4349</v>
      </c>
      <c r="X46" s="66" t="s">
        <v>2435</v>
      </c>
      <c r="Y46" s="54" t="s">
        <v>4350</v>
      </c>
      <c r="Z46" s="54" t="s">
        <v>4351</v>
      </c>
      <c r="AA46" s="110" t="s">
        <v>4347</v>
      </c>
      <c r="AB46" s="108" t="s">
        <v>4352</v>
      </c>
      <c r="AC46" s="421" t="s">
        <v>64</v>
      </c>
      <c r="AD46" s="404"/>
      <c r="AE46" s="325"/>
      <c r="AF46" s="422"/>
      <c r="AG46" s="404"/>
      <c r="AH46" s="331"/>
      <c r="AI46" s="325"/>
      <c r="AJ46" s="325"/>
      <c r="AK46" s="55"/>
      <c r="AL46" s="55"/>
      <c r="AM46" s="56"/>
      <c r="AN46" s="56"/>
      <c r="AO46" s="47"/>
      <c r="AP46" s="62" t="s">
        <v>39</v>
      </c>
      <c r="AQ46" s="64"/>
      <c r="AR46" s="58" t="str">
        <f t="shared" si="29"/>
        <v>Obuv LEAN, s. r. o. odevy a obuv, &amp;#32vsetky kategorie  024 01 Kysucke Nove Mesto Velkoobchod s obuvou. Tym, ze vytvara pracovne miesta pre zdravotne znevyhodnene a zranitelne osoby. Obuv LEAN - velkoobchod Velkoobchod s obuvou. papuce, platenky, prezuvky           Register partnerov VS</v>
      </c>
      <c r="AS46" s="37" t="str">
        <f t="array" ref="AS46">IF(COUNTIF(LOWER(Sheet2!A:A), LOWER(E46)) &gt; 0, "No longer exists", "Exists")</f>
        <v>Exists</v>
      </c>
      <c r="AT46" s="37"/>
      <c r="AU46" s="37"/>
      <c r="AV46" s="37"/>
      <c r="AW46" s="37"/>
      <c r="AX46" s="37"/>
      <c r="AY46" s="37"/>
      <c r="AZ46" s="37"/>
      <c r="BA46" s="37"/>
      <c r="BB46" s="37"/>
      <c r="BC46" s="37"/>
      <c r="BD46" s="37"/>
      <c r="BE46" s="37"/>
      <c r="BF46" s="37"/>
      <c r="BG46" s="37"/>
      <c r="BH46" s="37"/>
      <c r="BI46" s="37"/>
      <c r="BJ46" s="37"/>
      <c r="BK46" s="37"/>
      <c r="BL46" s="37"/>
      <c r="BM46" s="37"/>
      <c r="BN46" s="37"/>
      <c r="BO46" s="37"/>
    </row>
    <row r="47" ht="15.75" customHeight="1">
      <c r="A47" s="431"/>
      <c r="B47" s="431"/>
      <c r="C47" s="43"/>
      <c r="D47" s="59">
        <v>231.0</v>
      </c>
      <c r="E47" s="75" t="s">
        <v>4353</v>
      </c>
      <c r="F47" s="42" t="s">
        <v>51</v>
      </c>
      <c r="G47" s="38" t="str">
        <f t="shared" si="24"/>
        <v>Prešovský kraj, &amp;#32celé Slovensko</v>
      </c>
      <c r="H47" s="42" t="s">
        <v>4354</v>
      </c>
      <c r="I47" s="38" t="str">
        <f t="shared" si="25"/>
        <v>účtovníctvo a poradenstvo, reklama, &amp;#32všetky kategórie</v>
      </c>
      <c r="J47" s="42" t="s">
        <v>53</v>
      </c>
      <c r="K47" s="43" t="str">
        <f t="shared" si="26"/>
        <v>1 - 5, &amp;#32všetky možnosti</v>
      </c>
      <c r="L47" s="44" t="str">
        <f t="shared" si="27"/>
        <v>,,</v>
      </c>
      <c r="M47" s="45">
        <f t="shared" si="28"/>
        <v>21627.43553</v>
      </c>
      <c r="N47" s="43"/>
      <c r="O47" s="43" t="str">
        <f>IFERROR(__xludf.DUMMYFUNCTION("SPLIT(Q47,"","")"),"Levočská 412/20")</f>
        <v>Levočská 412/20</v>
      </c>
      <c r="P47" s="43" t="str">
        <f>IFERROR(__xludf.DUMMYFUNCTION("""COMPUTED_VALUE""")," 052 01 Spišská Nová Ves")</f>
        <v> 052 01 Spišská Nová Ves</v>
      </c>
      <c r="Q47" s="42" t="s">
        <v>4355</v>
      </c>
      <c r="R47" s="43">
        <v>48.9481235</v>
      </c>
      <c r="S47" s="43">
        <v>20.5699446</v>
      </c>
      <c r="T47" s="56" t="s">
        <v>4356</v>
      </c>
      <c r="U47" s="112" t="s">
        <v>4357</v>
      </c>
      <c r="V47" s="113" t="s">
        <v>4358</v>
      </c>
      <c r="W47" s="49" t="s">
        <v>4359</v>
      </c>
      <c r="X47" s="66" t="s">
        <v>4360</v>
      </c>
      <c r="Y47" s="54" t="s">
        <v>4361</v>
      </c>
      <c r="Z47" s="54" t="s">
        <v>4353</v>
      </c>
      <c r="AA47" s="110" t="s">
        <v>4362</v>
      </c>
      <c r="AB47" s="108" t="s">
        <v>4363</v>
      </c>
      <c r="AC47" s="421" t="s">
        <v>64</v>
      </c>
      <c r="AD47" s="404"/>
      <c r="AE47" s="325"/>
      <c r="AF47" s="422"/>
      <c r="AG47" s="404"/>
      <c r="AH47" s="331"/>
      <c r="AI47" s="325"/>
      <c r="AJ47" s="325"/>
      <c r="AK47" s="55"/>
      <c r="AL47" s="55"/>
      <c r="AM47" s="56"/>
      <c r="AN47" s="56"/>
      <c r="AO47" s="34"/>
      <c r="AP47" s="55"/>
      <c r="AQ47" s="64"/>
      <c r="AR47" s="58" t="str">
        <f t="shared" si="29"/>
        <v>TrendyR, s. r. o. uctovnictvo a poradenstvo, reklama, &amp;#32vsetky kategorie  052 01 Spisska Nova Ves TrendyR, s. r. o. ponuka marketingove sluzby a poradensku cinnost pri spracovani projektov, spracovanie projektov na cerpanie financnych zdrojov z europskych, narodnych a sukromnych zdrojov. Sluzby na podporu regionalneho rozvoja a zamestnanosti (zamestnavanie zranitelnych a znevyhodnenych osob). TrendyR, s. r. o. Ponukame marketingove sluzby a poradensku cinnost pri spracovani projektov, spracovanie projektov na cerpanie financnych zdrojov z europskych, narodnych a sukromnych zdrojov. marketing, copywriting, editacia, korekcia textov, e-mail marketing, projekt, spracovanie projektov, priprava projektov, ESIF projekty, grantove ziadosti           </v>
      </c>
      <c r="AS47" s="37" t="str">
        <f t="array" ref="AS47">IF(COUNTIF(LOWER(Sheet2!A:A), LOWER(E47)) &gt; 0, "No longer exists", "Exists")</f>
        <v>Exists</v>
      </c>
      <c r="AT47" s="37"/>
      <c r="AU47" s="37"/>
      <c r="AV47" s="37"/>
      <c r="AW47" s="37"/>
      <c r="AX47" s="37"/>
      <c r="AY47" s="37"/>
      <c r="AZ47" s="37"/>
      <c r="BA47" s="37"/>
      <c r="BB47" s="37"/>
      <c r="BC47" s="37"/>
      <c r="BD47" s="37"/>
      <c r="BE47" s="37"/>
      <c r="BF47" s="37"/>
      <c r="BG47" s="37"/>
      <c r="BH47" s="37"/>
      <c r="BI47" s="37"/>
      <c r="BJ47" s="37"/>
      <c r="BK47" s="37"/>
      <c r="BL47" s="37"/>
      <c r="BM47" s="37"/>
      <c r="BN47" s="37"/>
      <c r="BO47" s="37"/>
    </row>
    <row r="48" ht="15.75" customHeight="1">
      <c r="A48" s="431"/>
      <c r="B48" s="431"/>
      <c r="C48" s="43"/>
      <c r="D48" s="59">
        <v>242.0</v>
      </c>
      <c r="E48" s="75" t="s">
        <v>4364</v>
      </c>
      <c r="F48" s="42" t="s">
        <v>80</v>
      </c>
      <c r="G48" s="38" t="str">
        <f t="shared" si="24"/>
        <v>Trnavský kraj, &amp;#32celé Slovensko</v>
      </c>
      <c r="H48" s="42" t="s">
        <v>4365</v>
      </c>
      <c r="I48" s="38" t="str">
        <f t="shared" si="25"/>
        <v>účtovníctvo a poradenstvo, odpady a recyklácia, &amp;#32všetky kategórie</v>
      </c>
      <c r="J48" s="42" t="s">
        <v>96</v>
      </c>
      <c r="K48" s="43" t="str">
        <f t="shared" si="26"/>
        <v>6 - 10, &amp;#32všetky možnosti</v>
      </c>
      <c r="L48" s="44" t="str">
        <f t="shared" si="27"/>
        <v>,Register partnerov VS,</v>
      </c>
      <c r="M48" s="45">
        <f t="shared" si="28"/>
        <v>45261.97618</v>
      </c>
      <c r="N48" s="43"/>
      <c r="O48" s="43" t="str">
        <f>IFERROR(__xludf.DUMMYFUNCTION("SPLIT(Q48,"","")"),"Hlavná 106")</f>
        <v>Hlavná 106</v>
      </c>
      <c r="P48" s="43" t="str">
        <f>IFERROR(__xludf.DUMMYFUNCTION("""COMPUTED_VALUE""")," 919 26 Zavar")</f>
        <v> 919 26 Zavar</v>
      </c>
      <c r="Q48" s="42" t="s">
        <v>4366</v>
      </c>
      <c r="R48" s="43">
        <v>48.3733452</v>
      </c>
      <c r="S48" s="43">
        <v>17.5873141</v>
      </c>
      <c r="T48" s="56" t="s">
        <v>4367</v>
      </c>
      <c r="U48" s="112" t="s">
        <v>3593</v>
      </c>
      <c r="V48" s="113" t="s">
        <v>86</v>
      </c>
      <c r="W48" s="49" t="s">
        <v>4368</v>
      </c>
      <c r="X48" s="66" t="s">
        <v>4369</v>
      </c>
      <c r="Y48" s="54" t="s">
        <v>4370</v>
      </c>
      <c r="Z48" s="54" t="s">
        <v>4371</v>
      </c>
      <c r="AA48" s="110" t="s">
        <v>4372</v>
      </c>
      <c r="AB48" s="108" t="s">
        <v>4373</v>
      </c>
      <c r="AC48" s="421" t="s">
        <v>64</v>
      </c>
      <c r="AD48" s="404"/>
      <c r="AE48" s="325"/>
      <c r="AF48" s="422"/>
      <c r="AG48" s="404"/>
      <c r="AH48" s="331"/>
      <c r="AI48" s="325"/>
      <c r="AJ48" s="325"/>
      <c r="AK48" s="55"/>
      <c r="AL48" s="55"/>
      <c r="AM48" s="56"/>
      <c r="AN48" s="56"/>
      <c r="AO48" s="47"/>
      <c r="AP48" s="62" t="s">
        <v>39</v>
      </c>
      <c r="AQ48" s="64"/>
      <c r="AR48" s="58" t="str">
        <f t="shared" si="29"/>
        <v>Novo Health s. r. o. uctovnictvo a poradenstvo, odpady a recyklacia, &amp;#32vsetky kategorie  919 26 Zavar Projektovy manazment. Zamestnavanie zdravotne znevyhodnenych osob. Kancelaria Poprad Predaj tovarov v oblasti odpadov a recyklacie. projekt, optimalizacia procesov, outsourcing procesov, personalna agenda, vyskum, vyvoj, inovacie           Register partnerov VS</v>
      </c>
      <c r="AS48" s="37" t="str">
        <f t="array" ref="AS48">IF(COUNTIF(LOWER(Sheet2!A:A), LOWER(E48)) &gt; 0, "No longer exists", "Exists")</f>
        <v>Exists</v>
      </c>
      <c r="AT48" s="37"/>
      <c r="AU48" s="37"/>
      <c r="AV48" s="37"/>
      <c r="AW48" s="37"/>
      <c r="AX48" s="37"/>
      <c r="AY48" s="37"/>
      <c r="AZ48" s="37"/>
      <c r="BA48" s="37"/>
      <c r="BB48" s="37"/>
      <c r="BC48" s="37"/>
      <c r="BD48" s="37"/>
      <c r="BE48" s="37"/>
      <c r="BF48" s="37"/>
      <c r="BG48" s="37"/>
      <c r="BH48" s="37"/>
      <c r="BI48" s="37"/>
      <c r="BJ48" s="37"/>
      <c r="BK48" s="37"/>
      <c r="BL48" s="37"/>
      <c r="BM48" s="37"/>
      <c r="BN48" s="37"/>
      <c r="BO48" s="37"/>
    </row>
    <row r="49" ht="15.75" customHeight="1">
      <c r="A49" s="431"/>
      <c r="B49" s="431"/>
      <c r="C49" s="43"/>
      <c r="D49" s="59">
        <v>247.0</v>
      </c>
      <c r="E49" s="75" t="s">
        <v>4374</v>
      </c>
      <c r="F49" s="42" t="s">
        <v>218</v>
      </c>
      <c r="G49" s="38" t="str">
        <f t="shared" si="24"/>
        <v>Košický kraj, &amp;#32celé Slovensko</v>
      </c>
      <c r="H49" s="42" t="s">
        <v>4375</v>
      </c>
      <c r="I49" s="38" t="str">
        <f t="shared" si="25"/>
        <v>ubytovacie a stravovacie služby, cestovný ruch, kultúra a šport, pre deti, &amp;#32všetky kategórie</v>
      </c>
      <c r="J49" s="42" t="s">
        <v>53</v>
      </c>
      <c r="K49" s="43" t="str">
        <f t="shared" si="26"/>
        <v>1 - 5, &amp;#32všetky možnosti</v>
      </c>
      <c r="L49" s="44" t="str">
        <f t="shared" si="27"/>
        <v>,,Náhradné plnenie</v>
      </c>
      <c r="M49" s="45">
        <f t="shared" si="28"/>
        <v>13622.73027</v>
      </c>
      <c r="N49" s="43"/>
      <c r="O49" s="43" t="str">
        <f>IFERROR(__xludf.DUMMYFUNCTION("SPLIT(Q49,"","")"),"Kružnianska 763")</f>
        <v>Kružnianska 763</v>
      </c>
      <c r="P49" s="43" t="str">
        <f>IFERROR(__xludf.DUMMYFUNCTION("""COMPUTED_VALUE""")," 049 51 Brzotín")</f>
        <v> 049 51 Brzotín</v>
      </c>
      <c r="Q49" s="42" t="s">
        <v>4376</v>
      </c>
      <c r="R49" s="43">
        <v>48.6302631</v>
      </c>
      <c r="S49" s="43">
        <v>20.4973517</v>
      </c>
      <c r="T49" s="56" t="s">
        <v>4377</v>
      </c>
      <c r="U49" s="112" t="s">
        <v>2485</v>
      </c>
      <c r="V49" s="113" t="s">
        <v>86</v>
      </c>
      <c r="W49" s="49" t="s">
        <v>4378</v>
      </c>
      <c r="X49" s="66" t="s">
        <v>4379</v>
      </c>
      <c r="Y49" s="54" t="s">
        <v>2596</v>
      </c>
      <c r="Z49" s="54" t="s">
        <v>4380</v>
      </c>
      <c r="AA49" s="110" t="s">
        <v>4381</v>
      </c>
      <c r="AB49" s="108" t="s">
        <v>4382</v>
      </c>
      <c r="AC49" s="421" t="s">
        <v>64</v>
      </c>
      <c r="AD49" s="404"/>
      <c r="AE49" s="325"/>
      <c r="AF49" s="422"/>
      <c r="AG49" s="404"/>
      <c r="AH49" s="331"/>
      <c r="AI49" s="325"/>
      <c r="AJ49" s="325"/>
      <c r="AK49" s="55"/>
      <c r="AL49" s="55"/>
      <c r="AM49" s="56"/>
      <c r="AN49" s="56"/>
      <c r="AO49" s="34"/>
      <c r="AP49" s="55"/>
      <c r="AQ49" s="57" t="s">
        <v>40</v>
      </c>
      <c r="AR49" s="58" t="str">
        <f t="shared" si="29"/>
        <v>TK HORSE SPORT s. r. o. r. s. p. ubytovacie a stravovacie sluzby, cestovny ruch, kultura a sport, pre deti, &amp;#32vsetky kategorie  049 51 Brzotin Nas podnik poskytuje sluzby v oblasti ubytovania, organizuje jazdecke detske tabory, ponuka jazdy na koni, jazdecku skolu. Percentom zamestnanych znevyhodnenych a zranitelnych osob. TK Horse sport s.r.o.r.s.p. Ubytovanie, jazdenie na koni, detske tabory. penzion, jazdenie na koni. detske tabory, jazdecka skola           </v>
      </c>
      <c r="AS49" s="37" t="str">
        <f t="array" ref="AS49">IF(COUNTIF(LOWER(Sheet2!A:A), LOWER(E49)) &gt; 0, "No longer exists", "Exists")</f>
        <v>Exists</v>
      </c>
      <c r="AT49" s="37"/>
      <c r="AU49" s="37"/>
      <c r="AV49" s="37"/>
      <c r="AW49" s="37"/>
      <c r="AX49" s="37"/>
      <c r="AY49" s="37"/>
      <c r="AZ49" s="37"/>
      <c r="BA49" s="37"/>
      <c r="BB49" s="37"/>
      <c r="BC49" s="37"/>
      <c r="BD49" s="37"/>
      <c r="BE49" s="37"/>
      <c r="BF49" s="37"/>
      <c r="BG49" s="37"/>
      <c r="BH49" s="37"/>
      <c r="BI49" s="37"/>
      <c r="BJ49" s="37"/>
      <c r="BK49" s="37"/>
      <c r="BL49" s="37"/>
      <c r="BM49" s="37"/>
      <c r="BN49" s="37"/>
      <c r="BO49" s="37"/>
    </row>
    <row r="50" ht="15.75" customHeight="1">
      <c r="A50" s="431"/>
      <c r="B50" s="431"/>
      <c r="C50" s="43"/>
      <c r="D50" s="59">
        <v>248.0</v>
      </c>
      <c r="E50" s="75" t="s">
        <v>4383</v>
      </c>
      <c r="F50" s="42" t="s">
        <v>80</v>
      </c>
      <c r="G50" s="38" t="str">
        <f t="shared" si="24"/>
        <v>Trnavský kraj, &amp;#32celé Slovensko</v>
      </c>
      <c r="H50" s="42" t="s">
        <v>4384</v>
      </c>
      <c r="I50" s="38" t="str">
        <f t="shared" si="25"/>
        <v>nábytok a bytové doplnky, bižutéria a darčekové predmety, &amp;#32všetky kategórie</v>
      </c>
      <c r="J50" s="42" t="s">
        <v>53</v>
      </c>
      <c r="K50" s="43" t="str">
        <f t="shared" si="26"/>
        <v>1 - 5, &amp;#32všetky možnosti</v>
      </c>
      <c r="L50" s="44" t="str">
        <f t="shared" si="27"/>
        <v>,,</v>
      </c>
      <c r="M50" s="45">
        <f t="shared" si="28"/>
        <v>825.1034961</v>
      </c>
      <c r="N50" s="43"/>
      <c r="O50" s="43" t="str">
        <f>IFERROR(__xludf.DUMMYFUNCTION("SPLIT(Q50,"","")"),"Dolné Saliby 560")</f>
        <v>Dolné Saliby 560</v>
      </c>
      <c r="P50" s="43" t="str">
        <f>IFERROR(__xludf.DUMMYFUNCTION("""COMPUTED_VALUE""")," 925 02 Dolné Saliby")</f>
        <v> 925 02 Dolné Saliby</v>
      </c>
      <c r="Q50" s="42" t="s">
        <v>4385</v>
      </c>
      <c r="R50" s="43">
        <v>48.1104171</v>
      </c>
      <c r="S50" s="43">
        <v>17.7855884</v>
      </c>
      <c r="T50" s="56" t="s">
        <v>4386</v>
      </c>
      <c r="U50" s="112" t="s">
        <v>4387</v>
      </c>
      <c r="V50" s="439" t="s">
        <v>4388</v>
      </c>
      <c r="W50" s="49" t="s">
        <v>4389</v>
      </c>
      <c r="X50" s="66" t="s">
        <v>4390</v>
      </c>
      <c r="Y50" s="54" t="s">
        <v>4391</v>
      </c>
      <c r="Z50" s="54" t="s">
        <v>4392</v>
      </c>
      <c r="AA50" s="110" t="s">
        <v>4393</v>
      </c>
      <c r="AB50" s="108" t="s">
        <v>4394</v>
      </c>
      <c r="AC50" s="421" t="s">
        <v>64</v>
      </c>
      <c r="AD50" s="404"/>
      <c r="AE50" s="325"/>
      <c r="AF50" s="422"/>
      <c r="AG50" s="404"/>
      <c r="AH50" s="331"/>
      <c r="AI50" s="325"/>
      <c r="AJ50" s="325"/>
      <c r="AK50" s="55"/>
      <c r="AL50" s="55"/>
      <c r="AM50" s="56"/>
      <c r="AN50" s="56"/>
      <c r="AO50" s="34"/>
      <c r="AP50" s="55"/>
      <c r="AQ50" s="64"/>
      <c r="AR50" s="58" t="str">
        <f t="shared" si="29"/>
        <v>Edukrea, s.r.o., registrovany socialny podnik nabytok a bytove doplnky, bizuteria a darcekove predmety, &amp;#32vsetky kategorie  925 02 Dolne Saliby Nas socialny podnik vyraba a predava drobne darcekove predmety, bizuteriu a drobne predmety do bytu. Organizujeme aj rozne zaujmove aktivity pre deti, aby sme rozvijali ich kreativitu a zrucnosti. Pripravujeme aj vzdelavacie a vychovne, edukacne stretnutia pre socialne slabsie skupiny obyvatelstva, hlavne pre prislusnikov romskej mensiny. Edukrea s.r.o. ako socialny podnik realizuje spolocensky prospesne cinnosti v oblasti sluzieb na podporu regionalneho rozvoja a zamestnanosti. Pozitivny socialny vplyv je meratelny percentom zamestnanych znevyhodnenych osob z celkoveho poctu zamestnancov. Edukrea s.r.o., registrovany socialny podnik Nasa firma vyraba a predava drobne darcekove predmety, doplnky do bytu a bizuteriu. remeselnicke vyrobky, textilna bizuteria, obrazy           </v>
      </c>
      <c r="AS50" s="37" t="str">
        <f t="array" ref="AS50">IF(COUNTIF(LOWER(Sheet2!A:A), LOWER(E50)) &gt; 0, "No longer exists", "Exists")</f>
        <v>Exists</v>
      </c>
      <c r="AT50" s="37"/>
      <c r="AU50" s="37"/>
      <c r="AV50" s="37"/>
      <c r="AW50" s="37"/>
      <c r="AX50" s="37"/>
      <c r="AY50" s="37"/>
      <c r="AZ50" s="37"/>
      <c r="BA50" s="37"/>
      <c r="BB50" s="37"/>
      <c r="BC50" s="37"/>
      <c r="BD50" s="37"/>
      <c r="BE50" s="37"/>
      <c r="BF50" s="37"/>
      <c r="BG50" s="37"/>
      <c r="BH50" s="37"/>
      <c r="BI50" s="37"/>
      <c r="BJ50" s="37"/>
      <c r="BK50" s="37"/>
      <c r="BL50" s="37"/>
      <c r="BM50" s="37"/>
      <c r="BN50" s="37"/>
      <c r="BO50" s="37"/>
    </row>
    <row r="51" ht="15.75" customHeight="1">
      <c r="A51" s="431"/>
      <c r="B51" s="431"/>
      <c r="C51" s="43"/>
      <c r="D51" s="59">
        <v>251.0</v>
      </c>
      <c r="E51" s="75" t="s">
        <v>4395</v>
      </c>
      <c r="F51" s="42" t="s">
        <v>181</v>
      </c>
      <c r="G51" s="38" t="str">
        <f t="shared" si="24"/>
        <v>Banskobystrický kraj, &amp;#32celé Slovensko</v>
      </c>
      <c r="H51" s="42" t="s">
        <v>4396</v>
      </c>
      <c r="I51" s="38" t="str">
        <f t="shared" si="25"/>
        <v>nábytok a bytové doplnky, cestovný ruch, kultúra a šport, &amp;#32všetky kategórie</v>
      </c>
      <c r="J51" s="42" t="s">
        <v>53</v>
      </c>
      <c r="K51" s="43" t="str">
        <f t="shared" si="26"/>
        <v>1 - 5, &amp;#32všetky možnosti</v>
      </c>
      <c r="L51" s="44" t="str">
        <f t="shared" si="27"/>
        <v>,,</v>
      </c>
      <c r="M51" s="45">
        <f t="shared" si="28"/>
        <v>31870.60048</v>
      </c>
      <c r="N51" s="43"/>
      <c r="O51" s="43" t="str">
        <f>IFERROR(__xludf.DUMMYFUNCTION("SPLIT(Q51,"","")"),"Bátorová 39")</f>
        <v>Bátorová 39</v>
      </c>
      <c r="P51" s="43" t="str">
        <f>IFERROR(__xludf.DUMMYFUNCTION("""COMPUTED_VALUE""")," 991 26 Bátorová")</f>
        <v> 991 26 Bátorová</v>
      </c>
      <c r="Q51" s="42" t="s">
        <v>4397</v>
      </c>
      <c r="R51" s="43">
        <v>48.1323876</v>
      </c>
      <c r="S51" s="43">
        <v>19.2726333</v>
      </c>
      <c r="T51" s="56" t="s">
        <v>4398</v>
      </c>
      <c r="U51" s="112" t="s">
        <v>4399</v>
      </c>
      <c r="V51" s="113" t="s">
        <v>4400</v>
      </c>
      <c r="W51" s="49" t="s">
        <v>4401</v>
      </c>
      <c r="X51" s="66" t="s">
        <v>4402</v>
      </c>
      <c r="Y51" s="54" t="s">
        <v>4403</v>
      </c>
      <c r="Z51" s="54" t="s">
        <v>4395</v>
      </c>
      <c r="AA51" s="110" t="s">
        <v>4404</v>
      </c>
      <c r="AB51" s="108" t="s">
        <v>4405</v>
      </c>
      <c r="AC51" s="421" t="s">
        <v>64</v>
      </c>
      <c r="AD51" s="404"/>
      <c r="AE51" s="325"/>
      <c r="AF51" s="422"/>
      <c r="AG51" s="404"/>
      <c r="AH51" s="331"/>
      <c r="AI51" s="325"/>
      <c r="AJ51" s="325"/>
      <c r="AK51" s="55"/>
      <c r="AL51" s="55"/>
      <c r="AM51" s="56"/>
      <c r="AN51" s="56"/>
      <c r="AO51" s="34"/>
      <c r="AP51" s="55"/>
      <c r="AQ51" s="64"/>
      <c r="AR51" s="58" t="str">
        <f t="shared" si="29"/>
        <v>Kukurienka r.s.p. nabytok a bytove doplnky, cestovny ruch, kultura a sport, &amp;#32vsetky kategorie  991 26 Batorova o.z. Kukurienka bolo zalozene s cielom zachranit kulturu, tradicie a remesla. Od 1.1.2020 sme ziskali statut socialneho podniku a vyrabame tkane koberce z tzv. odrezkov z textilnych zavodov, ktore su zo 100 % bavlny. T.j. "znovu-uzitkujeme" textil. Vyrabame na krosnach tradicnym sposobom moderne hunate koberce s dlhou zivotnostou. Medzi produktami nasej dielne najdete tiez klasicke behune z textilii. Kraje su spevnene a velmi esteticky ukoncene. Mame k dispozicii viac tkacskych stavov, preto si mozete vybrat zo sirokej skaly rozmerov. Nase vyrobky sa vyznacuju jedinecnostou na Slovensku. Tkane koberce su vhodne do domacnosti, na chatu, letnu zahradu, do penzionov a pod. 
 Dalsou aktivitou, ktorej sa venujeme, je zachrana a oprava tradicneho domu, ktory sluzi pre siroku verejnost so zamerom usporiadania kulturnych podujati, remeselnickych kurzov, teambuildingov a oslav. Mame za sebou vela uspechov a krasnych chvil, ktore nas kazdodenne posilnuju nadalej pokracovat v tejto cinnosti a venovat sa zranitelnym a znevyhodnenym osobam. Robime vsetko preto, aby sme mohli vytvorit pracovne miesta pre kazdeho zaujemcu. Ako socialny podnik podnikame od 1.1.2020 s 3 ZTP pracovnickami. Zaujem je velky, dufame, ze v buducnosti budeme moct zvysit pocet pracovnych miest. Kukurienka r.s.p. Vyroba a predaj rucne tkanych kobercov. spracovanie textilii a tkanie kobercov. Tkane koberce v roznych rozmeroch od 0,50m do 1,5m s, dlzka az do 10 m, ponuka oslav, podujati v tradicnom dome           </v>
      </c>
      <c r="AS51" s="37" t="str">
        <f t="array" ref="AS51">IF(COUNTIF(LOWER(Sheet2!A:A), LOWER(E51)) &gt; 0, "No longer exists", "Exists")</f>
        <v>Exists</v>
      </c>
      <c r="AT51" s="37"/>
      <c r="AU51" s="37"/>
      <c r="AV51" s="37"/>
      <c r="AW51" s="37"/>
      <c r="AX51" s="37"/>
      <c r="AY51" s="37"/>
      <c r="AZ51" s="37"/>
      <c r="BA51" s="37"/>
      <c r="BB51" s="37"/>
      <c r="BC51" s="37"/>
      <c r="BD51" s="37"/>
      <c r="BE51" s="37"/>
      <c r="BF51" s="37"/>
      <c r="BG51" s="37"/>
      <c r="BH51" s="37"/>
      <c r="BI51" s="37"/>
      <c r="BJ51" s="37"/>
      <c r="BK51" s="37"/>
      <c r="BL51" s="37"/>
      <c r="BM51" s="37"/>
      <c r="BN51" s="37"/>
      <c r="BO51" s="37"/>
    </row>
    <row r="52">
      <c r="A52" s="431"/>
      <c r="B52" s="431"/>
      <c r="C52" s="293"/>
      <c r="D52" s="59">
        <v>296.0</v>
      </c>
      <c r="E52" s="78" t="s">
        <v>4406</v>
      </c>
      <c r="F52" s="42" t="s">
        <v>181</v>
      </c>
      <c r="G52" s="43" t="str">
        <f t="shared" si="24"/>
        <v>Banskobystrický kraj, &amp;#32celé Slovensko</v>
      </c>
      <c r="H52" s="42" t="s">
        <v>4407</v>
      </c>
      <c r="I52" s="43" t="str">
        <f t="shared" si="25"/>
        <v>čistiace a upratovacie služby, dom a záhrada, stavebníctvo, doprava, vzdelávanie, odpady a recyklácia, pre deti, &amp;#32všetky kategórie</v>
      </c>
      <c r="J52" s="42" t="s">
        <v>53</v>
      </c>
      <c r="K52" s="43" t="str">
        <f t="shared" si="26"/>
        <v>1 - 5, &amp;#32všetky možnosti</v>
      </c>
      <c r="L52" s="44" t="str">
        <f t="shared" si="27"/>
        <v>,,</v>
      </c>
      <c r="M52" s="45">
        <f t="shared" si="28"/>
        <v>18980.36592</v>
      </c>
      <c r="N52" s="293"/>
      <c r="O52" s="43" t="str">
        <f>IFERROR(__xludf.DUMMYFUNCTION("SPLIT(Q52,"","")"),"Lenka 89")</f>
        <v>Lenka 89</v>
      </c>
      <c r="P52" s="43" t="str">
        <f>IFERROR(__xludf.DUMMYFUNCTION("""COMPUTED_VALUE""")," 980 50 Lenka")</f>
        <v> 980 50 Lenka</v>
      </c>
      <c r="Q52" s="42" t="s">
        <v>4408</v>
      </c>
      <c r="R52" s="440">
        <v>48.3867335</v>
      </c>
      <c r="S52" s="440">
        <v>20.3471027</v>
      </c>
      <c r="T52" s="34" t="s">
        <v>4409</v>
      </c>
      <c r="U52" s="112" t="s">
        <v>4410</v>
      </c>
      <c r="V52" s="441" t="s">
        <v>86</v>
      </c>
      <c r="W52" s="442" t="s">
        <v>4411</v>
      </c>
      <c r="X52" s="66" t="s">
        <v>4412</v>
      </c>
      <c r="Y52" s="55" t="s">
        <v>4413</v>
      </c>
      <c r="Z52" s="55" t="s">
        <v>4406</v>
      </c>
      <c r="AA52" s="443" t="s">
        <v>4414</v>
      </c>
      <c r="AB52" s="444" t="s">
        <v>4415</v>
      </c>
      <c r="AC52" s="421" t="s">
        <v>64</v>
      </c>
      <c r="AD52" s="377"/>
      <c r="AE52" s="378"/>
      <c r="AF52" s="378"/>
      <c r="AG52" s="377"/>
      <c r="AH52" s="377"/>
      <c r="AI52" s="378"/>
      <c r="AJ52" s="378"/>
      <c r="AK52" s="377"/>
      <c r="AL52" s="377"/>
      <c r="AM52" s="378"/>
      <c r="AN52" s="378"/>
      <c r="AO52" s="378"/>
      <c r="AP52" s="377"/>
      <c r="AQ52" s="445"/>
      <c r="AR52" s="58" t="str">
        <f t="shared" si="29"/>
        <v>Socialny podnik Lenka s. r. o. cistiace a upratovacie sluzby, dom a zahrada, stavebnictvo, doprava, vzdelavanie, odpady a recyklacia, pre deti, &amp;#32vsetky kategorie  980 50 Lenka Socialny podnik Lenka s.r.o. ponuka zakaznikom vo svojom regione najma betonove dielce, podla nasho nazoru najkvalitnejsie v sirokom regione. Nas podnik poskytuje aj sluzby, ktore potrebuju mensie obce, napriklad kosenie a udrzba verejneho priestranstva, stavebne a udrzbarske prace, realizujeme opravy chodnikov, plotov, ciest a budov. Ponukame vzdelavacie aktivity pre nezamestnanych v okrese Rimavska sobota a Revuca. Spolocnost zamestnava zranitelne a znevyhodnene osoby. Socialny podnik Lenka s. r. o. Aktualne ponukame vyrobu betonovych dlazdic, udrzbu a cistenie verejneho priestranstva. betonove dlazby, zemne prace, stavebne prace, poradenstvo, kosenie           </v>
      </c>
      <c r="AS52" s="37" t="str">
        <f t="array" ref="AS52">IF(COUNTIF(LOWER(Sheet2!C:C), LOWER(E52)) &gt; 0, "No longer exists", "Exists")</f>
        <v>Exists</v>
      </c>
      <c r="AT52" s="258"/>
      <c r="AU52" s="258"/>
      <c r="AV52" s="258"/>
      <c r="AW52" s="258"/>
      <c r="AX52" s="258"/>
      <c r="AY52" s="258"/>
      <c r="AZ52" s="258"/>
      <c r="BA52" s="258"/>
      <c r="BB52" s="258"/>
      <c r="BC52" s="258"/>
      <c r="BD52" s="258"/>
      <c r="BE52" s="258"/>
      <c r="BF52" s="258"/>
      <c r="BG52" s="258"/>
      <c r="BH52" s="258"/>
      <c r="BI52" s="258"/>
      <c r="BJ52" s="258"/>
      <c r="BK52" s="258"/>
      <c r="BL52" s="258"/>
      <c r="BM52" s="258"/>
      <c r="BN52" s="258"/>
      <c r="BO52" s="258"/>
    </row>
    <row r="53">
      <c r="A53" s="431"/>
      <c r="B53" s="431"/>
      <c r="C53" s="293"/>
      <c r="D53" s="59">
        <v>304.0</v>
      </c>
      <c r="E53" s="78" t="s">
        <v>4416</v>
      </c>
      <c r="F53" s="42" t="s">
        <v>80</v>
      </c>
      <c r="G53" s="43" t="str">
        <f t="shared" si="24"/>
        <v>Trnavský kraj, &amp;#32celé Slovensko</v>
      </c>
      <c r="H53" s="42" t="s">
        <v>4417</v>
      </c>
      <c r="I53" s="43" t="str">
        <f t="shared" si="25"/>
        <v>krása-zdravie-relax,, &amp;#32všetky kategórie</v>
      </c>
      <c r="J53" s="42" t="s">
        <v>53</v>
      </c>
      <c r="K53" s="43" t="str">
        <f t="shared" si="26"/>
        <v>1 - 5, &amp;#32všetky možnosti</v>
      </c>
      <c r="L53" s="44" t="str">
        <f t="shared" si="27"/>
        <v>,,</v>
      </c>
      <c r="M53" s="45">
        <f t="shared" si="28"/>
        <v>6880.562843</v>
      </c>
      <c r="N53" s="293"/>
      <c r="O53" s="43" t="str">
        <f>IFERROR(__xludf.DUMMYFUNCTION("SPLIT(Q53,"","")"),"Gazdovský rad 38/43")</f>
        <v>Gazdovský rad 38/43</v>
      </c>
      <c r="P53" s="43" t="str">
        <f>IFERROR(__xludf.DUMMYFUNCTION("""COMPUTED_VALUE""")," 931 01 Šamorín")</f>
        <v> 931 01 Šamorín</v>
      </c>
      <c r="Q53" s="42" t="s">
        <v>4418</v>
      </c>
      <c r="R53" s="440">
        <v>48.0290844</v>
      </c>
      <c r="S53" s="440">
        <v>17.3099106</v>
      </c>
      <c r="T53" s="34" t="s">
        <v>4419</v>
      </c>
      <c r="U53" s="112" t="s">
        <v>4420</v>
      </c>
      <c r="V53" s="441" t="s">
        <v>4421</v>
      </c>
      <c r="W53" s="442" t="s">
        <v>4422</v>
      </c>
      <c r="X53" s="66" t="s">
        <v>4423</v>
      </c>
      <c r="Y53" s="55" t="s">
        <v>4424</v>
      </c>
      <c r="Z53" s="55" t="s">
        <v>4425</v>
      </c>
      <c r="AA53" s="443" t="s">
        <v>4426</v>
      </c>
      <c r="AB53" s="444" t="s">
        <v>4427</v>
      </c>
      <c r="AC53" s="421" t="s">
        <v>64</v>
      </c>
      <c r="AD53" s="377"/>
      <c r="AE53" s="378"/>
      <c r="AF53" s="378"/>
      <c r="AG53" s="377"/>
      <c r="AH53" s="378"/>
      <c r="AI53" s="378"/>
      <c r="AJ53" s="378"/>
      <c r="AK53" s="377"/>
      <c r="AL53" s="377"/>
      <c r="AM53" s="378"/>
      <c r="AN53" s="378"/>
      <c r="AO53" s="378"/>
      <c r="AP53" s="377"/>
      <c r="AQ53" s="377"/>
      <c r="AR53" s="58" t="str">
        <f t="shared" si="29"/>
        <v>KORCHI PLUS s.r.o. krasa-zdravie-relax,, &amp;#32vsetky kategorie  931 01 Samorin Nasim produktom je hlavne zdrava vyziva obyvatelstva, poradenstvo v oblasti zdravej vyzivy a predaj produktov zdravej vyzivy. Nasu cinnost sme rozsirili o produkty tradicnej cinskej mediciny, ako su vitalne huby, tinktury z bylinnych zmesi a bylinne odvary. Hlavnym cielom spolocnosti, ako integracneho podniku je podpora zamestnanosti. Zameriavame sa najma na zamestnavanie osob s dlhodobym zdravotnym postihnutim znizujucim ich telesne, dusevne a zmyslove schopnosti, co brani ich plnohodnotnemu a ucinnemu zapojeniu sa do pracovneho procesu v porovnani so zdravymi fyzickymi osobami. CENTRUM ZDRAVIA Nasim produktom je hlavne zdrava vyziva obyvatelstva, poradenstvo v oblasti zdravej vyzivy a predaj produktov zdravej vyzivy. Nasu cinnost sme rozsirili o produkty tradicnej cinskej mediciny, napr. vitalne huby, tinktury z bylinnych zmesi a bylinne odvary. Zdrava vyziva, produkty TCM, cinska medicina, bylinky, vitalne huby           </v>
      </c>
      <c r="AS53" s="37" t="str">
        <f t="array" ref="AS53">IF(COUNTIF(LOWER(Sheet2!C:C), LOWER(E53)) &gt; 0, "No longer exists", "Exists")</f>
        <v>Exists</v>
      </c>
      <c r="AT53" s="258"/>
      <c r="AU53" s="258"/>
      <c r="AV53" s="258"/>
      <c r="AW53" s="258"/>
      <c r="AX53" s="258"/>
      <c r="AY53" s="258"/>
      <c r="AZ53" s="258"/>
      <c r="BA53" s="258"/>
      <c r="BB53" s="258"/>
      <c r="BC53" s="258"/>
      <c r="BD53" s="258"/>
      <c r="BE53" s="258"/>
      <c r="BF53" s="258"/>
      <c r="BG53" s="258"/>
      <c r="BH53" s="258"/>
      <c r="BI53" s="258"/>
      <c r="BJ53" s="258"/>
      <c r="BK53" s="258"/>
      <c r="BL53" s="258"/>
      <c r="BM53" s="258"/>
      <c r="BN53" s="258"/>
      <c r="BO53" s="258"/>
    </row>
    <row r="54">
      <c r="A54" s="431"/>
      <c r="B54" s="431"/>
      <c r="C54" s="293"/>
      <c r="D54" s="59">
        <v>306.0</v>
      </c>
      <c r="E54" s="78" t="s">
        <v>4428</v>
      </c>
      <c r="F54" s="42" t="s">
        <v>66</v>
      </c>
      <c r="G54" s="43" t="str">
        <f t="shared" si="24"/>
        <v>Žilinský kraj, &amp;#32celé Slovensko</v>
      </c>
      <c r="H54" s="42" t="s">
        <v>4429</v>
      </c>
      <c r="I54" s="43" t="str">
        <f t="shared" si="25"/>
        <v>čistiace a upratovacie služby, ubytovacie a stravovacie služby, cestovný ruch, kultúra a šport, odpady a recyklácia, dom a záhrada,, &amp;#32všetky kategórie</v>
      </c>
      <c r="J54" s="42" t="s">
        <v>82</v>
      </c>
      <c r="K54" s="43" t="str">
        <f t="shared" si="26"/>
        <v>11 - 15, &amp;#32všetky možnosti</v>
      </c>
      <c r="L54" s="44" t="str">
        <f t="shared" si="27"/>
        <v>,,</v>
      </c>
      <c r="M54" s="45">
        <f t="shared" si="28"/>
        <v>32619.9407</v>
      </c>
      <c r="N54" s="293"/>
      <c r="O54" s="43" t="str">
        <f>IFERROR(__xludf.DUMMYFUNCTION("SPLIT(Q54,"","")"),"Kollárovo námestie 314/10")</f>
        <v>Kollárovo námestie 314/10</v>
      </c>
      <c r="P54" s="43" t="str">
        <f>IFERROR(__xludf.DUMMYFUNCTION("""COMPUTED_VALUE""")," 038 21 Mošovce")</f>
        <v> 038 21 Mošovce</v>
      </c>
      <c r="Q54" s="42" t="s">
        <v>4430</v>
      </c>
      <c r="R54" s="440">
        <v>48.9094621</v>
      </c>
      <c r="S54" s="440">
        <v>18.8875858</v>
      </c>
      <c r="T54" s="34" t="s">
        <v>4431</v>
      </c>
      <c r="U54" s="112" t="s">
        <v>4432</v>
      </c>
      <c r="V54" s="441" t="s">
        <v>4433</v>
      </c>
      <c r="W54" s="442" t="s">
        <v>4434</v>
      </c>
      <c r="X54" s="66" t="s">
        <v>4435</v>
      </c>
      <c r="Y54" s="55" t="s">
        <v>4436</v>
      </c>
      <c r="Z54" s="55" t="s">
        <v>4437</v>
      </c>
      <c r="AA54" s="443" t="s">
        <v>4438</v>
      </c>
      <c r="AB54" s="444" t="s">
        <v>4439</v>
      </c>
      <c r="AC54" s="421" t="s">
        <v>64</v>
      </c>
      <c r="AD54" s="377"/>
      <c r="AE54" s="378"/>
      <c r="AF54" s="378"/>
      <c r="AG54" s="377"/>
      <c r="AH54" s="378"/>
      <c r="AI54" s="378"/>
      <c r="AJ54" s="378"/>
      <c r="AK54" s="377"/>
      <c r="AL54" s="377"/>
      <c r="AM54" s="378"/>
      <c r="AN54" s="378"/>
      <c r="AO54" s="378"/>
      <c r="AP54" s="377"/>
      <c r="AQ54" s="377"/>
      <c r="AR54" s="58" t="str">
        <f t="shared" si="29"/>
        <v>Drienok s. r. o. cistiace a upratovacie sluzby, ubytovacie a stravovacie sluzby, cestovny ruch, kultura a sport, odpady a recyklacia, dom a zahrada,, &amp;#32vsetky kategorie  038 21 Mosovce Registrovany socialny podnik ponuka cistiace a upratovacie sluzby verejnych priestranstiev v obciach, udrzbu verejnej zelene, spravu Zbernych dvorov, sluzby verejneho obstaravania i projektoveho manazmentu pri tvorbe a podaniach Ziadosti o NFP. Od 1.1.2022 poskytuje aj sluzby v cestovnom ruchu, prevadzkuje sportovo - rekreacne zariadenie Drienok Mosovce, ktore ponuka ubytovacie sluzby v penzione s kapacitou 25 osob (pripravuje sa rekonstrukcia a rozsirenie kapacity na 50 osob), v zrubovych chatkach (24 ks 4-miestnych, 3 ks 3-miestnych, 2 ks 8-miestnych), autocamping pre 100 aut alebo 40 autobusov (elektricke pripojky v ramci celeho arealu, pripojka na cistenie odpadu z karavanov), stanovy tabor, letne kupanie v 3 bazenoch, sportove vyzitie na 8 antukovych kurtoch, 1 sunny volejbal, areal je dog friendly, vhodny na skupinove podujatia - festivaly, zrazy, sportove tabory a pod. Toto vsetko na ploche zariadenia 6 ha. Podnik je spolocensky prospesny sluzbami na podporu zamestnanosti a regionalneho rozvoja: zamestnavanie zranitelnych a/alebo znevyhodnenych osob; tvorba, rozvoj, ochrana, obnova a prezentacia duchovnych a kulturnych hodnot - systematicka starostlivost o kulturne pamiatky v obci (Anglicky park pri revayovskom kastieli zapisany v zozname NKP, Mauzoleum pri revayovskom kastieli – dnes Muzeum mosovskych remesiel, Dom Jana Kollara a pod.; pravidelna udrzba a obnova objektov, budov a vnutorneho vybavenia i verejnej zelene). Vzdelavanie, vychova a rozvoj telesnej kultury - pravidelna udrzba a obnova majetku obce, najma Sportovo-rekreacneho zariadenia Drienok, kde vytvara zvyhodnene podmienky pre seniorov, drzitelov preukazov ZTP ci deti. Drienok s.r.o, r.s.p. Cistiace prace, sluzby v cestovnom ruchu, sluzby verejneho obstaravania, sluzby projektoveho manazmentu, administrativne sluzby. penzion, autocamping, zrubove chatky, bazeny, kupanie, restauracia, festival, drienok, obstaravanie, projektovy manazment, ubytovanie, sport a rekreacia, volejbal, sustredenie, letny tabor, park, zberny dvor, udrzba zelene           </v>
      </c>
      <c r="AS54" s="37" t="str">
        <f t="array" ref="AS54">IF(COUNTIF(LOWER(Sheet2!C:C), LOWER(E54)) &gt; 0, "No longer exists", "Exists")</f>
        <v>Exists</v>
      </c>
      <c r="AT54" s="258"/>
      <c r="AU54" s="258"/>
      <c r="AV54" s="258"/>
      <c r="AW54" s="258"/>
      <c r="AX54" s="258"/>
      <c r="AY54" s="258"/>
      <c r="AZ54" s="258"/>
      <c r="BA54" s="258"/>
      <c r="BB54" s="258"/>
      <c r="BC54" s="258"/>
      <c r="BD54" s="258"/>
      <c r="BE54" s="258"/>
      <c r="BF54" s="258"/>
      <c r="BG54" s="258"/>
      <c r="BH54" s="258"/>
      <c r="BI54" s="258"/>
      <c r="BJ54" s="258"/>
      <c r="BK54" s="258"/>
      <c r="BL54" s="258"/>
      <c r="BM54" s="258"/>
      <c r="BN54" s="258"/>
      <c r="BO54" s="258"/>
    </row>
    <row r="55" ht="15.75" customHeight="1">
      <c r="A55" s="431"/>
      <c r="B55" s="431"/>
      <c r="C55" s="43"/>
      <c r="D55" s="59">
        <v>323.0</v>
      </c>
      <c r="E55" s="75" t="s">
        <v>4440</v>
      </c>
      <c r="F55" s="42" t="s">
        <v>134</v>
      </c>
      <c r="G55" s="38" t="str">
        <f t="shared" si="24"/>
        <v>Trenčiansky kraj, &amp;#32celé Slovensko</v>
      </c>
      <c r="H55" s="42" t="s">
        <v>244</v>
      </c>
      <c r="I55" s="38" t="str">
        <f t="shared" si="25"/>
        <v>potraviny a nápoje, &amp;#32všetky kategórie</v>
      </c>
      <c r="J55" s="42" t="s">
        <v>53</v>
      </c>
      <c r="K55" s="43" t="str">
        <f t="shared" si="26"/>
        <v>1 - 5, &amp;#32všetky možnosti</v>
      </c>
      <c r="L55" s="44" t="str">
        <f t="shared" si="27"/>
        <v>,,</v>
      </c>
      <c r="M55" s="45">
        <f t="shared" si="28"/>
        <v>36822.76317</v>
      </c>
      <c r="N55" s="43"/>
      <c r="O55" s="43" t="str">
        <f>IFERROR(__xludf.DUMMYFUNCTION("SPLIT(Q55,"","")"),"Jaseňová 420/13")</f>
        <v>Jaseňová 420/13</v>
      </c>
      <c r="P55" s="43" t="str">
        <f>IFERROR(__xludf.DUMMYFUNCTION("""COMPUTED_VALUE""")," 971 01 Prievidza ")</f>
        <v> 971 01 Prievidza </v>
      </c>
      <c r="Q55" s="42" t="s">
        <v>4441</v>
      </c>
      <c r="R55" s="43">
        <v>48.783411</v>
      </c>
      <c r="S55" s="43">
        <v>18.6469175</v>
      </c>
      <c r="T55" s="53" t="s">
        <v>4442</v>
      </c>
      <c r="U55" s="55" t="s">
        <v>465</v>
      </c>
      <c r="V55" s="446" t="s">
        <v>4443</v>
      </c>
      <c r="W55" s="447" t="s">
        <v>4444</v>
      </c>
      <c r="X55" s="129" t="s">
        <v>4445</v>
      </c>
      <c r="Y55" s="138" t="s">
        <v>4446</v>
      </c>
      <c r="Z55" s="138" t="s">
        <v>4447</v>
      </c>
      <c r="AA55" s="110" t="s">
        <v>4448</v>
      </c>
      <c r="AB55" s="108" t="s">
        <v>4449</v>
      </c>
      <c r="AC55" s="448" t="s">
        <v>64</v>
      </c>
      <c r="AD55" s="331"/>
      <c r="AE55" s="325"/>
      <c r="AF55" s="325"/>
      <c r="AG55" s="331"/>
      <c r="AH55" s="331"/>
      <c r="AI55" s="325"/>
      <c r="AJ55" s="325"/>
      <c r="AK55" s="55"/>
      <c r="AL55" s="55"/>
      <c r="AM55" s="56"/>
      <c r="AN55" s="56"/>
      <c r="AO55" s="47"/>
      <c r="AP55" s="34"/>
      <c r="AQ55" s="143"/>
      <c r="AR55" s="58" t="str">
        <f t="shared" si="29"/>
        <v>HEPIA s.r.o. potraviny a napoje, &amp;#32vsetky kategorie  971 01 Prievidza  Ponukame kvalitne overene vina na kazdu prilezitost.  V spolupraci so somelierom sme pre vas pripravili vyber toho najlepsieho zo Slovenska, Moravy a Rakuska. Zamestnavame zdravotne znevyhodnene osoby. Vinoteka Exclusive Predaj vin od slovenskych vinarov. vino, maloobchod s vinom           </v>
      </c>
      <c r="AS55" s="37" t="str">
        <f t="array" ref="AS55">IF(COUNTIF(LOWER(Sheet2!A:A), LOWER(E55)) &gt; 0, "No longer exists", "Exists")</f>
        <v>Exists</v>
      </c>
      <c r="AT55" s="37"/>
      <c r="AU55" s="37"/>
      <c r="AV55" s="37"/>
      <c r="AW55" s="37"/>
      <c r="AX55" s="37"/>
      <c r="AY55" s="37"/>
      <c r="AZ55" s="37"/>
      <c r="BA55" s="37"/>
      <c r="BB55" s="37"/>
      <c r="BC55" s="37"/>
      <c r="BD55" s="37"/>
      <c r="BE55" s="37"/>
      <c r="BF55" s="37"/>
      <c r="BG55" s="37"/>
      <c r="BH55" s="37"/>
      <c r="BI55" s="37"/>
      <c r="BJ55" s="37"/>
      <c r="BK55" s="37"/>
      <c r="BL55" s="37"/>
      <c r="BM55" s="37"/>
      <c r="BN55" s="37"/>
      <c r="BO55" s="37"/>
    </row>
    <row r="56" ht="15.75" customHeight="1">
      <c r="A56" s="431"/>
      <c r="B56" s="431"/>
      <c r="C56" s="43"/>
      <c r="D56" s="59">
        <v>333.0</v>
      </c>
      <c r="E56" s="75" t="s">
        <v>4450</v>
      </c>
      <c r="F56" s="157" t="s">
        <v>51</v>
      </c>
      <c r="G56" s="38" t="str">
        <f t="shared" si="24"/>
        <v>Prešovský kraj, &amp;#32celé Slovensko</v>
      </c>
      <c r="H56" s="157" t="s">
        <v>4451</v>
      </c>
      <c r="I56" s="38" t="str">
        <f t="shared" si="25"/>
        <v>poľnohospodárstvo a lesníctvo, stavebníctvo, potraviny a nápoje, nábytok a bytové doplnky, &amp;#32všetky kategórie</v>
      </c>
      <c r="J56" s="157" t="s">
        <v>53</v>
      </c>
      <c r="K56" s="43" t="str">
        <f t="shared" si="26"/>
        <v>1 - 5, &amp;#32všetky možnosti</v>
      </c>
      <c r="L56" s="44" t="str">
        <f t="shared" si="27"/>
        <v>,,</v>
      </c>
      <c r="M56" s="45">
        <f t="shared" si="28"/>
        <v>11689.70444</v>
      </c>
      <c r="N56" s="158"/>
      <c r="O56" s="158" t="str">
        <f>IFERROR(__xludf.DUMMYFUNCTION("SPLIT(Q56,"","")"),"Vlková 200")</f>
        <v>Vlková 200</v>
      </c>
      <c r="P56" s="158" t="str">
        <f>IFERROR(__xludf.DUMMYFUNCTION("""COMPUTED_VALUE""")," 059 72 Vlková")</f>
        <v> 059 72 Vlková</v>
      </c>
      <c r="Q56" s="157" t="s">
        <v>4452</v>
      </c>
      <c r="R56" s="158">
        <v>49.04432</v>
      </c>
      <c r="S56" s="158">
        <v>20.43837</v>
      </c>
      <c r="T56" s="159" t="s">
        <v>4453</v>
      </c>
      <c r="U56" s="160" t="s">
        <v>4454</v>
      </c>
      <c r="V56" s="177" t="s">
        <v>86</v>
      </c>
      <c r="W56" s="162" t="s">
        <v>4455</v>
      </c>
      <c r="X56" s="84" t="s">
        <v>4456</v>
      </c>
      <c r="Y56" s="160" t="s">
        <v>4457</v>
      </c>
      <c r="Z56" s="160" t="s">
        <v>4458</v>
      </c>
      <c r="AA56" s="163" t="s">
        <v>4459</v>
      </c>
      <c r="AB56" s="164" t="s">
        <v>4460</v>
      </c>
      <c r="AC56" s="449" t="s">
        <v>64</v>
      </c>
      <c r="AD56" s="394"/>
      <c r="AE56" s="450"/>
      <c r="AF56" s="450"/>
      <c r="AG56" s="394"/>
      <c r="AH56" s="394"/>
      <c r="AI56" s="450"/>
      <c r="AJ56" s="450"/>
      <c r="AK56" s="166"/>
      <c r="AL56" s="166"/>
      <c r="AM56" s="167"/>
      <c r="AN56" s="167"/>
      <c r="AO56" s="166"/>
      <c r="AP56" s="451"/>
      <c r="AQ56" s="131"/>
      <c r="AR56" s="145" t="str">
        <f t="shared" si="29"/>
        <v>NEPSPM, s. r. o. polnohospodarstvo a lesnictvo, stavebnictvo, potraviny a napoje, nabytok a bytove doplnky, &amp;#32vsetky kategorie  059 72 Vlkova Nas integrovany socialny podnik so sidlom vo Vlkovej ponuka polnohospodarske sluzby, stolarsko - nabytkarske sluzby, lesne a drevospracujuce prace a sortiment chleba a peciva z vlastnej pekarne. Statut socialneho podniku sme ziskali v juli 2022 a spolupracujeme so socialnym zariadenim Institutu Krista Velknaza v Zakovciach. V nasom podniku zamestnavame zranitelne a znevyhodnene osoby v spolupraci so socialnym zariadenim Institutu Krista Velknaza v Zakovciach. Tymto osobam pomahame ziskavat pracovne navyky a zaradit sa na otvoreny trh prace. NEPSPM, s.r.o. Ponukame polnohospodarske sluzby, lesnicke sluzby, stolarsko - nabytkarske sluzby. Pecieme chlieb a pecivo vo vlastnej pekarni. polnohospodarstvo, lesnictvo, stolarstvo, vyroba nabytku, pekaren, pecivo, chlieb, lesne prace           </v>
      </c>
      <c r="AS56" s="37" t="str">
        <f t="array" ref="AS56">IF(COUNTIF(LOWER(Sheet2!A:A), LOWER(E56)) &gt; 0, "No longer exists", "Exists")</f>
        <v>Exists</v>
      </c>
      <c r="AT56" s="37"/>
      <c r="AU56" s="37"/>
      <c r="AV56" s="37"/>
      <c r="AW56" s="37"/>
      <c r="AX56" s="37"/>
      <c r="AY56" s="37"/>
      <c r="AZ56" s="37"/>
      <c r="BA56" s="37"/>
      <c r="BB56" s="37"/>
      <c r="BC56" s="37"/>
      <c r="BD56" s="37"/>
      <c r="BE56" s="37"/>
      <c r="BF56" s="37"/>
      <c r="BG56" s="37"/>
      <c r="BH56" s="37"/>
      <c r="BI56" s="37"/>
      <c r="BJ56" s="37"/>
      <c r="BK56" s="37"/>
      <c r="BL56" s="37"/>
      <c r="BM56" s="37"/>
      <c r="BN56" s="37"/>
      <c r="BO56" s="37"/>
    </row>
    <row r="57" ht="15.75" customHeight="1">
      <c r="A57" s="431"/>
      <c r="B57" s="431"/>
      <c r="C57" s="43"/>
      <c r="D57" s="59">
        <v>187.0</v>
      </c>
      <c r="E57" s="75" t="s">
        <v>4461</v>
      </c>
      <c r="F57" s="42" t="s">
        <v>181</v>
      </c>
      <c r="G57" s="38" t="str">
        <f t="shared" si="24"/>
        <v>Banskobystrický kraj, &amp;#32celé Slovensko</v>
      </c>
      <c r="H57" s="42" t="s">
        <v>4462</v>
      </c>
      <c r="I57" s="38" t="str">
        <f t="shared" si="25"/>
        <v>potraviny a nápoje, obaly, nábytok a bytové doplnky, pre deti, &amp;#32všetky kategórie</v>
      </c>
      <c r="J57" s="42" t="s">
        <v>53</v>
      </c>
      <c r="K57" s="43" t="str">
        <f t="shared" si="26"/>
        <v>1 - 5, &amp;#32všetky možnosti</v>
      </c>
      <c r="L57" s="44" t="str">
        <f t="shared" si="27"/>
        <v>,Register partnerov VS,</v>
      </c>
      <c r="M57" s="45">
        <f t="shared" si="28"/>
        <v>39790.00317</v>
      </c>
      <c r="N57" s="43"/>
      <c r="O57" s="43" t="str">
        <f>IFERROR(__xludf.DUMMYFUNCTION("SPLIT(Q57,"","")"),"Môťovská cesta 12")</f>
        <v>Môťovská cesta 12</v>
      </c>
      <c r="P57" s="43" t="str">
        <f>IFERROR(__xludf.DUMMYFUNCTION("""COMPUTED_VALUE""")," 960 01 Zvolen")</f>
        <v> 960 01 Zvolen</v>
      </c>
      <c r="Q57" s="42" t="s">
        <v>4463</v>
      </c>
      <c r="R57" s="43">
        <v>48.5712149</v>
      </c>
      <c r="S57" s="43">
        <v>19.1437943</v>
      </c>
      <c r="T57" s="56" t="s">
        <v>4464</v>
      </c>
      <c r="U57" s="34" t="s">
        <v>4465</v>
      </c>
      <c r="V57" s="63" t="s">
        <v>4466</v>
      </c>
      <c r="W57" s="61" t="s">
        <v>4467</v>
      </c>
      <c r="X57" s="50" t="s">
        <v>4468</v>
      </c>
      <c r="Y57" s="55" t="s">
        <v>4469</v>
      </c>
      <c r="Z57" s="54" t="s">
        <v>4470</v>
      </c>
      <c r="AA57" s="110" t="s">
        <v>4471</v>
      </c>
      <c r="AB57" s="108" t="s">
        <v>4472</v>
      </c>
      <c r="AC57" s="421" t="s">
        <v>64</v>
      </c>
      <c r="AD57" s="331"/>
      <c r="AE57" s="325"/>
      <c r="AF57" s="325"/>
      <c r="AG57" s="331"/>
      <c r="AH57" s="331"/>
      <c r="AI57" s="325"/>
      <c r="AJ57" s="325"/>
      <c r="AK57" s="55"/>
      <c r="AL57" s="55"/>
      <c r="AM57" s="56"/>
      <c r="AN57" s="56"/>
      <c r="AO57" s="47"/>
      <c r="AP57" s="62" t="s">
        <v>39</v>
      </c>
      <c r="AQ57" s="64"/>
      <c r="AR57" s="58" t="str">
        <f t="shared" si="29"/>
        <v>Formickaren.sk, s.r.o. potraviny a napoje, obaly, nabytok a bytove doplnky, pre deti, &amp;#32vsetky kategorie  960 01 Zvolen Integracny socialny podnik Formickaren.sk vznikol na vyse 3-rocnych skusenostiach s vyrobou cukrarskych pomocok pre konecnych spotrebitelov aj distributorov. Podla vlastnych navrhov vyrabame ekologicke formicky, zapichy do tort, oznacovace rezu a ponukame dalsi tovar pre cukrarky, medovnikarky a gazdinky, ktore chcu ozvlastnit svoje pecenie.  Podnik poskytne zamestnanie a pracovne skusenosti zamestnancom ZTP alebo inak znevyhodnenym osobam, ktore maju zhorsene podmienky pre uplatnenie sa na trhu prace. Prinosom bude vytvorenie plnohodnotnych pracovnych miest pre tychto ludi s plnou podporou profesionalneho zaskolenia a rozvijania ich kompetencii a zrucnosti. Formickaren.sk s.r.o. rsp Pecte s radostou a pecte odvazne. Pecte s laskou a pecte hravo. Ponukame vam siroku paletu napadov na originalne medovniky a susienky. Smiesne, vazne, zamilovane, ci kreativne. Vhodne pre detske oslavy, svadby, promocie, narodeniny, ale i na bezny den detom do skoly a manzelovi do prace. Dekoracie na torty a dezerty, ktore za vas povedia to, co ste schovali ako tajnu ingredienciu kazdeho skveleho receptu. zapichy, formicky, podnosy, cukrarske pomocky, cukrarske potreby, suroviny na pecenie, mrazom susene ovocie, cokolada, poleva, potahovacia hmota           Register partnerov VS</v>
      </c>
      <c r="AS57" s="37"/>
    </row>
    <row r="58">
      <c r="A58" s="431"/>
      <c r="B58" s="431"/>
    </row>
    <row r="59">
      <c r="A59" s="431"/>
      <c r="B59" s="431"/>
    </row>
    <row r="60">
      <c r="A60" s="431"/>
      <c r="B60" s="431"/>
    </row>
    <row r="61">
      <c r="A61" s="431"/>
      <c r="B61" s="431"/>
    </row>
    <row r="62">
      <c r="A62" s="431"/>
      <c r="B62" s="431"/>
    </row>
    <row r="63">
      <c r="A63" s="431"/>
      <c r="B63" s="431"/>
    </row>
    <row r="64">
      <c r="A64" s="431"/>
      <c r="B64" s="431"/>
    </row>
    <row r="65">
      <c r="A65" s="431"/>
      <c r="B65" s="431"/>
    </row>
    <row r="66">
      <c r="A66" s="431"/>
      <c r="B66" s="431"/>
    </row>
    <row r="67">
      <c r="A67" s="431"/>
      <c r="B67" s="431"/>
    </row>
    <row r="68">
      <c r="A68" s="431"/>
      <c r="B68" s="431"/>
    </row>
    <row r="69">
      <c r="A69" s="431"/>
      <c r="B69" s="431"/>
    </row>
    <row r="70">
      <c r="A70" s="431"/>
      <c r="B70" s="431"/>
    </row>
    <row r="71">
      <c r="A71" s="431"/>
      <c r="B71" s="431"/>
    </row>
    <row r="72">
      <c r="A72" s="431"/>
      <c r="B72" s="431"/>
    </row>
    <row r="73">
      <c r="A73" s="431"/>
      <c r="B73" s="431"/>
    </row>
    <row r="74">
      <c r="A74" s="431"/>
      <c r="B74" s="431"/>
    </row>
    <row r="75">
      <c r="A75" s="431"/>
      <c r="B75" s="431"/>
    </row>
    <row r="76">
      <c r="A76" s="431"/>
      <c r="B76" s="431"/>
    </row>
    <row r="77">
      <c r="A77" s="431"/>
      <c r="B77" s="431"/>
    </row>
    <row r="78">
      <c r="A78" s="431"/>
      <c r="B78" s="431"/>
    </row>
    <row r="79">
      <c r="A79" s="431"/>
      <c r="B79" s="431"/>
    </row>
    <row r="80">
      <c r="A80" s="431"/>
      <c r="B80" s="431"/>
    </row>
    <row r="81">
      <c r="A81" s="431"/>
      <c r="B81" s="431"/>
    </row>
    <row r="82">
      <c r="A82" s="431"/>
      <c r="B82" s="431"/>
    </row>
    <row r="83">
      <c r="A83" s="431"/>
      <c r="B83" s="431"/>
    </row>
    <row r="84">
      <c r="A84" s="431"/>
      <c r="B84" s="431"/>
    </row>
    <row r="85">
      <c r="A85" s="431"/>
      <c r="B85" s="431"/>
    </row>
    <row r="86">
      <c r="A86" s="431"/>
      <c r="B86" s="431"/>
    </row>
    <row r="87">
      <c r="A87" s="431"/>
      <c r="B87" s="431"/>
    </row>
    <row r="88">
      <c r="A88" s="431"/>
      <c r="B88" s="431"/>
    </row>
    <row r="89">
      <c r="A89" s="431"/>
      <c r="B89" s="431"/>
    </row>
    <row r="90">
      <c r="A90" s="431"/>
      <c r="B90" s="431"/>
    </row>
    <row r="91">
      <c r="A91" s="431"/>
      <c r="B91" s="431"/>
    </row>
    <row r="92">
      <c r="A92" s="431"/>
      <c r="B92" s="431"/>
    </row>
    <row r="93">
      <c r="A93" s="431"/>
      <c r="B93" s="431"/>
    </row>
    <row r="94">
      <c r="A94" s="431"/>
      <c r="B94" s="431"/>
    </row>
    <row r="95">
      <c r="A95" s="431"/>
      <c r="B95" s="431"/>
    </row>
    <row r="96">
      <c r="A96" s="431"/>
      <c r="B96" s="431"/>
    </row>
    <row r="97">
      <c r="A97" s="431"/>
      <c r="B97" s="431"/>
    </row>
    <row r="98">
      <c r="A98" s="431"/>
      <c r="B98" s="431"/>
    </row>
    <row r="99">
      <c r="A99" s="431"/>
      <c r="B99" s="431"/>
    </row>
    <row r="100">
      <c r="A100" s="431"/>
      <c r="B100" s="431"/>
    </row>
    <row r="101">
      <c r="A101" s="431"/>
      <c r="B101" s="431"/>
    </row>
    <row r="102">
      <c r="A102" s="431"/>
      <c r="B102" s="431"/>
    </row>
    <row r="103">
      <c r="A103" s="431"/>
      <c r="B103" s="431"/>
    </row>
    <row r="104">
      <c r="A104" s="431"/>
      <c r="B104" s="431"/>
    </row>
    <row r="105">
      <c r="A105" s="431"/>
      <c r="B105" s="431"/>
    </row>
    <row r="106">
      <c r="A106" s="431"/>
      <c r="B106" s="431"/>
    </row>
    <row r="107">
      <c r="A107" s="431"/>
      <c r="B107" s="431"/>
    </row>
    <row r="108">
      <c r="A108" s="431"/>
      <c r="B108" s="431"/>
    </row>
    <row r="109">
      <c r="A109" s="431"/>
      <c r="B109" s="431"/>
    </row>
    <row r="110">
      <c r="A110" s="431"/>
      <c r="B110" s="431"/>
    </row>
    <row r="111">
      <c r="A111" s="431"/>
      <c r="B111" s="431"/>
    </row>
    <row r="112">
      <c r="A112" s="431"/>
      <c r="B112" s="431"/>
    </row>
    <row r="113">
      <c r="A113" s="431"/>
      <c r="B113" s="431"/>
    </row>
    <row r="114">
      <c r="A114" s="431"/>
      <c r="B114" s="431"/>
    </row>
    <row r="115">
      <c r="A115" s="431"/>
      <c r="B115" s="431"/>
    </row>
    <row r="116">
      <c r="A116" s="431"/>
      <c r="B116" s="431"/>
    </row>
    <row r="117">
      <c r="A117" s="431"/>
      <c r="B117" s="431"/>
    </row>
    <row r="118">
      <c r="A118" s="431"/>
      <c r="B118" s="431"/>
    </row>
    <row r="119">
      <c r="A119" s="431"/>
      <c r="B119" s="431"/>
    </row>
    <row r="120">
      <c r="A120" s="431"/>
      <c r="B120" s="431"/>
    </row>
    <row r="121">
      <c r="A121" s="431"/>
      <c r="B121" s="431"/>
    </row>
    <row r="122">
      <c r="A122" s="431"/>
      <c r="B122" s="431"/>
    </row>
    <row r="123">
      <c r="A123" s="431"/>
      <c r="B123" s="431"/>
    </row>
    <row r="124">
      <c r="A124" s="431"/>
      <c r="B124" s="431"/>
    </row>
    <row r="125">
      <c r="A125" s="431"/>
      <c r="B125" s="431"/>
    </row>
    <row r="126">
      <c r="A126" s="431"/>
      <c r="B126" s="431"/>
    </row>
    <row r="127">
      <c r="A127" s="431"/>
      <c r="B127" s="431"/>
    </row>
    <row r="128">
      <c r="A128" s="431"/>
      <c r="B128" s="431"/>
    </row>
    <row r="129">
      <c r="A129" s="431"/>
      <c r="B129" s="431"/>
    </row>
    <row r="130">
      <c r="A130" s="431"/>
      <c r="B130" s="431"/>
    </row>
    <row r="131">
      <c r="A131" s="431"/>
      <c r="B131" s="431"/>
    </row>
    <row r="132">
      <c r="A132" s="431"/>
      <c r="B132" s="431"/>
    </row>
    <row r="133">
      <c r="A133" s="431"/>
      <c r="B133" s="431"/>
    </row>
    <row r="134">
      <c r="A134" s="431"/>
      <c r="B134" s="431"/>
    </row>
    <row r="135">
      <c r="A135" s="431"/>
      <c r="B135" s="431"/>
    </row>
    <row r="136">
      <c r="A136" s="431"/>
      <c r="B136" s="431"/>
    </row>
    <row r="137">
      <c r="A137" s="431"/>
      <c r="B137" s="431"/>
    </row>
    <row r="138">
      <c r="A138" s="431"/>
      <c r="B138" s="431"/>
    </row>
    <row r="139">
      <c r="A139" s="431"/>
      <c r="B139" s="431"/>
    </row>
    <row r="140">
      <c r="A140" s="431"/>
      <c r="B140" s="431"/>
    </row>
    <row r="141">
      <c r="A141" s="431"/>
      <c r="B141" s="431"/>
    </row>
    <row r="142">
      <c r="A142" s="431"/>
      <c r="B142" s="431"/>
    </row>
    <row r="143">
      <c r="A143" s="431"/>
      <c r="B143" s="431"/>
    </row>
    <row r="144">
      <c r="A144" s="431"/>
      <c r="B144" s="431"/>
    </row>
    <row r="145">
      <c r="A145" s="431"/>
      <c r="B145" s="431"/>
    </row>
    <row r="146">
      <c r="A146" s="431"/>
      <c r="B146" s="431"/>
    </row>
    <row r="147">
      <c r="A147" s="431"/>
      <c r="B147" s="431"/>
    </row>
    <row r="148">
      <c r="A148" s="431"/>
      <c r="B148" s="431"/>
    </row>
    <row r="149">
      <c r="A149" s="431"/>
      <c r="B149" s="431"/>
    </row>
    <row r="150">
      <c r="A150" s="431"/>
      <c r="B150" s="431"/>
    </row>
    <row r="151">
      <c r="A151" s="431"/>
      <c r="B151" s="431"/>
    </row>
    <row r="152">
      <c r="A152" s="431"/>
      <c r="B152" s="431"/>
    </row>
    <row r="153">
      <c r="A153" s="431"/>
      <c r="B153" s="431"/>
    </row>
    <row r="154">
      <c r="A154" s="431"/>
      <c r="B154" s="431"/>
    </row>
    <row r="155">
      <c r="A155" s="431"/>
      <c r="B155" s="431"/>
    </row>
    <row r="156">
      <c r="A156" s="431"/>
      <c r="B156" s="431"/>
    </row>
    <row r="157">
      <c r="A157" s="431"/>
      <c r="B157" s="431"/>
    </row>
    <row r="158">
      <c r="A158" s="431"/>
      <c r="B158" s="431"/>
    </row>
    <row r="159">
      <c r="A159" s="431"/>
      <c r="B159" s="431"/>
    </row>
    <row r="160">
      <c r="A160" s="431"/>
      <c r="B160" s="431"/>
    </row>
    <row r="161">
      <c r="A161" s="431"/>
      <c r="B161" s="431"/>
    </row>
    <row r="162">
      <c r="A162" s="431"/>
      <c r="B162" s="431"/>
    </row>
    <row r="163">
      <c r="A163" s="431"/>
      <c r="B163" s="431"/>
    </row>
    <row r="164">
      <c r="A164" s="431"/>
      <c r="B164" s="431"/>
    </row>
    <row r="165">
      <c r="A165" s="431"/>
      <c r="B165" s="431"/>
    </row>
    <row r="166">
      <c r="A166" s="431"/>
      <c r="B166" s="431"/>
    </row>
    <row r="167">
      <c r="A167" s="431"/>
      <c r="B167" s="431"/>
    </row>
    <row r="168">
      <c r="A168" s="431"/>
      <c r="B168" s="431"/>
    </row>
    <row r="169">
      <c r="A169" s="431"/>
      <c r="B169" s="431"/>
    </row>
    <row r="170">
      <c r="A170" s="431"/>
      <c r="B170" s="431"/>
    </row>
    <row r="171">
      <c r="A171" s="431"/>
      <c r="B171" s="431"/>
    </row>
    <row r="172">
      <c r="A172" s="431"/>
      <c r="B172" s="431"/>
    </row>
    <row r="173">
      <c r="A173" s="431"/>
      <c r="B173" s="431"/>
    </row>
    <row r="174">
      <c r="A174" s="431"/>
      <c r="B174" s="431"/>
    </row>
    <row r="175">
      <c r="A175" s="431"/>
      <c r="B175" s="431"/>
    </row>
    <row r="176">
      <c r="A176" s="431"/>
      <c r="B176" s="431"/>
    </row>
    <row r="177">
      <c r="A177" s="431"/>
      <c r="B177" s="431"/>
    </row>
    <row r="178">
      <c r="A178" s="431"/>
      <c r="B178" s="431"/>
    </row>
    <row r="179">
      <c r="A179" s="431"/>
      <c r="B179" s="431"/>
    </row>
    <row r="180">
      <c r="A180" s="431"/>
      <c r="B180" s="431"/>
    </row>
    <row r="181">
      <c r="A181" s="431"/>
      <c r="B181" s="431"/>
    </row>
    <row r="182">
      <c r="A182" s="431"/>
      <c r="B182" s="431"/>
    </row>
    <row r="183">
      <c r="A183" s="431"/>
      <c r="B183" s="431"/>
    </row>
    <row r="184">
      <c r="A184" s="431"/>
      <c r="B184" s="431"/>
    </row>
    <row r="185">
      <c r="A185" s="431"/>
      <c r="B185" s="431"/>
    </row>
    <row r="186">
      <c r="A186" s="431"/>
      <c r="B186" s="431"/>
    </row>
    <row r="187">
      <c r="A187" s="431"/>
      <c r="B187" s="431"/>
    </row>
    <row r="188">
      <c r="A188" s="431"/>
      <c r="B188" s="431"/>
    </row>
    <row r="189">
      <c r="A189" s="431"/>
      <c r="B189" s="431"/>
    </row>
    <row r="190">
      <c r="A190" s="431"/>
      <c r="B190" s="431"/>
    </row>
    <row r="191">
      <c r="A191" s="431"/>
      <c r="B191" s="431"/>
    </row>
    <row r="192">
      <c r="A192" s="431"/>
      <c r="B192" s="431"/>
    </row>
    <row r="193">
      <c r="A193" s="431"/>
      <c r="B193" s="431"/>
    </row>
    <row r="194">
      <c r="A194" s="431"/>
      <c r="B194" s="431"/>
    </row>
    <row r="195">
      <c r="A195" s="431"/>
      <c r="B195" s="431"/>
    </row>
    <row r="196">
      <c r="A196" s="431"/>
      <c r="B196" s="431"/>
    </row>
    <row r="197">
      <c r="A197" s="431"/>
      <c r="B197" s="431"/>
    </row>
    <row r="198">
      <c r="A198" s="431"/>
      <c r="B198" s="431"/>
    </row>
    <row r="199">
      <c r="A199" s="431"/>
      <c r="B199" s="431"/>
    </row>
    <row r="200">
      <c r="A200" s="431"/>
      <c r="B200" s="431"/>
    </row>
    <row r="201">
      <c r="A201" s="431"/>
      <c r="B201" s="431"/>
    </row>
    <row r="202">
      <c r="A202" s="431"/>
      <c r="B202" s="431"/>
    </row>
    <row r="203">
      <c r="A203" s="431"/>
      <c r="B203" s="431"/>
    </row>
    <row r="204">
      <c r="A204" s="431"/>
      <c r="B204" s="431"/>
    </row>
    <row r="205">
      <c r="A205" s="431"/>
      <c r="B205" s="431"/>
    </row>
    <row r="206">
      <c r="A206" s="431"/>
      <c r="B206" s="431"/>
    </row>
    <row r="207">
      <c r="A207" s="431"/>
      <c r="B207" s="431"/>
    </row>
    <row r="208">
      <c r="A208" s="431"/>
      <c r="B208" s="431"/>
    </row>
    <row r="209">
      <c r="A209" s="431"/>
      <c r="B209" s="431"/>
    </row>
    <row r="210">
      <c r="A210" s="431"/>
      <c r="B210" s="431"/>
    </row>
    <row r="211">
      <c r="A211" s="431"/>
      <c r="B211" s="431"/>
    </row>
    <row r="212">
      <c r="A212" s="431"/>
      <c r="B212" s="431"/>
    </row>
    <row r="213">
      <c r="A213" s="431"/>
      <c r="B213" s="431"/>
    </row>
    <row r="214">
      <c r="A214" s="431"/>
      <c r="B214" s="431"/>
    </row>
    <row r="215">
      <c r="A215" s="431"/>
      <c r="B215" s="431"/>
    </row>
    <row r="216">
      <c r="A216" s="431"/>
      <c r="B216" s="431"/>
    </row>
    <row r="217">
      <c r="A217" s="431"/>
      <c r="B217" s="431"/>
    </row>
    <row r="218">
      <c r="A218" s="431"/>
      <c r="B218" s="431"/>
    </row>
    <row r="219">
      <c r="A219" s="431"/>
      <c r="B219" s="431"/>
    </row>
    <row r="220">
      <c r="A220" s="431"/>
      <c r="B220" s="431"/>
    </row>
    <row r="221">
      <c r="A221" s="431"/>
      <c r="B221" s="431"/>
    </row>
    <row r="222">
      <c r="A222" s="431"/>
      <c r="B222" s="431"/>
    </row>
    <row r="223">
      <c r="A223" s="431"/>
      <c r="B223" s="431"/>
    </row>
    <row r="224">
      <c r="A224" s="431"/>
      <c r="B224" s="431"/>
    </row>
    <row r="225">
      <c r="A225" s="431"/>
      <c r="B225" s="431"/>
    </row>
    <row r="226">
      <c r="A226" s="431"/>
      <c r="B226" s="431"/>
    </row>
    <row r="227">
      <c r="A227" s="431"/>
      <c r="B227" s="431"/>
    </row>
    <row r="228">
      <c r="A228" s="431"/>
      <c r="B228" s="431"/>
    </row>
    <row r="229">
      <c r="A229" s="431"/>
      <c r="B229" s="431"/>
    </row>
    <row r="230">
      <c r="A230" s="431"/>
      <c r="B230" s="431"/>
    </row>
    <row r="231">
      <c r="A231" s="431"/>
      <c r="B231" s="431"/>
    </row>
    <row r="232">
      <c r="A232" s="431"/>
      <c r="B232" s="431"/>
    </row>
    <row r="233">
      <c r="A233" s="431"/>
      <c r="B233" s="431"/>
    </row>
    <row r="234">
      <c r="A234" s="431"/>
      <c r="B234" s="431"/>
    </row>
    <row r="235">
      <c r="A235" s="431"/>
      <c r="B235" s="431"/>
    </row>
    <row r="236">
      <c r="A236" s="431"/>
      <c r="B236" s="431"/>
    </row>
    <row r="237">
      <c r="A237" s="431"/>
      <c r="B237" s="431"/>
    </row>
    <row r="238">
      <c r="A238" s="431"/>
      <c r="B238" s="431"/>
    </row>
    <row r="239">
      <c r="A239" s="431"/>
      <c r="B239" s="431"/>
    </row>
    <row r="240">
      <c r="A240" s="431"/>
      <c r="B240" s="431"/>
    </row>
    <row r="241">
      <c r="A241" s="431"/>
      <c r="B241" s="431"/>
    </row>
    <row r="242">
      <c r="A242" s="431"/>
      <c r="B242" s="431"/>
    </row>
    <row r="243">
      <c r="A243" s="431"/>
      <c r="B243" s="431"/>
    </row>
    <row r="244">
      <c r="A244" s="431"/>
      <c r="B244" s="431"/>
    </row>
    <row r="245">
      <c r="A245" s="431"/>
      <c r="B245" s="431"/>
    </row>
    <row r="246">
      <c r="A246" s="431"/>
      <c r="B246" s="431"/>
    </row>
    <row r="247">
      <c r="A247" s="431"/>
      <c r="B247" s="431"/>
    </row>
    <row r="248">
      <c r="A248" s="431"/>
      <c r="B248" s="431"/>
    </row>
    <row r="249">
      <c r="A249" s="431"/>
      <c r="B249" s="431"/>
    </row>
    <row r="250">
      <c r="A250" s="431"/>
      <c r="B250" s="431"/>
    </row>
    <row r="251">
      <c r="A251" s="431"/>
      <c r="B251" s="431"/>
    </row>
    <row r="252">
      <c r="A252" s="431"/>
      <c r="B252" s="431"/>
    </row>
    <row r="253">
      <c r="A253" s="431"/>
      <c r="B253" s="431"/>
    </row>
    <row r="254">
      <c r="A254" s="431"/>
      <c r="B254" s="431"/>
    </row>
    <row r="255">
      <c r="A255" s="431"/>
      <c r="B255" s="431"/>
    </row>
    <row r="256">
      <c r="A256" s="431"/>
      <c r="B256" s="431"/>
    </row>
    <row r="257">
      <c r="A257" s="431"/>
      <c r="B257" s="431"/>
    </row>
    <row r="258">
      <c r="A258" s="431"/>
      <c r="B258" s="431"/>
    </row>
    <row r="259">
      <c r="A259" s="431"/>
      <c r="B259" s="431"/>
    </row>
    <row r="260">
      <c r="A260" s="431"/>
      <c r="B260" s="431"/>
    </row>
    <row r="261">
      <c r="A261" s="431"/>
      <c r="B261" s="431"/>
    </row>
    <row r="262">
      <c r="A262" s="431"/>
      <c r="B262" s="431"/>
    </row>
    <row r="263">
      <c r="A263" s="431"/>
      <c r="B263" s="431"/>
    </row>
    <row r="264">
      <c r="A264" s="431"/>
      <c r="B264" s="431"/>
    </row>
    <row r="265">
      <c r="A265" s="431"/>
      <c r="B265" s="431"/>
    </row>
    <row r="266">
      <c r="A266" s="431"/>
      <c r="B266" s="431"/>
    </row>
    <row r="267">
      <c r="A267" s="431"/>
      <c r="B267" s="431"/>
    </row>
    <row r="268">
      <c r="A268" s="431"/>
      <c r="B268" s="431"/>
    </row>
    <row r="269">
      <c r="A269" s="431"/>
      <c r="B269" s="431"/>
    </row>
    <row r="270">
      <c r="A270" s="431"/>
      <c r="B270" s="431"/>
    </row>
    <row r="271">
      <c r="A271" s="431"/>
      <c r="B271" s="431"/>
    </row>
    <row r="272">
      <c r="A272" s="431"/>
      <c r="B272" s="431"/>
    </row>
    <row r="273">
      <c r="A273" s="431"/>
      <c r="B273" s="431"/>
    </row>
    <row r="274">
      <c r="A274" s="431"/>
      <c r="B274" s="431"/>
    </row>
    <row r="275">
      <c r="A275" s="431"/>
      <c r="B275" s="431"/>
    </row>
    <row r="276">
      <c r="A276" s="431"/>
      <c r="B276" s="431"/>
    </row>
    <row r="277">
      <c r="A277" s="431"/>
      <c r="B277" s="431"/>
    </row>
    <row r="278">
      <c r="A278" s="431"/>
      <c r="B278" s="431"/>
    </row>
    <row r="279">
      <c r="A279" s="431"/>
      <c r="B279" s="431"/>
    </row>
    <row r="280">
      <c r="A280" s="431"/>
      <c r="B280" s="431"/>
    </row>
    <row r="281">
      <c r="A281" s="431"/>
      <c r="B281" s="431"/>
    </row>
    <row r="282">
      <c r="A282" s="431"/>
      <c r="B282" s="431"/>
    </row>
    <row r="283">
      <c r="A283" s="431"/>
      <c r="B283" s="431"/>
    </row>
    <row r="284">
      <c r="A284" s="431"/>
      <c r="B284" s="431"/>
    </row>
    <row r="285">
      <c r="A285" s="431"/>
      <c r="B285" s="431"/>
    </row>
    <row r="286">
      <c r="A286" s="431"/>
      <c r="B286" s="431"/>
    </row>
    <row r="287">
      <c r="A287" s="431"/>
      <c r="B287" s="431"/>
    </row>
    <row r="288">
      <c r="A288" s="431"/>
      <c r="B288" s="431"/>
    </row>
    <row r="289">
      <c r="A289" s="431"/>
      <c r="B289" s="431"/>
    </row>
    <row r="290">
      <c r="A290" s="431"/>
      <c r="B290" s="431"/>
    </row>
    <row r="291">
      <c r="A291" s="431"/>
      <c r="B291" s="431"/>
    </row>
    <row r="292">
      <c r="A292" s="431"/>
      <c r="B292" s="431"/>
    </row>
    <row r="293">
      <c r="A293" s="431"/>
      <c r="B293" s="431"/>
    </row>
    <row r="294">
      <c r="A294" s="431"/>
      <c r="B294" s="431"/>
    </row>
    <row r="295">
      <c r="A295" s="431"/>
      <c r="B295" s="431"/>
    </row>
    <row r="296">
      <c r="A296" s="431"/>
      <c r="B296" s="431"/>
    </row>
    <row r="297">
      <c r="A297" s="431"/>
      <c r="B297" s="431"/>
    </row>
    <row r="298">
      <c r="A298" s="431"/>
      <c r="B298" s="431"/>
    </row>
    <row r="299">
      <c r="A299" s="431"/>
      <c r="B299" s="431"/>
    </row>
    <row r="300">
      <c r="A300" s="431"/>
      <c r="B300" s="431"/>
    </row>
    <row r="301">
      <c r="A301" s="431"/>
      <c r="B301" s="431"/>
    </row>
    <row r="302">
      <c r="A302" s="431"/>
      <c r="B302" s="431"/>
    </row>
    <row r="303">
      <c r="A303" s="431"/>
      <c r="B303" s="431"/>
    </row>
    <row r="304">
      <c r="A304" s="431"/>
      <c r="B304" s="431"/>
    </row>
    <row r="305">
      <c r="A305" s="431"/>
      <c r="B305" s="431"/>
    </row>
    <row r="306">
      <c r="A306" s="431"/>
      <c r="B306" s="431"/>
    </row>
    <row r="307">
      <c r="A307" s="431"/>
      <c r="B307" s="431"/>
    </row>
    <row r="308">
      <c r="A308" s="431"/>
      <c r="B308" s="431"/>
    </row>
    <row r="309">
      <c r="A309" s="431"/>
      <c r="B309" s="431"/>
    </row>
    <row r="310">
      <c r="A310" s="431"/>
      <c r="B310" s="431"/>
    </row>
    <row r="311">
      <c r="A311" s="431"/>
      <c r="B311" s="431"/>
    </row>
    <row r="312">
      <c r="A312" s="431"/>
      <c r="B312" s="431"/>
    </row>
    <row r="313">
      <c r="A313" s="431"/>
      <c r="B313" s="431"/>
    </row>
    <row r="314">
      <c r="A314" s="431"/>
      <c r="B314" s="431"/>
    </row>
    <row r="315">
      <c r="A315" s="431"/>
      <c r="B315" s="431"/>
    </row>
    <row r="316">
      <c r="A316" s="431"/>
      <c r="B316" s="431"/>
    </row>
    <row r="317">
      <c r="A317" s="431"/>
      <c r="B317" s="431"/>
    </row>
    <row r="318">
      <c r="A318" s="431"/>
      <c r="B318" s="431"/>
    </row>
    <row r="319">
      <c r="A319" s="431"/>
      <c r="B319" s="431"/>
    </row>
    <row r="320">
      <c r="A320" s="431"/>
      <c r="B320" s="431"/>
    </row>
    <row r="321">
      <c r="A321" s="431"/>
      <c r="B321" s="431"/>
    </row>
    <row r="322">
      <c r="A322" s="431"/>
      <c r="B322" s="431"/>
    </row>
    <row r="323">
      <c r="A323" s="431"/>
      <c r="B323" s="431"/>
    </row>
    <row r="324">
      <c r="A324" s="431"/>
      <c r="B324" s="431"/>
    </row>
    <row r="325">
      <c r="A325" s="431"/>
      <c r="B325" s="431"/>
    </row>
    <row r="326">
      <c r="A326" s="431"/>
      <c r="B326" s="431"/>
    </row>
    <row r="327">
      <c r="A327" s="431"/>
      <c r="B327" s="431"/>
    </row>
    <row r="328">
      <c r="A328" s="431"/>
      <c r="B328" s="431"/>
    </row>
    <row r="329">
      <c r="A329" s="431"/>
      <c r="B329" s="431"/>
    </row>
    <row r="330">
      <c r="A330" s="431"/>
      <c r="B330" s="431"/>
    </row>
    <row r="331">
      <c r="A331" s="431"/>
      <c r="B331" s="431"/>
    </row>
    <row r="332">
      <c r="A332" s="431"/>
      <c r="B332" s="431"/>
    </row>
    <row r="333">
      <c r="A333" s="431"/>
      <c r="B333" s="431"/>
    </row>
    <row r="334">
      <c r="A334" s="431"/>
      <c r="B334" s="431"/>
    </row>
    <row r="335">
      <c r="A335" s="431"/>
      <c r="B335" s="431"/>
    </row>
    <row r="336">
      <c r="A336" s="431"/>
      <c r="B336" s="431"/>
    </row>
    <row r="337">
      <c r="A337" s="431"/>
      <c r="B337" s="431"/>
    </row>
    <row r="338">
      <c r="A338" s="431"/>
      <c r="B338" s="431"/>
    </row>
    <row r="339">
      <c r="A339" s="431"/>
      <c r="B339" s="431"/>
    </row>
    <row r="340">
      <c r="A340" s="431"/>
      <c r="B340" s="431"/>
    </row>
    <row r="341">
      <c r="A341" s="431"/>
      <c r="B341" s="431"/>
    </row>
    <row r="342">
      <c r="A342" s="431"/>
      <c r="B342" s="431"/>
    </row>
    <row r="343">
      <c r="A343" s="431"/>
      <c r="B343" s="431"/>
    </row>
    <row r="344">
      <c r="A344" s="431"/>
      <c r="B344" s="431"/>
    </row>
    <row r="345">
      <c r="A345" s="431"/>
      <c r="B345" s="431"/>
    </row>
    <row r="346">
      <c r="A346" s="431"/>
      <c r="B346" s="431"/>
    </row>
    <row r="347">
      <c r="A347" s="431"/>
      <c r="B347" s="431"/>
    </row>
    <row r="348">
      <c r="A348" s="431"/>
      <c r="B348" s="431"/>
    </row>
    <row r="349">
      <c r="A349" s="431"/>
      <c r="B349" s="431"/>
    </row>
    <row r="350">
      <c r="A350" s="431"/>
      <c r="B350" s="431"/>
    </row>
    <row r="351">
      <c r="A351" s="431"/>
      <c r="B351" s="431"/>
    </row>
    <row r="352">
      <c r="A352" s="431"/>
      <c r="B352" s="431"/>
    </row>
    <row r="353">
      <c r="A353" s="431"/>
      <c r="B353" s="431"/>
    </row>
    <row r="354">
      <c r="A354" s="431"/>
      <c r="B354" s="431"/>
    </row>
    <row r="355">
      <c r="A355" s="431"/>
      <c r="B355" s="431"/>
    </row>
    <row r="356">
      <c r="A356" s="431"/>
      <c r="B356" s="431"/>
    </row>
    <row r="357">
      <c r="A357" s="431"/>
      <c r="B357" s="431"/>
    </row>
    <row r="358">
      <c r="A358" s="431"/>
      <c r="B358" s="431"/>
    </row>
    <row r="359">
      <c r="A359" s="431"/>
      <c r="B359" s="431"/>
    </row>
    <row r="360">
      <c r="A360" s="431"/>
      <c r="B360" s="431"/>
    </row>
    <row r="361">
      <c r="A361" s="431"/>
      <c r="B361" s="431"/>
    </row>
    <row r="362">
      <c r="A362" s="431"/>
      <c r="B362" s="431"/>
    </row>
    <row r="363">
      <c r="A363" s="431"/>
      <c r="B363" s="431"/>
    </row>
    <row r="364">
      <c r="A364" s="431"/>
      <c r="B364" s="431"/>
    </row>
    <row r="365">
      <c r="A365" s="431"/>
      <c r="B365" s="431"/>
    </row>
    <row r="366">
      <c r="A366" s="431"/>
      <c r="B366" s="431"/>
    </row>
    <row r="367">
      <c r="A367" s="431"/>
      <c r="B367" s="431"/>
    </row>
    <row r="368">
      <c r="A368" s="431"/>
      <c r="B368" s="431"/>
    </row>
    <row r="369">
      <c r="A369" s="431"/>
      <c r="B369" s="431"/>
    </row>
    <row r="370">
      <c r="A370" s="431"/>
      <c r="B370" s="431"/>
    </row>
    <row r="371">
      <c r="A371" s="431"/>
      <c r="B371" s="431"/>
    </row>
    <row r="372">
      <c r="A372" s="431"/>
      <c r="B372" s="431"/>
    </row>
    <row r="373">
      <c r="A373" s="431"/>
      <c r="B373" s="431"/>
    </row>
    <row r="374">
      <c r="A374" s="431"/>
      <c r="B374" s="431"/>
    </row>
    <row r="375">
      <c r="A375" s="431"/>
      <c r="B375" s="431"/>
    </row>
    <row r="376">
      <c r="A376" s="431"/>
      <c r="B376" s="431"/>
    </row>
    <row r="377">
      <c r="A377" s="431"/>
      <c r="B377" s="431"/>
    </row>
    <row r="378">
      <c r="A378" s="431"/>
      <c r="B378" s="431"/>
    </row>
    <row r="379">
      <c r="A379" s="431"/>
      <c r="B379" s="431"/>
    </row>
    <row r="380">
      <c r="A380" s="431"/>
      <c r="B380" s="431"/>
    </row>
    <row r="381">
      <c r="A381" s="431"/>
      <c r="B381" s="431"/>
    </row>
    <row r="382">
      <c r="A382" s="431"/>
      <c r="B382" s="431"/>
    </row>
    <row r="383">
      <c r="A383" s="431"/>
      <c r="B383" s="431"/>
    </row>
    <row r="384">
      <c r="A384" s="431"/>
      <c r="B384" s="431"/>
    </row>
    <row r="385">
      <c r="A385" s="431"/>
      <c r="B385" s="431"/>
    </row>
    <row r="386">
      <c r="A386" s="431"/>
      <c r="B386" s="431"/>
    </row>
    <row r="387">
      <c r="A387" s="431"/>
      <c r="B387" s="431"/>
    </row>
    <row r="388">
      <c r="A388" s="431"/>
      <c r="B388" s="431"/>
    </row>
    <row r="389">
      <c r="A389" s="431"/>
      <c r="B389" s="431"/>
    </row>
    <row r="390">
      <c r="A390" s="431"/>
      <c r="B390" s="431"/>
    </row>
    <row r="391">
      <c r="A391" s="431"/>
      <c r="B391" s="431"/>
    </row>
    <row r="392">
      <c r="A392" s="431"/>
      <c r="B392" s="431"/>
    </row>
    <row r="393">
      <c r="A393" s="431"/>
      <c r="B393" s="431"/>
    </row>
    <row r="394">
      <c r="A394" s="431"/>
      <c r="B394" s="431"/>
    </row>
    <row r="395">
      <c r="A395" s="431"/>
      <c r="B395" s="431"/>
    </row>
    <row r="396">
      <c r="A396" s="431"/>
      <c r="B396" s="431"/>
    </row>
    <row r="397">
      <c r="A397" s="431"/>
      <c r="B397" s="431"/>
    </row>
    <row r="398">
      <c r="A398" s="431"/>
      <c r="B398" s="431"/>
    </row>
    <row r="399">
      <c r="A399" s="431"/>
      <c r="B399" s="431"/>
    </row>
    <row r="400">
      <c r="A400" s="431"/>
      <c r="B400" s="431"/>
    </row>
    <row r="401">
      <c r="A401" s="431"/>
      <c r="B401" s="431"/>
    </row>
    <row r="402">
      <c r="A402" s="431"/>
      <c r="B402" s="431"/>
    </row>
    <row r="403">
      <c r="A403" s="431"/>
      <c r="B403" s="431"/>
    </row>
    <row r="404">
      <c r="A404" s="431"/>
      <c r="B404" s="431"/>
    </row>
    <row r="405">
      <c r="A405" s="431"/>
      <c r="B405" s="431"/>
    </row>
    <row r="406">
      <c r="A406" s="431"/>
      <c r="B406" s="431"/>
    </row>
    <row r="407">
      <c r="A407" s="431"/>
      <c r="B407" s="431"/>
    </row>
    <row r="408">
      <c r="A408" s="431"/>
      <c r="B408" s="431"/>
    </row>
    <row r="409">
      <c r="A409" s="431"/>
      <c r="B409" s="431"/>
    </row>
    <row r="410">
      <c r="A410" s="431"/>
      <c r="B410" s="431"/>
    </row>
    <row r="411">
      <c r="A411" s="431"/>
      <c r="B411" s="431"/>
    </row>
    <row r="412">
      <c r="A412" s="431"/>
      <c r="B412" s="431"/>
    </row>
    <row r="413">
      <c r="A413" s="431"/>
      <c r="B413" s="431"/>
    </row>
    <row r="414">
      <c r="A414" s="431"/>
      <c r="B414" s="431"/>
    </row>
    <row r="415">
      <c r="A415" s="431"/>
      <c r="B415" s="431"/>
    </row>
    <row r="416">
      <c r="A416" s="431"/>
      <c r="B416" s="431"/>
    </row>
    <row r="417">
      <c r="A417" s="431"/>
      <c r="B417" s="431"/>
    </row>
    <row r="418">
      <c r="A418" s="431"/>
      <c r="B418" s="431"/>
    </row>
    <row r="419">
      <c r="A419" s="431"/>
      <c r="B419" s="431"/>
    </row>
    <row r="420">
      <c r="A420" s="431"/>
      <c r="B420" s="431"/>
    </row>
    <row r="421">
      <c r="A421" s="431"/>
      <c r="B421" s="431"/>
    </row>
    <row r="422">
      <c r="A422" s="431"/>
      <c r="B422" s="431"/>
    </row>
    <row r="423">
      <c r="A423" s="431"/>
      <c r="B423" s="431"/>
    </row>
    <row r="424">
      <c r="A424" s="431"/>
      <c r="B424" s="431"/>
    </row>
    <row r="425">
      <c r="A425" s="431"/>
      <c r="B425" s="431"/>
    </row>
    <row r="426">
      <c r="A426" s="431"/>
      <c r="B426" s="431"/>
    </row>
    <row r="427">
      <c r="A427" s="431"/>
      <c r="B427" s="431"/>
    </row>
    <row r="428">
      <c r="A428" s="431"/>
      <c r="B428" s="431"/>
    </row>
    <row r="429">
      <c r="A429" s="431"/>
      <c r="B429" s="431"/>
    </row>
    <row r="430">
      <c r="A430" s="431"/>
      <c r="B430" s="431"/>
    </row>
    <row r="431">
      <c r="A431" s="431"/>
      <c r="B431" s="431"/>
    </row>
    <row r="432">
      <c r="A432" s="431"/>
      <c r="B432" s="431"/>
    </row>
    <row r="433">
      <c r="A433" s="431"/>
      <c r="B433" s="431"/>
    </row>
    <row r="434">
      <c r="A434" s="431"/>
      <c r="B434" s="431"/>
    </row>
    <row r="435">
      <c r="A435" s="431"/>
      <c r="B435" s="431"/>
    </row>
    <row r="436">
      <c r="A436" s="431"/>
      <c r="B436" s="431"/>
    </row>
    <row r="437">
      <c r="A437" s="431"/>
      <c r="B437" s="431"/>
    </row>
    <row r="438">
      <c r="A438" s="431"/>
      <c r="B438" s="431"/>
    </row>
    <row r="439">
      <c r="A439" s="431"/>
      <c r="B439" s="431"/>
    </row>
    <row r="440">
      <c r="A440" s="431"/>
      <c r="B440" s="431"/>
    </row>
    <row r="441">
      <c r="A441" s="431"/>
      <c r="B441" s="431"/>
    </row>
    <row r="442">
      <c r="A442" s="431"/>
      <c r="B442" s="431"/>
    </row>
    <row r="443">
      <c r="A443" s="431"/>
      <c r="B443" s="431"/>
    </row>
    <row r="444">
      <c r="A444" s="431"/>
      <c r="B444" s="431"/>
    </row>
    <row r="445">
      <c r="A445" s="431"/>
      <c r="B445" s="431"/>
    </row>
    <row r="446">
      <c r="A446" s="431"/>
      <c r="B446" s="431"/>
    </row>
    <row r="447">
      <c r="A447" s="431"/>
      <c r="B447" s="431"/>
    </row>
    <row r="448">
      <c r="A448" s="431"/>
      <c r="B448" s="431"/>
    </row>
    <row r="449">
      <c r="A449" s="431"/>
      <c r="B449" s="431"/>
    </row>
    <row r="450">
      <c r="A450" s="431"/>
      <c r="B450" s="431"/>
    </row>
    <row r="451">
      <c r="A451" s="431"/>
      <c r="B451" s="431"/>
    </row>
    <row r="452">
      <c r="A452" s="431"/>
      <c r="B452" s="431"/>
    </row>
    <row r="453">
      <c r="A453" s="431"/>
      <c r="B453" s="431"/>
    </row>
    <row r="454">
      <c r="A454" s="431"/>
      <c r="B454" s="431"/>
    </row>
    <row r="455">
      <c r="A455" s="431"/>
      <c r="B455" s="431"/>
    </row>
    <row r="456">
      <c r="A456" s="431"/>
      <c r="B456" s="431"/>
    </row>
    <row r="457">
      <c r="A457" s="431"/>
      <c r="B457" s="431"/>
    </row>
    <row r="458">
      <c r="A458" s="431"/>
      <c r="B458" s="431"/>
    </row>
    <row r="459">
      <c r="A459" s="431"/>
      <c r="B459" s="431"/>
    </row>
    <row r="460">
      <c r="A460" s="431"/>
      <c r="B460" s="431"/>
    </row>
    <row r="461">
      <c r="A461" s="431"/>
      <c r="B461" s="431"/>
    </row>
    <row r="462">
      <c r="A462" s="431"/>
      <c r="B462" s="431"/>
    </row>
    <row r="463">
      <c r="A463" s="431"/>
      <c r="B463" s="431"/>
    </row>
    <row r="464">
      <c r="A464" s="431"/>
      <c r="B464" s="431"/>
    </row>
    <row r="465">
      <c r="A465" s="431"/>
      <c r="B465" s="431"/>
    </row>
    <row r="466">
      <c r="A466" s="431"/>
      <c r="B466" s="431"/>
    </row>
    <row r="467">
      <c r="A467" s="431"/>
      <c r="B467" s="431"/>
    </row>
    <row r="468">
      <c r="A468" s="431"/>
      <c r="B468" s="431"/>
    </row>
    <row r="469">
      <c r="A469" s="431"/>
      <c r="B469" s="431"/>
    </row>
    <row r="470">
      <c r="A470" s="431"/>
      <c r="B470" s="431"/>
    </row>
    <row r="471">
      <c r="A471" s="431"/>
      <c r="B471" s="431"/>
    </row>
    <row r="472">
      <c r="A472" s="431"/>
      <c r="B472" s="431"/>
    </row>
    <row r="473">
      <c r="A473" s="431"/>
      <c r="B473" s="431"/>
    </row>
    <row r="474">
      <c r="A474" s="431"/>
      <c r="B474" s="431"/>
    </row>
    <row r="475">
      <c r="A475" s="431"/>
      <c r="B475" s="431"/>
    </row>
    <row r="476">
      <c r="A476" s="431"/>
      <c r="B476" s="431"/>
    </row>
    <row r="477">
      <c r="A477" s="431"/>
      <c r="B477" s="431"/>
    </row>
    <row r="478">
      <c r="A478" s="431"/>
      <c r="B478" s="431"/>
    </row>
    <row r="479">
      <c r="A479" s="431"/>
      <c r="B479" s="431"/>
    </row>
    <row r="480">
      <c r="A480" s="431"/>
      <c r="B480" s="431"/>
    </row>
    <row r="481">
      <c r="A481" s="431"/>
      <c r="B481" s="431"/>
    </row>
    <row r="482">
      <c r="A482" s="431"/>
      <c r="B482" s="431"/>
    </row>
    <row r="483">
      <c r="A483" s="431"/>
      <c r="B483" s="431"/>
    </row>
    <row r="484">
      <c r="A484" s="431"/>
      <c r="B484" s="431"/>
    </row>
    <row r="485">
      <c r="A485" s="431"/>
      <c r="B485" s="431"/>
    </row>
    <row r="486">
      <c r="A486" s="431"/>
      <c r="B486" s="431"/>
    </row>
    <row r="487">
      <c r="A487" s="431"/>
      <c r="B487" s="431"/>
    </row>
    <row r="488">
      <c r="A488" s="431"/>
      <c r="B488" s="431"/>
    </row>
    <row r="489">
      <c r="A489" s="431"/>
      <c r="B489" s="431"/>
    </row>
    <row r="490">
      <c r="A490" s="431"/>
      <c r="B490" s="431"/>
    </row>
    <row r="491">
      <c r="A491" s="431"/>
      <c r="B491" s="431"/>
    </row>
    <row r="492">
      <c r="A492" s="431"/>
      <c r="B492" s="431"/>
    </row>
    <row r="493">
      <c r="A493" s="431"/>
      <c r="B493" s="431"/>
    </row>
    <row r="494">
      <c r="A494" s="431"/>
      <c r="B494" s="431"/>
    </row>
    <row r="495">
      <c r="A495" s="431"/>
      <c r="B495" s="431"/>
    </row>
    <row r="496">
      <c r="A496" s="431"/>
      <c r="B496" s="431"/>
    </row>
    <row r="497">
      <c r="A497" s="431"/>
      <c r="B497" s="431"/>
    </row>
    <row r="498">
      <c r="A498" s="431"/>
      <c r="B498" s="431"/>
    </row>
    <row r="499">
      <c r="A499" s="431"/>
      <c r="B499" s="431"/>
    </row>
    <row r="500">
      <c r="A500" s="431"/>
      <c r="B500" s="431"/>
    </row>
    <row r="501">
      <c r="A501" s="431"/>
      <c r="B501" s="431"/>
    </row>
    <row r="502">
      <c r="A502" s="431"/>
      <c r="B502" s="431"/>
    </row>
    <row r="503">
      <c r="A503" s="431"/>
      <c r="B503" s="431"/>
    </row>
    <row r="504">
      <c r="A504" s="431"/>
      <c r="B504" s="431"/>
    </row>
    <row r="505">
      <c r="A505" s="431"/>
      <c r="B505" s="431"/>
    </row>
    <row r="506">
      <c r="A506" s="431"/>
      <c r="B506" s="431"/>
    </row>
    <row r="507">
      <c r="A507" s="431"/>
      <c r="B507" s="431"/>
    </row>
    <row r="508">
      <c r="A508" s="431"/>
      <c r="B508" s="431"/>
    </row>
    <row r="509">
      <c r="A509" s="431"/>
      <c r="B509" s="431"/>
    </row>
    <row r="510">
      <c r="A510" s="431"/>
      <c r="B510" s="431"/>
    </row>
    <row r="511">
      <c r="A511" s="431"/>
      <c r="B511" s="431"/>
    </row>
    <row r="512">
      <c r="A512" s="431"/>
      <c r="B512" s="431"/>
    </row>
    <row r="513">
      <c r="A513" s="431"/>
      <c r="B513" s="431"/>
    </row>
    <row r="514">
      <c r="A514" s="431"/>
      <c r="B514" s="431"/>
    </row>
    <row r="515">
      <c r="A515" s="431"/>
      <c r="B515" s="431"/>
    </row>
    <row r="516">
      <c r="A516" s="431"/>
      <c r="B516" s="431"/>
    </row>
    <row r="517">
      <c r="A517" s="431"/>
      <c r="B517" s="431"/>
    </row>
    <row r="518">
      <c r="A518" s="431"/>
      <c r="B518" s="431"/>
    </row>
    <row r="519">
      <c r="A519" s="431"/>
      <c r="B519" s="431"/>
    </row>
    <row r="520">
      <c r="A520" s="431"/>
      <c r="B520" s="431"/>
    </row>
    <row r="521">
      <c r="A521" s="431"/>
      <c r="B521" s="431"/>
    </row>
    <row r="522">
      <c r="A522" s="431"/>
      <c r="B522" s="431"/>
    </row>
    <row r="523">
      <c r="A523" s="431"/>
      <c r="B523" s="431"/>
    </row>
    <row r="524">
      <c r="A524" s="431"/>
      <c r="B524" s="431"/>
    </row>
    <row r="525">
      <c r="A525" s="431"/>
      <c r="B525" s="431"/>
    </row>
    <row r="526">
      <c r="A526" s="431"/>
      <c r="B526" s="431"/>
    </row>
    <row r="527">
      <c r="A527" s="431"/>
      <c r="B527" s="431"/>
    </row>
    <row r="528">
      <c r="A528" s="431"/>
      <c r="B528" s="431"/>
    </row>
    <row r="529">
      <c r="A529" s="431"/>
      <c r="B529" s="431"/>
    </row>
    <row r="530">
      <c r="A530" s="431"/>
      <c r="B530" s="431"/>
    </row>
    <row r="531">
      <c r="A531" s="431"/>
      <c r="B531" s="431"/>
    </row>
    <row r="532">
      <c r="A532" s="431"/>
      <c r="B532" s="431"/>
    </row>
    <row r="533">
      <c r="A533" s="431"/>
      <c r="B533" s="431"/>
    </row>
    <row r="534">
      <c r="A534" s="431"/>
      <c r="B534" s="431"/>
    </row>
    <row r="535">
      <c r="A535" s="431"/>
      <c r="B535" s="431"/>
    </row>
    <row r="536">
      <c r="A536" s="431"/>
      <c r="B536" s="431"/>
    </row>
    <row r="537">
      <c r="A537" s="431"/>
      <c r="B537" s="431"/>
    </row>
    <row r="538">
      <c r="A538" s="431"/>
      <c r="B538" s="431"/>
    </row>
    <row r="539">
      <c r="A539" s="431"/>
      <c r="B539" s="431"/>
    </row>
    <row r="540">
      <c r="A540" s="431"/>
      <c r="B540" s="431"/>
    </row>
    <row r="541">
      <c r="A541" s="431"/>
      <c r="B541" s="431"/>
    </row>
    <row r="542">
      <c r="A542" s="431"/>
      <c r="B542" s="431"/>
    </row>
    <row r="543">
      <c r="A543" s="431"/>
      <c r="B543" s="431"/>
    </row>
    <row r="544">
      <c r="A544" s="431"/>
      <c r="B544" s="431"/>
    </row>
    <row r="545">
      <c r="A545" s="431"/>
      <c r="B545" s="431"/>
    </row>
    <row r="546">
      <c r="A546" s="431"/>
      <c r="B546" s="431"/>
    </row>
    <row r="547">
      <c r="A547" s="431"/>
      <c r="B547" s="431"/>
    </row>
    <row r="548">
      <c r="A548" s="431"/>
      <c r="B548" s="431"/>
    </row>
    <row r="549">
      <c r="A549" s="431"/>
      <c r="B549" s="431"/>
    </row>
    <row r="550">
      <c r="A550" s="431"/>
      <c r="B550" s="431"/>
    </row>
    <row r="551">
      <c r="A551" s="431"/>
      <c r="B551" s="431"/>
    </row>
    <row r="552">
      <c r="A552" s="431"/>
      <c r="B552" s="431"/>
    </row>
    <row r="553">
      <c r="A553" s="431"/>
      <c r="B553" s="431"/>
    </row>
    <row r="554">
      <c r="A554" s="431"/>
      <c r="B554" s="431"/>
    </row>
    <row r="555">
      <c r="A555" s="431"/>
      <c r="B555" s="431"/>
    </row>
    <row r="556">
      <c r="A556" s="431"/>
      <c r="B556" s="431"/>
    </row>
    <row r="557">
      <c r="A557" s="431"/>
      <c r="B557" s="431"/>
    </row>
    <row r="558">
      <c r="A558" s="431"/>
      <c r="B558" s="431"/>
    </row>
    <row r="559">
      <c r="A559" s="431"/>
      <c r="B559" s="431"/>
    </row>
    <row r="560">
      <c r="A560" s="431"/>
      <c r="B560" s="431"/>
    </row>
    <row r="561">
      <c r="A561" s="431"/>
      <c r="B561" s="431"/>
    </row>
    <row r="562">
      <c r="A562" s="431"/>
      <c r="B562" s="431"/>
    </row>
    <row r="563">
      <c r="A563" s="431"/>
      <c r="B563" s="431"/>
    </row>
    <row r="564">
      <c r="A564" s="431"/>
      <c r="B564" s="431"/>
    </row>
    <row r="565">
      <c r="A565" s="431"/>
      <c r="B565" s="431"/>
    </row>
    <row r="566">
      <c r="A566" s="431"/>
      <c r="B566" s="431"/>
    </row>
    <row r="567">
      <c r="A567" s="431"/>
      <c r="B567" s="431"/>
    </row>
    <row r="568">
      <c r="A568" s="431"/>
      <c r="B568" s="431"/>
    </row>
    <row r="569">
      <c r="A569" s="431"/>
      <c r="B569" s="431"/>
    </row>
    <row r="570">
      <c r="A570" s="431"/>
      <c r="B570" s="431"/>
    </row>
    <row r="571">
      <c r="A571" s="431"/>
      <c r="B571" s="431"/>
    </row>
    <row r="572">
      <c r="A572" s="431"/>
      <c r="B572" s="431"/>
    </row>
    <row r="573">
      <c r="A573" s="431"/>
      <c r="B573" s="431"/>
    </row>
    <row r="574">
      <c r="A574" s="431"/>
      <c r="B574" s="431"/>
    </row>
    <row r="575">
      <c r="A575" s="431"/>
      <c r="B575" s="431"/>
    </row>
    <row r="576">
      <c r="A576" s="431"/>
      <c r="B576" s="431"/>
    </row>
    <row r="577">
      <c r="A577" s="431"/>
      <c r="B577" s="431"/>
    </row>
    <row r="578">
      <c r="A578" s="431"/>
      <c r="B578" s="431"/>
    </row>
    <row r="579">
      <c r="A579" s="431"/>
      <c r="B579" s="431"/>
    </row>
    <row r="580">
      <c r="A580" s="431"/>
      <c r="B580" s="431"/>
    </row>
    <row r="581">
      <c r="A581" s="431"/>
      <c r="B581" s="431"/>
    </row>
    <row r="582">
      <c r="A582" s="431"/>
      <c r="B582" s="431"/>
    </row>
    <row r="583">
      <c r="A583" s="431"/>
      <c r="B583" s="431"/>
    </row>
    <row r="584">
      <c r="A584" s="431"/>
      <c r="B584" s="431"/>
    </row>
    <row r="585">
      <c r="A585" s="431"/>
      <c r="B585" s="431"/>
    </row>
    <row r="586">
      <c r="A586" s="431"/>
      <c r="B586" s="431"/>
    </row>
    <row r="587">
      <c r="A587" s="431"/>
      <c r="B587" s="431"/>
    </row>
    <row r="588">
      <c r="A588" s="431"/>
      <c r="B588" s="431"/>
    </row>
    <row r="589">
      <c r="A589" s="431"/>
      <c r="B589" s="431"/>
    </row>
    <row r="590">
      <c r="A590" s="431"/>
      <c r="B590" s="431"/>
    </row>
    <row r="591">
      <c r="A591" s="431"/>
      <c r="B591" s="431"/>
    </row>
    <row r="592">
      <c r="A592" s="431"/>
      <c r="B592" s="431"/>
    </row>
    <row r="593">
      <c r="A593" s="431"/>
      <c r="B593" s="431"/>
    </row>
    <row r="594">
      <c r="A594" s="431"/>
      <c r="B594" s="431"/>
    </row>
    <row r="595">
      <c r="A595" s="431"/>
      <c r="B595" s="431"/>
    </row>
    <row r="596">
      <c r="A596" s="431"/>
      <c r="B596" s="431"/>
    </row>
    <row r="597">
      <c r="A597" s="431"/>
      <c r="B597" s="431"/>
    </row>
    <row r="598">
      <c r="A598" s="431"/>
      <c r="B598" s="431"/>
    </row>
    <row r="599">
      <c r="A599" s="431"/>
      <c r="B599" s="431"/>
    </row>
    <row r="600">
      <c r="A600" s="431"/>
      <c r="B600" s="431"/>
    </row>
    <row r="601">
      <c r="A601" s="431"/>
      <c r="B601" s="431"/>
    </row>
    <row r="602">
      <c r="A602" s="431"/>
      <c r="B602" s="431"/>
    </row>
    <row r="603">
      <c r="A603" s="431"/>
      <c r="B603" s="431"/>
    </row>
    <row r="604">
      <c r="A604" s="431"/>
      <c r="B604" s="431"/>
    </row>
    <row r="605">
      <c r="A605" s="431"/>
      <c r="B605" s="431"/>
    </row>
    <row r="606">
      <c r="A606" s="431"/>
      <c r="B606" s="431"/>
    </row>
    <row r="607">
      <c r="A607" s="431"/>
      <c r="B607" s="431"/>
    </row>
    <row r="608">
      <c r="A608" s="431"/>
      <c r="B608" s="431"/>
    </row>
    <row r="609">
      <c r="A609" s="431"/>
      <c r="B609" s="431"/>
    </row>
    <row r="610">
      <c r="A610" s="431"/>
      <c r="B610" s="431"/>
    </row>
    <row r="611">
      <c r="A611" s="431"/>
      <c r="B611" s="431"/>
    </row>
    <row r="612">
      <c r="A612" s="431"/>
      <c r="B612" s="431"/>
    </row>
    <row r="613">
      <c r="A613" s="431"/>
      <c r="B613" s="431"/>
    </row>
    <row r="614">
      <c r="A614" s="431"/>
      <c r="B614" s="431"/>
    </row>
    <row r="615">
      <c r="A615" s="431"/>
      <c r="B615" s="431"/>
    </row>
    <row r="616">
      <c r="A616" s="431"/>
      <c r="B616" s="431"/>
    </row>
    <row r="617">
      <c r="A617" s="431"/>
      <c r="B617" s="431"/>
    </row>
    <row r="618">
      <c r="A618" s="431"/>
      <c r="B618" s="431"/>
    </row>
    <row r="619">
      <c r="A619" s="431"/>
      <c r="B619" s="431"/>
    </row>
    <row r="620">
      <c r="A620" s="431"/>
      <c r="B620" s="431"/>
    </row>
    <row r="621">
      <c r="A621" s="431"/>
      <c r="B621" s="431"/>
    </row>
    <row r="622">
      <c r="A622" s="431"/>
      <c r="B622" s="431"/>
    </row>
    <row r="623">
      <c r="A623" s="431"/>
      <c r="B623" s="431"/>
    </row>
    <row r="624">
      <c r="A624" s="431"/>
      <c r="B624" s="431"/>
    </row>
    <row r="625">
      <c r="A625" s="431"/>
      <c r="B625" s="431"/>
    </row>
    <row r="626">
      <c r="A626" s="431"/>
      <c r="B626" s="431"/>
    </row>
    <row r="627">
      <c r="A627" s="431"/>
      <c r="B627" s="431"/>
    </row>
    <row r="628">
      <c r="A628" s="431"/>
      <c r="B628" s="431"/>
    </row>
    <row r="629">
      <c r="A629" s="431"/>
      <c r="B629" s="431"/>
    </row>
    <row r="630">
      <c r="A630" s="431"/>
      <c r="B630" s="431"/>
    </row>
    <row r="631">
      <c r="A631" s="431"/>
      <c r="B631" s="431"/>
    </row>
    <row r="632">
      <c r="A632" s="431"/>
      <c r="B632" s="431"/>
    </row>
    <row r="633">
      <c r="A633" s="431"/>
      <c r="B633" s="431"/>
    </row>
    <row r="634">
      <c r="A634" s="431"/>
      <c r="B634" s="431"/>
    </row>
    <row r="635">
      <c r="A635" s="431"/>
      <c r="B635" s="431"/>
    </row>
    <row r="636">
      <c r="A636" s="431"/>
      <c r="B636" s="431"/>
    </row>
    <row r="637">
      <c r="A637" s="431"/>
      <c r="B637" s="431"/>
    </row>
    <row r="638">
      <c r="A638" s="431"/>
      <c r="B638" s="431"/>
    </row>
    <row r="639">
      <c r="A639" s="431"/>
      <c r="B639" s="431"/>
    </row>
    <row r="640">
      <c r="A640" s="431"/>
      <c r="B640" s="431"/>
    </row>
    <row r="641">
      <c r="A641" s="431"/>
      <c r="B641" s="431"/>
    </row>
    <row r="642">
      <c r="A642" s="431"/>
      <c r="B642" s="431"/>
    </row>
    <row r="643">
      <c r="A643" s="431"/>
      <c r="B643" s="431"/>
    </row>
    <row r="644">
      <c r="A644" s="431"/>
      <c r="B644" s="431"/>
    </row>
    <row r="645">
      <c r="A645" s="431"/>
      <c r="B645" s="431"/>
    </row>
    <row r="646">
      <c r="A646" s="431"/>
      <c r="B646" s="431"/>
    </row>
    <row r="647">
      <c r="A647" s="431"/>
      <c r="B647" s="431"/>
    </row>
    <row r="648">
      <c r="A648" s="431"/>
      <c r="B648" s="431"/>
    </row>
    <row r="649">
      <c r="A649" s="431"/>
      <c r="B649" s="431"/>
    </row>
    <row r="650">
      <c r="A650" s="431"/>
      <c r="B650" s="431"/>
    </row>
    <row r="651">
      <c r="A651" s="431"/>
      <c r="B651" s="431"/>
    </row>
    <row r="652">
      <c r="A652" s="431"/>
      <c r="B652" s="431"/>
    </row>
    <row r="653">
      <c r="A653" s="431"/>
      <c r="B653" s="431"/>
    </row>
    <row r="654">
      <c r="A654" s="431"/>
      <c r="B654" s="431"/>
    </row>
    <row r="655">
      <c r="A655" s="431"/>
      <c r="B655" s="431"/>
    </row>
    <row r="656">
      <c r="A656" s="431"/>
      <c r="B656" s="431"/>
    </row>
    <row r="657">
      <c r="A657" s="431"/>
      <c r="B657" s="431"/>
    </row>
    <row r="658">
      <c r="A658" s="431"/>
      <c r="B658" s="431"/>
    </row>
    <row r="659">
      <c r="A659" s="431"/>
      <c r="B659" s="431"/>
    </row>
    <row r="660">
      <c r="A660" s="431"/>
      <c r="B660" s="431"/>
    </row>
    <row r="661">
      <c r="A661" s="431"/>
      <c r="B661" s="431"/>
    </row>
    <row r="662">
      <c r="A662" s="431"/>
      <c r="B662" s="431"/>
    </row>
    <row r="663">
      <c r="A663" s="431"/>
      <c r="B663" s="431"/>
    </row>
    <row r="664">
      <c r="A664" s="431"/>
      <c r="B664" s="431"/>
    </row>
    <row r="665">
      <c r="A665" s="431"/>
      <c r="B665" s="431"/>
    </row>
    <row r="666">
      <c r="A666" s="431"/>
      <c r="B666" s="431"/>
    </row>
    <row r="667">
      <c r="A667" s="431"/>
      <c r="B667" s="431"/>
    </row>
    <row r="668">
      <c r="A668" s="431"/>
      <c r="B668" s="431"/>
    </row>
    <row r="669">
      <c r="A669" s="431"/>
      <c r="B669" s="431"/>
    </row>
    <row r="670">
      <c r="A670" s="431"/>
      <c r="B670" s="431"/>
    </row>
    <row r="671">
      <c r="A671" s="431"/>
      <c r="B671" s="431"/>
    </row>
    <row r="672">
      <c r="A672" s="431"/>
      <c r="B672" s="431"/>
    </row>
    <row r="673">
      <c r="A673" s="431"/>
      <c r="B673" s="431"/>
    </row>
    <row r="674">
      <c r="A674" s="431"/>
      <c r="B674" s="431"/>
    </row>
    <row r="675">
      <c r="A675" s="431"/>
      <c r="B675" s="431"/>
    </row>
    <row r="676">
      <c r="A676" s="431"/>
      <c r="B676" s="431"/>
    </row>
    <row r="677">
      <c r="A677" s="431"/>
      <c r="B677" s="431"/>
    </row>
    <row r="678">
      <c r="A678" s="431"/>
      <c r="B678" s="431"/>
    </row>
    <row r="679">
      <c r="A679" s="431"/>
      <c r="B679" s="431"/>
    </row>
    <row r="680">
      <c r="A680" s="431"/>
      <c r="B680" s="431"/>
    </row>
    <row r="681">
      <c r="A681" s="431"/>
      <c r="B681" s="431"/>
    </row>
    <row r="682">
      <c r="A682" s="431"/>
      <c r="B682" s="431"/>
    </row>
    <row r="683">
      <c r="A683" s="431"/>
      <c r="B683" s="431"/>
    </row>
    <row r="684">
      <c r="A684" s="431"/>
      <c r="B684" s="431"/>
    </row>
    <row r="685">
      <c r="A685" s="431"/>
      <c r="B685" s="431"/>
    </row>
    <row r="686">
      <c r="A686" s="431"/>
      <c r="B686" s="431"/>
    </row>
    <row r="687">
      <c r="A687" s="431"/>
      <c r="B687" s="431"/>
    </row>
    <row r="688">
      <c r="A688" s="431"/>
      <c r="B688" s="431"/>
    </row>
    <row r="689">
      <c r="A689" s="431"/>
      <c r="B689" s="431"/>
    </row>
    <row r="690">
      <c r="A690" s="431"/>
      <c r="B690" s="431"/>
    </row>
    <row r="691">
      <c r="A691" s="431"/>
      <c r="B691" s="431"/>
    </row>
    <row r="692">
      <c r="A692" s="431"/>
      <c r="B692" s="431"/>
    </row>
    <row r="693">
      <c r="A693" s="431"/>
      <c r="B693" s="431"/>
    </row>
    <row r="694">
      <c r="A694" s="431"/>
      <c r="B694" s="431"/>
    </row>
    <row r="695">
      <c r="A695" s="431"/>
      <c r="B695" s="431"/>
    </row>
    <row r="696">
      <c r="A696" s="431"/>
      <c r="B696" s="431"/>
    </row>
    <row r="697">
      <c r="A697" s="431"/>
      <c r="B697" s="431"/>
    </row>
    <row r="698">
      <c r="A698" s="431"/>
      <c r="B698" s="431"/>
    </row>
    <row r="699">
      <c r="A699" s="431"/>
      <c r="B699" s="431"/>
    </row>
    <row r="700">
      <c r="A700" s="431"/>
      <c r="B700" s="431"/>
    </row>
    <row r="701">
      <c r="A701" s="431"/>
      <c r="B701" s="431"/>
    </row>
    <row r="702">
      <c r="A702" s="431"/>
      <c r="B702" s="431"/>
    </row>
    <row r="703">
      <c r="A703" s="431"/>
      <c r="B703" s="431"/>
    </row>
    <row r="704">
      <c r="A704" s="431"/>
      <c r="B704" s="431"/>
    </row>
    <row r="705">
      <c r="A705" s="431"/>
      <c r="B705" s="431"/>
    </row>
    <row r="706">
      <c r="A706" s="431"/>
      <c r="B706" s="431"/>
    </row>
    <row r="707">
      <c r="A707" s="431"/>
      <c r="B707" s="431"/>
    </row>
    <row r="708">
      <c r="A708" s="431"/>
      <c r="B708" s="431"/>
    </row>
    <row r="709">
      <c r="A709" s="431"/>
      <c r="B709" s="431"/>
    </row>
    <row r="710">
      <c r="A710" s="431"/>
      <c r="B710" s="431"/>
    </row>
    <row r="711">
      <c r="A711" s="431"/>
      <c r="B711" s="431"/>
    </row>
    <row r="712">
      <c r="A712" s="431"/>
      <c r="B712" s="431"/>
    </row>
    <row r="713">
      <c r="A713" s="431"/>
      <c r="B713" s="431"/>
    </row>
    <row r="714">
      <c r="A714" s="431"/>
      <c r="B714" s="431"/>
    </row>
    <row r="715">
      <c r="A715" s="431"/>
      <c r="B715" s="431"/>
    </row>
    <row r="716">
      <c r="A716" s="431"/>
      <c r="B716" s="431"/>
    </row>
    <row r="717">
      <c r="A717" s="431"/>
      <c r="B717" s="431"/>
    </row>
    <row r="718">
      <c r="A718" s="431"/>
      <c r="B718" s="431"/>
    </row>
    <row r="719">
      <c r="A719" s="431"/>
      <c r="B719" s="431"/>
    </row>
    <row r="720">
      <c r="A720" s="431"/>
      <c r="B720" s="431"/>
    </row>
    <row r="721">
      <c r="A721" s="431"/>
      <c r="B721" s="431"/>
    </row>
    <row r="722">
      <c r="A722" s="431"/>
      <c r="B722" s="431"/>
    </row>
    <row r="723">
      <c r="A723" s="431"/>
      <c r="B723" s="431"/>
    </row>
    <row r="724">
      <c r="A724" s="431"/>
      <c r="B724" s="431"/>
    </row>
    <row r="725">
      <c r="A725" s="431"/>
      <c r="B725" s="431"/>
    </row>
    <row r="726">
      <c r="A726" s="431"/>
      <c r="B726" s="431"/>
    </row>
    <row r="727">
      <c r="A727" s="431"/>
      <c r="B727" s="431"/>
    </row>
    <row r="728">
      <c r="A728" s="431"/>
      <c r="B728" s="431"/>
    </row>
    <row r="729">
      <c r="A729" s="431"/>
      <c r="B729" s="431"/>
    </row>
    <row r="730">
      <c r="A730" s="431"/>
      <c r="B730" s="431"/>
    </row>
    <row r="731">
      <c r="A731" s="431"/>
      <c r="B731" s="431"/>
    </row>
    <row r="732">
      <c r="A732" s="431"/>
      <c r="B732" s="431"/>
    </row>
    <row r="733">
      <c r="A733" s="431"/>
      <c r="B733" s="431"/>
    </row>
    <row r="734">
      <c r="A734" s="431"/>
      <c r="B734" s="431"/>
    </row>
    <row r="735">
      <c r="A735" s="431"/>
      <c r="B735" s="431"/>
    </row>
    <row r="736">
      <c r="A736" s="431"/>
      <c r="B736" s="431"/>
    </row>
    <row r="737">
      <c r="A737" s="431"/>
      <c r="B737" s="431"/>
    </row>
    <row r="738">
      <c r="A738" s="431"/>
      <c r="B738" s="431"/>
    </row>
    <row r="739">
      <c r="A739" s="431"/>
      <c r="B739" s="431"/>
    </row>
    <row r="740">
      <c r="A740" s="431"/>
      <c r="B740" s="431"/>
    </row>
    <row r="741">
      <c r="A741" s="431"/>
      <c r="B741" s="431"/>
    </row>
    <row r="742">
      <c r="A742" s="431"/>
      <c r="B742" s="431"/>
    </row>
    <row r="743">
      <c r="A743" s="431"/>
      <c r="B743" s="431"/>
    </row>
    <row r="744">
      <c r="A744" s="431"/>
      <c r="B744" s="431"/>
    </row>
    <row r="745">
      <c r="A745" s="431"/>
      <c r="B745" s="431"/>
    </row>
    <row r="746">
      <c r="A746" s="431"/>
      <c r="B746" s="431"/>
    </row>
    <row r="747">
      <c r="A747" s="431"/>
      <c r="B747" s="431"/>
    </row>
    <row r="748">
      <c r="A748" s="431"/>
      <c r="B748" s="431"/>
    </row>
    <row r="749">
      <c r="A749" s="431"/>
      <c r="B749" s="431"/>
    </row>
    <row r="750">
      <c r="A750" s="431"/>
      <c r="B750" s="431"/>
    </row>
    <row r="751">
      <c r="A751" s="431"/>
      <c r="B751" s="431"/>
    </row>
    <row r="752">
      <c r="A752" s="431"/>
      <c r="B752" s="431"/>
    </row>
    <row r="753">
      <c r="A753" s="431"/>
      <c r="B753" s="431"/>
    </row>
    <row r="754">
      <c r="A754" s="431"/>
      <c r="B754" s="431"/>
    </row>
    <row r="755">
      <c r="A755" s="431"/>
      <c r="B755" s="431"/>
    </row>
    <row r="756">
      <c r="A756" s="431"/>
      <c r="B756" s="431"/>
    </row>
    <row r="757">
      <c r="A757" s="431"/>
      <c r="B757" s="431"/>
    </row>
    <row r="758">
      <c r="A758" s="431"/>
      <c r="B758" s="431"/>
    </row>
    <row r="759">
      <c r="A759" s="431"/>
      <c r="B759" s="431"/>
    </row>
    <row r="760">
      <c r="A760" s="431"/>
      <c r="B760" s="431"/>
    </row>
    <row r="761">
      <c r="A761" s="431"/>
      <c r="B761" s="431"/>
    </row>
    <row r="762">
      <c r="A762" s="431"/>
      <c r="B762" s="431"/>
    </row>
    <row r="763">
      <c r="A763" s="431"/>
      <c r="B763" s="431"/>
    </row>
    <row r="764">
      <c r="A764" s="431"/>
      <c r="B764" s="431"/>
    </row>
    <row r="765">
      <c r="A765" s="431"/>
      <c r="B765" s="431"/>
    </row>
    <row r="766">
      <c r="A766" s="431"/>
      <c r="B766" s="431"/>
    </row>
    <row r="767">
      <c r="A767" s="431"/>
      <c r="B767" s="431"/>
    </row>
    <row r="768">
      <c r="A768" s="431"/>
      <c r="B768" s="431"/>
    </row>
    <row r="769">
      <c r="A769" s="431"/>
      <c r="B769" s="431"/>
    </row>
    <row r="770">
      <c r="A770" s="431"/>
      <c r="B770" s="431"/>
    </row>
    <row r="771">
      <c r="A771" s="431"/>
      <c r="B771" s="431"/>
    </row>
    <row r="772">
      <c r="A772" s="431"/>
      <c r="B772" s="431"/>
    </row>
    <row r="773">
      <c r="A773" s="431"/>
      <c r="B773" s="431"/>
    </row>
    <row r="774">
      <c r="A774" s="431"/>
      <c r="B774" s="431"/>
    </row>
    <row r="775">
      <c r="A775" s="431"/>
      <c r="B775" s="431"/>
    </row>
    <row r="776">
      <c r="A776" s="431"/>
      <c r="B776" s="431"/>
    </row>
    <row r="777">
      <c r="A777" s="431"/>
      <c r="B777" s="431"/>
    </row>
    <row r="778">
      <c r="A778" s="431"/>
      <c r="B778" s="431"/>
    </row>
    <row r="779">
      <c r="A779" s="431"/>
      <c r="B779" s="431"/>
    </row>
    <row r="780">
      <c r="A780" s="431"/>
      <c r="B780" s="431"/>
    </row>
    <row r="781">
      <c r="A781" s="431"/>
      <c r="B781" s="431"/>
    </row>
    <row r="782">
      <c r="A782" s="431"/>
      <c r="B782" s="431"/>
    </row>
    <row r="783">
      <c r="A783" s="431"/>
      <c r="B783" s="431"/>
    </row>
    <row r="784">
      <c r="A784" s="431"/>
      <c r="B784" s="431"/>
    </row>
    <row r="785">
      <c r="A785" s="431"/>
      <c r="B785" s="431"/>
    </row>
    <row r="786">
      <c r="A786" s="431"/>
      <c r="B786" s="431"/>
    </row>
    <row r="787">
      <c r="A787" s="431"/>
      <c r="B787" s="431"/>
    </row>
    <row r="788">
      <c r="A788" s="431"/>
      <c r="B788" s="431"/>
    </row>
    <row r="789">
      <c r="A789" s="431"/>
      <c r="B789" s="431"/>
    </row>
    <row r="790">
      <c r="A790" s="431"/>
      <c r="B790" s="431"/>
    </row>
    <row r="791">
      <c r="A791" s="431"/>
      <c r="B791" s="431"/>
    </row>
    <row r="792">
      <c r="A792" s="431"/>
      <c r="B792" s="431"/>
    </row>
    <row r="793">
      <c r="A793" s="431"/>
      <c r="B793" s="431"/>
    </row>
    <row r="794">
      <c r="A794" s="431"/>
      <c r="B794" s="431"/>
    </row>
    <row r="795">
      <c r="A795" s="431"/>
      <c r="B795" s="431"/>
    </row>
    <row r="796">
      <c r="A796" s="431"/>
      <c r="B796" s="431"/>
    </row>
    <row r="797">
      <c r="A797" s="431"/>
      <c r="B797" s="431"/>
    </row>
    <row r="798">
      <c r="A798" s="431"/>
      <c r="B798" s="431"/>
    </row>
    <row r="799">
      <c r="A799" s="431"/>
      <c r="B799" s="431"/>
    </row>
    <row r="800">
      <c r="A800" s="431"/>
      <c r="B800" s="431"/>
    </row>
    <row r="801">
      <c r="A801" s="431"/>
      <c r="B801" s="431"/>
    </row>
    <row r="802">
      <c r="A802" s="431"/>
      <c r="B802" s="431"/>
    </row>
    <row r="803">
      <c r="A803" s="431"/>
      <c r="B803" s="431"/>
    </row>
    <row r="804">
      <c r="A804" s="431"/>
      <c r="B804" s="431"/>
    </row>
    <row r="805">
      <c r="A805" s="431"/>
      <c r="B805" s="431"/>
    </row>
    <row r="806">
      <c r="A806" s="431"/>
      <c r="B806" s="431"/>
    </row>
    <row r="807">
      <c r="A807" s="431"/>
      <c r="B807" s="431"/>
    </row>
    <row r="808">
      <c r="A808" s="431"/>
      <c r="B808" s="431"/>
    </row>
    <row r="809">
      <c r="A809" s="431"/>
      <c r="B809" s="431"/>
    </row>
    <row r="810">
      <c r="A810" s="431"/>
      <c r="B810" s="431"/>
    </row>
    <row r="811">
      <c r="A811" s="431"/>
      <c r="B811" s="431"/>
    </row>
    <row r="812">
      <c r="A812" s="431"/>
      <c r="B812" s="431"/>
    </row>
    <row r="813">
      <c r="A813" s="431"/>
      <c r="B813" s="431"/>
    </row>
    <row r="814">
      <c r="A814" s="431"/>
      <c r="B814" s="431"/>
    </row>
    <row r="815">
      <c r="A815" s="431"/>
      <c r="B815" s="431"/>
    </row>
    <row r="816">
      <c r="A816" s="431"/>
      <c r="B816" s="431"/>
    </row>
    <row r="817">
      <c r="A817" s="431"/>
      <c r="B817" s="431"/>
    </row>
    <row r="818">
      <c r="A818" s="431"/>
      <c r="B818" s="431"/>
    </row>
    <row r="819">
      <c r="A819" s="431"/>
      <c r="B819" s="431"/>
    </row>
    <row r="820">
      <c r="A820" s="431"/>
      <c r="B820" s="431"/>
    </row>
    <row r="821">
      <c r="A821" s="431"/>
      <c r="B821" s="431"/>
    </row>
    <row r="822">
      <c r="A822" s="431"/>
      <c r="B822" s="431"/>
    </row>
    <row r="823">
      <c r="A823" s="431"/>
      <c r="B823" s="431"/>
    </row>
    <row r="824">
      <c r="A824" s="431"/>
      <c r="B824" s="431"/>
    </row>
    <row r="825">
      <c r="A825" s="431"/>
      <c r="B825" s="431"/>
    </row>
    <row r="826">
      <c r="A826" s="431"/>
      <c r="B826" s="431"/>
    </row>
    <row r="827">
      <c r="A827" s="431"/>
      <c r="B827" s="431"/>
    </row>
    <row r="828">
      <c r="A828" s="431"/>
      <c r="B828" s="431"/>
    </row>
    <row r="829">
      <c r="A829" s="431"/>
      <c r="B829" s="431"/>
    </row>
    <row r="830">
      <c r="A830" s="431"/>
      <c r="B830" s="431"/>
    </row>
    <row r="831">
      <c r="A831" s="431"/>
      <c r="B831" s="431"/>
    </row>
    <row r="832">
      <c r="A832" s="431"/>
      <c r="B832" s="431"/>
    </row>
    <row r="833">
      <c r="A833" s="431"/>
      <c r="B833" s="431"/>
    </row>
    <row r="834">
      <c r="A834" s="431"/>
      <c r="B834" s="431"/>
    </row>
    <row r="835">
      <c r="A835" s="431"/>
      <c r="B835" s="431"/>
    </row>
    <row r="836">
      <c r="A836" s="431"/>
      <c r="B836" s="431"/>
    </row>
    <row r="837">
      <c r="A837" s="431"/>
      <c r="B837" s="431"/>
    </row>
    <row r="838">
      <c r="A838" s="431"/>
      <c r="B838" s="431"/>
    </row>
    <row r="839">
      <c r="A839" s="431"/>
      <c r="B839" s="431"/>
    </row>
    <row r="840">
      <c r="A840" s="431"/>
      <c r="B840" s="431"/>
    </row>
    <row r="841">
      <c r="A841" s="431"/>
      <c r="B841" s="431"/>
    </row>
    <row r="842">
      <c r="A842" s="431"/>
      <c r="B842" s="431"/>
    </row>
    <row r="843">
      <c r="A843" s="431"/>
      <c r="B843" s="431"/>
    </row>
    <row r="844">
      <c r="A844" s="431"/>
      <c r="B844" s="431"/>
    </row>
    <row r="845">
      <c r="A845" s="431"/>
      <c r="B845" s="431"/>
    </row>
    <row r="846">
      <c r="A846" s="431"/>
      <c r="B846" s="431"/>
    </row>
    <row r="847">
      <c r="A847" s="431"/>
      <c r="B847" s="431"/>
    </row>
    <row r="848">
      <c r="A848" s="431"/>
      <c r="B848" s="431"/>
    </row>
    <row r="849">
      <c r="A849" s="431"/>
      <c r="B849" s="431"/>
    </row>
    <row r="850">
      <c r="A850" s="431"/>
      <c r="B850" s="431"/>
    </row>
    <row r="851">
      <c r="A851" s="431"/>
      <c r="B851" s="431"/>
    </row>
    <row r="852">
      <c r="A852" s="431"/>
      <c r="B852" s="431"/>
    </row>
    <row r="853">
      <c r="A853" s="431"/>
      <c r="B853" s="431"/>
    </row>
    <row r="854">
      <c r="A854" s="431"/>
      <c r="B854" s="431"/>
    </row>
    <row r="855">
      <c r="A855" s="431"/>
      <c r="B855" s="431"/>
    </row>
    <row r="856">
      <c r="A856" s="431"/>
      <c r="B856" s="431"/>
    </row>
    <row r="857">
      <c r="A857" s="431"/>
      <c r="B857" s="431"/>
    </row>
    <row r="858">
      <c r="A858" s="431"/>
      <c r="B858" s="431"/>
    </row>
    <row r="859">
      <c r="A859" s="431"/>
      <c r="B859" s="431"/>
    </row>
    <row r="860">
      <c r="A860" s="431"/>
      <c r="B860" s="431"/>
    </row>
    <row r="861">
      <c r="A861" s="431"/>
      <c r="B861" s="431"/>
    </row>
    <row r="862">
      <c r="A862" s="431"/>
      <c r="B862" s="431"/>
    </row>
    <row r="863">
      <c r="A863" s="431"/>
      <c r="B863" s="431"/>
    </row>
    <row r="864">
      <c r="A864" s="431"/>
      <c r="B864" s="431"/>
    </row>
    <row r="865">
      <c r="A865" s="431"/>
      <c r="B865" s="431"/>
    </row>
    <row r="866">
      <c r="A866" s="431"/>
      <c r="B866" s="431"/>
    </row>
    <row r="867">
      <c r="A867" s="431"/>
      <c r="B867" s="431"/>
    </row>
    <row r="868">
      <c r="A868" s="431"/>
      <c r="B868" s="431"/>
    </row>
    <row r="869">
      <c r="A869" s="431"/>
      <c r="B869" s="431"/>
    </row>
    <row r="870">
      <c r="A870" s="431"/>
      <c r="B870" s="431"/>
    </row>
    <row r="871">
      <c r="A871" s="431"/>
      <c r="B871" s="431"/>
    </row>
    <row r="872">
      <c r="A872" s="431"/>
      <c r="B872" s="431"/>
    </row>
    <row r="873">
      <c r="A873" s="431"/>
      <c r="B873" s="431"/>
    </row>
    <row r="874">
      <c r="A874" s="431"/>
      <c r="B874" s="431"/>
    </row>
    <row r="875">
      <c r="A875" s="431"/>
      <c r="B875" s="431"/>
    </row>
    <row r="876">
      <c r="A876" s="431"/>
      <c r="B876" s="431"/>
    </row>
    <row r="877">
      <c r="A877" s="431"/>
      <c r="B877" s="431"/>
    </row>
    <row r="878">
      <c r="A878" s="431"/>
      <c r="B878" s="431"/>
    </row>
    <row r="879">
      <c r="A879" s="431"/>
      <c r="B879" s="431"/>
    </row>
    <row r="880">
      <c r="A880" s="431"/>
      <c r="B880" s="431"/>
    </row>
    <row r="881">
      <c r="A881" s="431"/>
      <c r="B881" s="431"/>
    </row>
    <row r="882">
      <c r="A882" s="431"/>
      <c r="B882" s="431"/>
    </row>
    <row r="883">
      <c r="A883" s="431"/>
      <c r="B883" s="431"/>
    </row>
    <row r="884">
      <c r="A884" s="431"/>
      <c r="B884" s="431"/>
    </row>
    <row r="885">
      <c r="A885" s="431"/>
      <c r="B885" s="431"/>
    </row>
    <row r="886">
      <c r="A886" s="431"/>
      <c r="B886" s="431"/>
    </row>
    <row r="887">
      <c r="A887" s="431"/>
      <c r="B887" s="431"/>
    </row>
    <row r="888">
      <c r="A888" s="431"/>
      <c r="B888" s="431"/>
    </row>
    <row r="889">
      <c r="A889" s="431"/>
      <c r="B889" s="431"/>
    </row>
    <row r="890">
      <c r="A890" s="431"/>
      <c r="B890" s="431"/>
    </row>
    <row r="891">
      <c r="A891" s="431"/>
      <c r="B891" s="431"/>
    </row>
    <row r="892">
      <c r="A892" s="431"/>
      <c r="B892" s="431"/>
    </row>
    <row r="893">
      <c r="A893" s="431"/>
      <c r="B893" s="431"/>
    </row>
    <row r="894">
      <c r="A894" s="431"/>
      <c r="B894" s="431"/>
    </row>
    <row r="895">
      <c r="A895" s="431"/>
      <c r="B895" s="431"/>
    </row>
    <row r="896">
      <c r="A896" s="431"/>
      <c r="B896" s="431"/>
    </row>
    <row r="897">
      <c r="A897" s="431"/>
      <c r="B897" s="431"/>
    </row>
    <row r="898">
      <c r="A898" s="431"/>
      <c r="B898" s="431"/>
    </row>
    <row r="899">
      <c r="A899" s="431"/>
      <c r="B899" s="431"/>
    </row>
    <row r="900">
      <c r="A900" s="431"/>
      <c r="B900" s="431"/>
    </row>
    <row r="901">
      <c r="A901" s="431"/>
      <c r="B901" s="431"/>
    </row>
    <row r="902">
      <c r="A902" s="431"/>
      <c r="B902" s="431"/>
    </row>
    <row r="903">
      <c r="A903" s="431"/>
      <c r="B903" s="431"/>
    </row>
    <row r="904">
      <c r="A904" s="431"/>
      <c r="B904" s="431"/>
    </row>
    <row r="905">
      <c r="A905" s="431"/>
      <c r="B905" s="431"/>
    </row>
    <row r="906">
      <c r="A906" s="431"/>
      <c r="B906" s="431"/>
    </row>
    <row r="907">
      <c r="A907" s="431"/>
      <c r="B907" s="431"/>
    </row>
    <row r="908">
      <c r="A908" s="431"/>
      <c r="B908" s="431"/>
    </row>
    <row r="909">
      <c r="A909" s="431"/>
      <c r="B909" s="431"/>
    </row>
    <row r="910">
      <c r="A910" s="431"/>
      <c r="B910" s="431"/>
    </row>
    <row r="911">
      <c r="A911" s="431"/>
      <c r="B911" s="431"/>
    </row>
    <row r="912">
      <c r="A912" s="431"/>
      <c r="B912" s="431"/>
    </row>
    <row r="913">
      <c r="A913" s="431"/>
      <c r="B913" s="431"/>
    </row>
    <row r="914">
      <c r="A914" s="431"/>
      <c r="B914" s="431"/>
    </row>
    <row r="915">
      <c r="A915" s="431"/>
      <c r="B915" s="431"/>
    </row>
    <row r="916">
      <c r="A916" s="431"/>
      <c r="B916" s="431"/>
    </row>
    <row r="917">
      <c r="A917" s="431"/>
      <c r="B917" s="431"/>
    </row>
    <row r="918">
      <c r="A918" s="431"/>
      <c r="B918" s="431"/>
    </row>
    <row r="919">
      <c r="A919" s="431"/>
      <c r="B919" s="431"/>
    </row>
    <row r="920">
      <c r="A920" s="431"/>
      <c r="B920" s="431"/>
    </row>
    <row r="921">
      <c r="A921" s="431"/>
      <c r="B921" s="431"/>
    </row>
    <row r="922">
      <c r="A922" s="431"/>
      <c r="B922" s="431"/>
    </row>
    <row r="923">
      <c r="A923" s="431"/>
      <c r="B923" s="431"/>
    </row>
    <row r="924">
      <c r="A924" s="431"/>
      <c r="B924" s="431"/>
    </row>
    <row r="925">
      <c r="A925" s="431"/>
      <c r="B925" s="431"/>
    </row>
    <row r="926">
      <c r="A926" s="431"/>
      <c r="B926" s="431"/>
    </row>
    <row r="927">
      <c r="A927" s="431"/>
      <c r="B927" s="431"/>
    </row>
    <row r="928">
      <c r="A928" s="431"/>
      <c r="B928" s="431"/>
    </row>
    <row r="929">
      <c r="A929" s="431"/>
      <c r="B929" s="431"/>
    </row>
    <row r="930">
      <c r="A930" s="431"/>
      <c r="B930" s="431"/>
    </row>
    <row r="931">
      <c r="A931" s="431"/>
      <c r="B931" s="431"/>
    </row>
    <row r="932">
      <c r="A932" s="431"/>
      <c r="B932" s="431"/>
    </row>
    <row r="933">
      <c r="A933" s="431"/>
      <c r="B933" s="431"/>
    </row>
    <row r="934">
      <c r="A934" s="431"/>
      <c r="B934" s="431"/>
    </row>
    <row r="935">
      <c r="A935" s="431"/>
      <c r="B935" s="431"/>
    </row>
    <row r="936">
      <c r="A936" s="431"/>
      <c r="B936" s="431"/>
    </row>
    <row r="937">
      <c r="A937" s="431"/>
      <c r="B937" s="431"/>
    </row>
    <row r="938">
      <c r="A938" s="431"/>
      <c r="B938" s="431"/>
    </row>
    <row r="939">
      <c r="A939" s="431"/>
      <c r="B939" s="431"/>
    </row>
    <row r="940">
      <c r="A940" s="431"/>
      <c r="B940" s="431"/>
    </row>
    <row r="941">
      <c r="A941" s="431"/>
      <c r="B941" s="431"/>
    </row>
    <row r="942">
      <c r="A942" s="431"/>
      <c r="B942" s="431"/>
    </row>
    <row r="943">
      <c r="A943" s="431"/>
      <c r="B943" s="431"/>
    </row>
    <row r="944">
      <c r="A944" s="431"/>
      <c r="B944" s="431"/>
    </row>
    <row r="945">
      <c r="A945" s="431"/>
      <c r="B945" s="431"/>
    </row>
    <row r="946">
      <c r="A946" s="431"/>
      <c r="B946" s="431"/>
    </row>
    <row r="947">
      <c r="A947" s="431"/>
      <c r="B947" s="431"/>
    </row>
    <row r="948">
      <c r="A948" s="431"/>
      <c r="B948" s="431"/>
    </row>
    <row r="949">
      <c r="A949" s="431"/>
      <c r="B949" s="431"/>
    </row>
    <row r="950">
      <c r="A950" s="431"/>
      <c r="B950" s="431"/>
    </row>
    <row r="951">
      <c r="A951" s="431"/>
      <c r="B951" s="431"/>
    </row>
    <row r="952">
      <c r="A952" s="431"/>
      <c r="B952" s="431"/>
    </row>
    <row r="953">
      <c r="A953" s="431"/>
      <c r="B953" s="431"/>
    </row>
    <row r="954">
      <c r="A954" s="431"/>
      <c r="B954" s="431"/>
    </row>
    <row r="955">
      <c r="A955" s="431"/>
      <c r="B955" s="431"/>
    </row>
    <row r="956">
      <c r="A956" s="431"/>
      <c r="B956" s="431"/>
    </row>
    <row r="957">
      <c r="A957" s="431"/>
      <c r="B957" s="431"/>
    </row>
    <row r="958">
      <c r="A958" s="431"/>
      <c r="B958" s="431"/>
    </row>
    <row r="959">
      <c r="A959" s="431"/>
      <c r="B959" s="431"/>
    </row>
    <row r="960">
      <c r="A960" s="431"/>
      <c r="B960" s="431"/>
    </row>
    <row r="961">
      <c r="A961" s="431"/>
      <c r="B961" s="431"/>
    </row>
    <row r="962">
      <c r="A962" s="431"/>
      <c r="B962" s="431"/>
    </row>
    <row r="963">
      <c r="A963" s="431"/>
      <c r="B963" s="431"/>
    </row>
    <row r="964">
      <c r="A964" s="431"/>
      <c r="B964" s="431"/>
    </row>
    <row r="965">
      <c r="A965" s="431"/>
      <c r="B965" s="431"/>
    </row>
    <row r="966">
      <c r="A966" s="431"/>
      <c r="B966" s="431"/>
    </row>
    <row r="967">
      <c r="A967" s="431"/>
      <c r="B967" s="431"/>
    </row>
    <row r="968">
      <c r="A968" s="431"/>
      <c r="B968" s="431"/>
    </row>
    <row r="969">
      <c r="A969" s="431"/>
      <c r="B969" s="431"/>
    </row>
    <row r="970">
      <c r="A970" s="431"/>
      <c r="B970" s="431"/>
    </row>
    <row r="971">
      <c r="A971" s="431"/>
      <c r="B971" s="431"/>
    </row>
    <row r="972">
      <c r="A972" s="431"/>
      <c r="B972" s="431"/>
    </row>
    <row r="973">
      <c r="A973" s="431"/>
      <c r="B973" s="431"/>
    </row>
    <row r="974">
      <c r="A974" s="431"/>
      <c r="B974" s="431"/>
    </row>
    <row r="975">
      <c r="A975" s="431"/>
      <c r="B975" s="431"/>
    </row>
    <row r="976">
      <c r="A976" s="431"/>
      <c r="B976" s="431"/>
    </row>
    <row r="977">
      <c r="A977" s="431"/>
      <c r="B977" s="431"/>
    </row>
    <row r="978">
      <c r="A978" s="431"/>
      <c r="B978" s="431"/>
    </row>
    <row r="979">
      <c r="A979" s="431"/>
      <c r="B979" s="431"/>
    </row>
    <row r="980">
      <c r="A980" s="431"/>
      <c r="B980" s="431"/>
    </row>
    <row r="981">
      <c r="A981" s="431"/>
      <c r="B981" s="431"/>
    </row>
    <row r="982">
      <c r="A982" s="431"/>
      <c r="B982" s="431"/>
    </row>
    <row r="983">
      <c r="A983" s="431"/>
      <c r="B983" s="431"/>
    </row>
    <row r="984">
      <c r="A984" s="431"/>
      <c r="B984" s="431"/>
    </row>
    <row r="985">
      <c r="A985" s="431"/>
      <c r="B985" s="431"/>
    </row>
    <row r="986">
      <c r="A986" s="431"/>
      <c r="B986" s="431"/>
    </row>
    <row r="987">
      <c r="A987" s="431"/>
      <c r="B987" s="431"/>
    </row>
    <row r="988">
      <c r="A988" s="431"/>
      <c r="B988" s="431"/>
    </row>
    <row r="989">
      <c r="A989" s="431"/>
      <c r="B989" s="431"/>
    </row>
    <row r="990">
      <c r="A990" s="431"/>
      <c r="B990" s="431"/>
    </row>
    <row r="991">
      <c r="A991" s="431"/>
      <c r="B991" s="431"/>
    </row>
    <row r="992">
      <c r="A992" s="431"/>
      <c r="B992" s="431"/>
    </row>
    <row r="993">
      <c r="A993" s="431"/>
      <c r="B993" s="431"/>
    </row>
    <row r="994">
      <c r="A994" s="431"/>
      <c r="B994" s="431"/>
    </row>
    <row r="995">
      <c r="A995" s="431"/>
      <c r="B995" s="431"/>
    </row>
    <row r="996">
      <c r="A996" s="431"/>
      <c r="B996" s="431"/>
    </row>
    <row r="997">
      <c r="A997" s="431"/>
      <c r="B997" s="431"/>
    </row>
    <row r="998">
      <c r="A998" s="431"/>
      <c r="B998" s="431"/>
    </row>
    <row r="999">
      <c r="A999" s="431"/>
      <c r="B999" s="431"/>
    </row>
    <row r="1000">
      <c r="A1000" s="431"/>
      <c r="B1000" s="431"/>
    </row>
    <row r="1001">
      <c r="A1001" s="431"/>
      <c r="B1001" s="431"/>
    </row>
    <row r="1002">
      <c r="A1002" s="431"/>
      <c r="B1002" s="431"/>
    </row>
    <row r="1003">
      <c r="A1003" s="431"/>
      <c r="B1003" s="431"/>
    </row>
    <row r="1004">
      <c r="A1004" s="431"/>
      <c r="B1004" s="431"/>
    </row>
    <row r="1005">
      <c r="A1005" s="431"/>
      <c r="B1005" s="431"/>
    </row>
    <row r="1006">
      <c r="A1006" s="431"/>
      <c r="B1006" s="431"/>
    </row>
    <row r="1007">
      <c r="A1007" s="431"/>
      <c r="B1007" s="431"/>
    </row>
    <row r="1008">
      <c r="A1008" s="431"/>
      <c r="B1008" s="431"/>
    </row>
  </sheetData>
  <conditionalFormatting sqref="AG57">
    <cfRule type="containsText" dxfId="0" priority="1" operator="containsText" text="Áno">
      <formula>NOT(ISERROR(SEARCH(("Áno"),(AG57))))</formula>
    </cfRule>
  </conditionalFormatting>
  <conditionalFormatting sqref="AC57">
    <cfRule type="containsText" dxfId="5" priority="2" operator="containsText" text="Áno">
      <formula>NOT(ISERROR(SEARCH(("Áno"),(AC57))))</formula>
    </cfRule>
  </conditionalFormatting>
  <conditionalFormatting sqref="AK57">
    <cfRule type="containsText" dxfId="1" priority="3" operator="containsText" text="áno">
      <formula>NOT(ISERROR(SEARCH(("áno"),(AK57))))</formula>
    </cfRule>
  </conditionalFormatting>
  <conditionalFormatting sqref="AJ57">
    <cfRule type="containsText" dxfId="2" priority="4" operator="containsText" text="ÁNO">
      <formula>NOT(ISERROR(SEARCH(("ÁNO"),(AJ57))))</formula>
    </cfRule>
  </conditionalFormatting>
  <conditionalFormatting sqref="AQ57">
    <cfRule type="notContainsBlanks" dxfId="3" priority="5">
      <formula>LEN(TRIM(AQ57))&gt;0</formula>
    </cfRule>
  </conditionalFormatting>
  <conditionalFormatting sqref="AO57:AP57">
    <cfRule type="notContainsBlanks" dxfId="4" priority="6">
      <formula>LEN(TRIM(AO57))&gt;0</formula>
    </cfRule>
  </conditionalFormatting>
  <conditionalFormatting sqref="AC56">
    <cfRule type="containsText" dxfId="5" priority="7" operator="containsText" text="Áno">
      <formula>NOT(ISERROR(SEARCH(("Áno"),(AC56))))</formula>
    </cfRule>
  </conditionalFormatting>
  <conditionalFormatting sqref="AO56:AP56">
    <cfRule type="notContainsBlanks" dxfId="4" priority="8">
      <formula>LEN(TRIM(AO56))&gt;0</formula>
    </cfRule>
  </conditionalFormatting>
  <conditionalFormatting sqref="AQ56">
    <cfRule type="notContainsBlanks" dxfId="3" priority="9">
      <formula>LEN(TRIM(AQ56))&gt;0</formula>
    </cfRule>
  </conditionalFormatting>
  <conditionalFormatting sqref="AJ56">
    <cfRule type="containsText" dxfId="2" priority="10" operator="containsText" text="ÁNO">
      <formula>NOT(ISERROR(SEARCH(("ÁNO"),(AJ56))))</formula>
    </cfRule>
  </conditionalFormatting>
  <conditionalFormatting sqref="AC55">
    <cfRule type="containsText" dxfId="5" priority="11" operator="containsText" text="Áno">
      <formula>NOT(ISERROR(SEARCH(("Áno"),(AC55))))</formula>
    </cfRule>
  </conditionalFormatting>
  <conditionalFormatting sqref="AO55:AP55">
    <cfRule type="notContainsBlanks" dxfId="4" priority="12">
      <formula>LEN(TRIM(AO55))&gt;0</formula>
    </cfRule>
  </conditionalFormatting>
  <conditionalFormatting sqref="AQ55">
    <cfRule type="notContainsBlanks" dxfId="3" priority="13">
      <formula>LEN(TRIM(AQ55))&gt;0</formula>
    </cfRule>
  </conditionalFormatting>
  <conditionalFormatting sqref="AC51">
    <cfRule type="containsText" dxfId="5" priority="14" operator="containsText" text="Áno">
      <formula>NOT(ISERROR(SEARCH(("Áno"),(AC51))))</formula>
    </cfRule>
  </conditionalFormatting>
  <conditionalFormatting sqref="AG51">
    <cfRule type="containsText" dxfId="0" priority="15" operator="containsText" text="Áno">
      <formula>NOT(ISERROR(SEARCH(("Áno"),(AG51))))</formula>
    </cfRule>
  </conditionalFormatting>
  <conditionalFormatting sqref="AO51:AP51">
    <cfRule type="notContainsBlanks" dxfId="4" priority="16">
      <formula>LEN(TRIM(AO51))&gt;0</formula>
    </cfRule>
  </conditionalFormatting>
  <conditionalFormatting sqref="AQ51">
    <cfRule type="notContainsBlanks" dxfId="3" priority="17">
      <formula>LEN(TRIM(AQ51))&gt;0</formula>
    </cfRule>
  </conditionalFormatting>
  <conditionalFormatting sqref="AJ51">
    <cfRule type="containsText" dxfId="2" priority="18" operator="containsText" text="ÁNO">
      <formula>NOT(ISERROR(SEARCH(("ÁNO"),(AJ51))))</formula>
    </cfRule>
  </conditionalFormatting>
  <conditionalFormatting sqref="AK51">
    <cfRule type="containsText" dxfId="1" priority="19" operator="containsText" text="áno">
      <formula>NOT(ISERROR(SEARCH(("áno"),(AK51))))</formula>
    </cfRule>
  </conditionalFormatting>
  <conditionalFormatting sqref="AC49:AC50">
    <cfRule type="containsText" dxfId="5" priority="20" operator="containsText" text="Áno">
      <formula>NOT(ISERROR(SEARCH(("Áno"),(AC49))))</formula>
    </cfRule>
  </conditionalFormatting>
  <conditionalFormatting sqref="AG49:AG50">
    <cfRule type="containsText" dxfId="0" priority="21" operator="containsText" text="Áno">
      <formula>NOT(ISERROR(SEARCH(("Áno"),(AG49))))</formula>
    </cfRule>
  </conditionalFormatting>
  <conditionalFormatting sqref="AO49:AP50">
    <cfRule type="notContainsBlanks" dxfId="4" priority="22">
      <formula>LEN(TRIM(AO49))&gt;0</formula>
    </cfRule>
  </conditionalFormatting>
  <conditionalFormatting sqref="AQ49:AQ50">
    <cfRule type="notContainsBlanks" dxfId="3" priority="23">
      <formula>LEN(TRIM(AQ49))&gt;0</formula>
    </cfRule>
  </conditionalFormatting>
  <conditionalFormatting sqref="AJ49:AJ50">
    <cfRule type="containsText" dxfId="2" priority="24" operator="containsText" text="ÁNO">
      <formula>NOT(ISERROR(SEARCH(("ÁNO"),(AJ49))))</formula>
    </cfRule>
  </conditionalFormatting>
  <conditionalFormatting sqref="AK49:AK50">
    <cfRule type="containsText" dxfId="1" priority="25" operator="containsText" text="áno">
      <formula>NOT(ISERROR(SEARCH(("áno"),(AK49))))</formula>
    </cfRule>
  </conditionalFormatting>
  <conditionalFormatting sqref="AC48">
    <cfRule type="containsText" dxfId="5" priority="26" operator="containsText" text="Áno">
      <formula>NOT(ISERROR(SEARCH(("Áno"),(AC48))))</formula>
    </cfRule>
  </conditionalFormatting>
  <conditionalFormatting sqref="AG48">
    <cfRule type="containsText" dxfId="0" priority="27" operator="containsText" text="Áno">
      <formula>NOT(ISERROR(SEARCH(("Áno"),(AG48))))</formula>
    </cfRule>
  </conditionalFormatting>
  <conditionalFormatting sqref="AO48:AP48">
    <cfRule type="notContainsBlanks" dxfId="4" priority="28">
      <formula>LEN(TRIM(AO48))&gt;0</formula>
    </cfRule>
  </conditionalFormatting>
  <conditionalFormatting sqref="AQ48">
    <cfRule type="notContainsBlanks" dxfId="3" priority="29">
      <formula>LEN(TRIM(AQ48))&gt;0</formula>
    </cfRule>
  </conditionalFormatting>
  <conditionalFormatting sqref="AJ48">
    <cfRule type="containsText" dxfId="2" priority="30" operator="containsText" text="ÁNO">
      <formula>NOT(ISERROR(SEARCH(("ÁNO"),(AJ48))))</formula>
    </cfRule>
  </conditionalFormatting>
  <conditionalFormatting sqref="AK48">
    <cfRule type="containsText" dxfId="1" priority="31" operator="containsText" text="áno">
      <formula>NOT(ISERROR(SEARCH(("áno"),(AK48))))</formula>
    </cfRule>
  </conditionalFormatting>
  <conditionalFormatting sqref="AC47">
    <cfRule type="containsText" dxfId="5" priority="32" operator="containsText" text="Áno">
      <formula>NOT(ISERROR(SEARCH(("Áno"),(AC47))))</formula>
    </cfRule>
  </conditionalFormatting>
  <conditionalFormatting sqref="AG47">
    <cfRule type="containsText" dxfId="0" priority="33" operator="containsText" text="Áno">
      <formula>NOT(ISERROR(SEARCH(("Áno"),(AG47))))</formula>
    </cfRule>
  </conditionalFormatting>
  <conditionalFormatting sqref="AO47:AP47">
    <cfRule type="notContainsBlanks" dxfId="4" priority="34">
      <formula>LEN(TRIM(AO47))&gt;0</formula>
    </cfRule>
  </conditionalFormatting>
  <conditionalFormatting sqref="AQ47">
    <cfRule type="notContainsBlanks" dxfId="3" priority="35">
      <formula>LEN(TRIM(AQ47))&gt;0</formula>
    </cfRule>
  </conditionalFormatting>
  <conditionalFormatting sqref="AJ47">
    <cfRule type="containsText" dxfId="2" priority="36" operator="containsText" text="ÁNO">
      <formula>NOT(ISERROR(SEARCH(("ÁNO"),(AJ47))))</formula>
    </cfRule>
  </conditionalFormatting>
  <conditionalFormatting sqref="AK47">
    <cfRule type="containsText" dxfId="1" priority="37" operator="containsText" text="áno">
      <formula>NOT(ISERROR(SEARCH(("áno"),(AK47))))</formula>
    </cfRule>
  </conditionalFormatting>
  <conditionalFormatting sqref="AC46">
    <cfRule type="containsText" dxfId="5" priority="38" operator="containsText" text="Áno">
      <formula>NOT(ISERROR(SEARCH(("Áno"),(AC46))))</formula>
    </cfRule>
  </conditionalFormatting>
  <conditionalFormatting sqref="AG46">
    <cfRule type="containsText" dxfId="0" priority="39" operator="containsText" text="Áno">
      <formula>NOT(ISERROR(SEARCH(("Áno"),(AG46))))</formula>
    </cfRule>
  </conditionalFormatting>
  <conditionalFormatting sqref="AO46:AP46">
    <cfRule type="notContainsBlanks" dxfId="4" priority="40">
      <formula>LEN(TRIM(AO46))&gt;0</formula>
    </cfRule>
  </conditionalFormatting>
  <conditionalFormatting sqref="AQ46">
    <cfRule type="notContainsBlanks" dxfId="3" priority="41">
      <formula>LEN(TRIM(AQ46))&gt;0</formula>
    </cfRule>
  </conditionalFormatting>
  <conditionalFormatting sqref="AJ46">
    <cfRule type="containsText" dxfId="2" priority="42" operator="containsText" text="ÁNO">
      <formula>NOT(ISERROR(SEARCH(("ÁNO"),(AJ46))))</formula>
    </cfRule>
  </conditionalFormatting>
  <conditionalFormatting sqref="AK46">
    <cfRule type="containsText" dxfId="1" priority="43" operator="containsText" text="áno">
      <formula>NOT(ISERROR(SEARCH(("áno"),(AK46))))</formula>
    </cfRule>
  </conditionalFormatting>
  <conditionalFormatting sqref="AC45">
    <cfRule type="containsText" dxfId="5" priority="44" operator="containsText" text="Áno">
      <formula>NOT(ISERROR(SEARCH(("Áno"),(AC45))))</formula>
    </cfRule>
  </conditionalFormatting>
  <conditionalFormatting sqref="AG45">
    <cfRule type="containsText" dxfId="0" priority="45" operator="containsText" text="Áno">
      <formula>NOT(ISERROR(SEARCH(("Áno"),(AG45))))</formula>
    </cfRule>
  </conditionalFormatting>
  <conditionalFormatting sqref="AO45:AP45">
    <cfRule type="notContainsBlanks" dxfId="4" priority="46">
      <formula>LEN(TRIM(AO45))&gt;0</formula>
    </cfRule>
  </conditionalFormatting>
  <conditionalFormatting sqref="AQ45">
    <cfRule type="notContainsBlanks" dxfId="3" priority="47">
      <formula>LEN(TRIM(AQ45))&gt;0</formula>
    </cfRule>
  </conditionalFormatting>
  <conditionalFormatting sqref="AJ45">
    <cfRule type="containsText" dxfId="2" priority="48" operator="containsText" text="ÁNO">
      <formula>NOT(ISERROR(SEARCH(("ÁNO"),(AJ45))))</formula>
    </cfRule>
  </conditionalFormatting>
  <conditionalFormatting sqref="AK45">
    <cfRule type="containsText" dxfId="1" priority="49" operator="containsText" text="áno">
      <formula>NOT(ISERROR(SEARCH(("áno"),(AK45))))</formula>
    </cfRule>
  </conditionalFormatting>
  <conditionalFormatting sqref="AC44">
    <cfRule type="containsText" dxfId="5" priority="50" operator="containsText" text="Áno">
      <formula>NOT(ISERROR(SEARCH(("Áno"),(AC44))))</formula>
    </cfRule>
  </conditionalFormatting>
  <conditionalFormatting sqref="AO44:AP44">
    <cfRule type="notContainsBlanks" dxfId="4" priority="51">
      <formula>LEN(TRIM(AO44))&gt;0</formula>
    </cfRule>
  </conditionalFormatting>
  <conditionalFormatting sqref="AQ44">
    <cfRule type="notContainsBlanks" dxfId="3" priority="52">
      <formula>LEN(TRIM(AQ44))&gt;0</formula>
    </cfRule>
  </conditionalFormatting>
  <conditionalFormatting sqref="AK44">
    <cfRule type="containsText" dxfId="1" priority="53" operator="containsText" text="áno">
      <formula>NOT(ISERROR(SEARCH(("áno"),(AK44))))</formula>
    </cfRule>
  </conditionalFormatting>
  <conditionalFormatting sqref="AJ44">
    <cfRule type="containsText" dxfId="2" priority="54" operator="containsText" text="ÁNO">
      <formula>NOT(ISERROR(SEARCH(("ÁNO"),(AJ44))))</formula>
    </cfRule>
  </conditionalFormatting>
  <conditionalFormatting sqref="AC43">
    <cfRule type="containsText" dxfId="5" priority="55" operator="containsText" text="Áno">
      <formula>NOT(ISERROR(SEARCH(("Áno"),(AC43))))</formula>
    </cfRule>
  </conditionalFormatting>
  <conditionalFormatting sqref="AO43:AP43">
    <cfRule type="notContainsBlanks" dxfId="4" priority="56">
      <formula>LEN(TRIM(AO43))&gt;0</formula>
    </cfRule>
  </conditionalFormatting>
  <conditionalFormatting sqref="AQ43">
    <cfRule type="notContainsBlanks" dxfId="3" priority="57">
      <formula>LEN(TRIM(AQ43))&gt;0</formula>
    </cfRule>
  </conditionalFormatting>
  <conditionalFormatting sqref="AJ43">
    <cfRule type="containsText" dxfId="2" priority="58" operator="containsText" text="ÁNO">
      <formula>NOT(ISERROR(SEARCH(("ÁNO"),(AJ43))))</formula>
    </cfRule>
  </conditionalFormatting>
  <conditionalFormatting sqref="AK43">
    <cfRule type="containsText" dxfId="1" priority="59" operator="containsText" text="áno">
      <formula>NOT(ISERROR(SEARCH(("áno"),(AK43))))</formula>
    </cfRule>
  </conditionalFormatting>
  <conditionalFormatting sqref="AO41:AP42">
    <cfRule type="notContainsBlanks" dxfId="4" priority="60">
      <formula>LEN(TRIM(AO41))&gt;0</formula>
    </cfRule>
  </conditionalFormatting>
  <conditionalFormatting sqref="AQ41:AQ42">
    <cfRule type="notContainsBlanks" dxfId="3" priority="61">
      <formula>LEN(TRIM(AQ41))&gt;0</formula>
    </cfRule>
  </conditionalFormatting>
  <conditionalFormatting sqref="AJ41:AJ42">
    <cfRule type="containsText" dxfId="2" priority="62" operator="containsText" text="ÁNO">
      <formula>NOT(ISERROR(SEARCH(("ÁNO"),(AJ41))))</formula>
    </cfRule>
  </conditionalFormatting>
  <conditionalFormatting sqref="AC41:AC42">
    <cfRule type="containsText" dxfId="5" priority="63" operator="containsText" text="Áno">
      <formula>NOT(ISERROR(SEARCH(("Áno"),(AC41))))</formula>
    </cfRule>
  </conditionalFormatting>
  <conditionalFormatting sqref="AC40">
    <cfRule type="containsText" dxfId="5" priority="64" operator="containsText" text="Áno">
      <formula>NOT(ISERROR(SEARCH(("Áno"),(AC40))))</formula>
    </cfRule>
  </conditionalFormatting>
  <conditionalFormatting sqref="AO40:AP40">
    <cfRule type="notContainsBlanks" dxfId="4" priority="65">
      <formula>LEN(TRIM(AO40))&gt;0</formula>
    </cfRule>
  </conditionalFormatting>
  <conditionalFormatting sqref="AQ40">
    <cfRule type="notContainsBlanks" dxfId="3" priority="66">
      <formula>LEN(TRIM(AQ40))&gt;0</formula>
    </cfRule>
  </conditionalFormatting>
  <conditionalFormatting sqref="AJ40">
    <cfRule type="containsText" dxfId="2" priority="67" operator="containsText" text="ÁNO">
      <formula>NOT(ISERROR(SEARCH(("ÁNO"),(AJ40))))</formula>
    </cfRule>
  </conditionalFormatting>
  <conditionalFormatting sqref="AO39:AP39">
    <cfRule type="notContainsBlanks" dxfId="4" priority="68">
      <formula>LEN(TRIM(AO39))&gt;0</formula>
    </cfRule>
  </conditionalFormatting>
  <conditionalFormatting sqref="AQ39">
    <cfRule type="notContainsBlanks" dxfId="3" priority="69">
      <formula>LEN(TRIM(AQ39))&gt;0</formula>
    </cfRule>
  </conditionalFormatting>
  <conditionalFormatting sqref="AJ39">
    <cfRule type="containsText" dxfId="2" priority="70" operator="containsText" text="ÁNO">
      <formula>NOT(ISERROR(SEARCH(("ÁNO"),(AJ39))))</formula>
    </cfRule>
  </conditionalFormatting>
  <conditionalFormatting sqref="AC39">
    <cfRule type="containsText" dxfId="5" priority="71" operator="containsText" text="Áno">
      <formula>NOT(ISERROR(SEARCH(("Áno"),(AC39))))</formula>
    </cfRule>
  </conditionalFormatting>
  <conditionalFormatting sqref="AC38">
    <cfRule type="containsText" dxfId="5" priority="72" operator="containsText" text="Áno">
      <formula>NOT(ISERROR(SEARCH(("Áno"),(AC38))))</formula>
    </cfRule>
  </conditionalFormatting>
  <conditionalFormatting sqref="AJ38">
    <cfRule type="containsText" dxfId="2" priority="73" operator="containsText" text="ÁNO">
      <formula>NOT(ISERROR(SEARCH(("ÁNO"),(AJ38))))</formula>
    </cfRule>
  </conditionalFormatting>
  <conditionalFormatting sqref="AQ38">
    <cfRule type="notContainsBlanks" dxfId="3" priority="74">
      <formula>LEN(TRIM(AQ38))&gt;0</formula>
    </cfRule>
  </conditionalFormatting>
  <conditionalFormatting sqref="AO38:AP38">
    <cfRule type="notContainsBlanks" dxfId="4" priority="75">
      <formula>LEN(TRIM(AO38))&gt;0</formula>
    </cfRule>
  </conditionalFormatting>
  <conditionalFormatting sqref="AC35">
    <cfRule type="containsText" dxfId="5" priority="76" operator="containsText" text="Áno">
      <formula>NOT(ISERROR(SEARCH(("Áno"),(AC35))))</formula>
    </cfRule>
  </conditionalFormatting>
  <conditionalFormatting sqref="AJ35">
    <cfRule type="containsText" dxfId="2" priority="77" operator="containsText" text="ÁNO">
      <formula>NOT(ISERROR(SEARCH(("ÁNO"),(AJ35))))</formula>
    </cfRule>
  </conditionalFormatting>
  <conditionalFormatting sqref="AQ35">
    <cfRule type="notContainsBlanks" dxfId="3" priority="78">
      <formula>LEN(TRIM(AQ35))&gt;0</formula>
    </cfRule>
  </conditionalFormatting>
  <conditionalFormatting sqref="AO35:AP35">
    <cfRule type="notContainsBlanks" dxfId="4" priority="79">
      <formula>LEN(TRIM(AO35))&gt;0</formula>
    </cfRule>
  </conditionalFormatting>
  <conditionalFormatting sqref="AC25">
    <cfRule type="containsText" dxfId="5" priority="80" operator="containsText" text="Áno">
      <formula>NOT(ISERROR(SEARCH(("Áno"),(AC25))))</formula>
    </cfRule>
  </conditionalFormatting>
  <conditionalFormatting sqref="AO25:AP25">
    <cfRule type="notContainsBlanks" dxfId="4" priority="81">
      <formula>LEN(TRIM(AO25))&gt;0</formula>
    </cfRule>
  </conditionalFormatting>
  <conditionalFormatting sqref="AQ25">
    <cfRule type="notContainsBlanks" dxfId="3" priority="82">
      <formula>LEN(TRIM(AQ25))&gt;0</formula>
    </cfRule>
  </conditionalFormatting>
  <conditionalFormatting sqref="AJ25">
    <cfRule type="containsText" dxfId="2" priority="83" operator="containsText" text="ÁNO">
      <formula>NOT(ISERROR(SEARCH(("ÁNO"),(AJ25))))</formula>
    </cfRule>
  </conditionalFormatting>
  <conditionalFormatting sqref="AK25">
    <cfRule type="containsText" dxfId="1" priority="84" operator="containsText" text="áno">
      <formula>NOT(ISERROR(SEARCH(("áno"),(AK25))))</formula>
    </cfRule>
  </conditionalFormatting>
  <conditionalFormatting sqref="AG25">
    <cfRule type="containsText" dxfId="0" priority="85" operator="containsText" text="Áno">
      <formula>NOT(ISERROR(SEARCH(("Áno"),(AG25))))</formula>
    </cfRule>
  </conditionalFormatting>
  <conditionalFormatting sqref="AO24:AP24">
    <cfRule type="notContainsBlanks" dxfId="4" priority="86">
      <formula>LEN(TRIM(AO24))&gt;0</formula>
    </cfRule>
  </conditionalFormatting>
  <conditionalFormatting sqref="AQ24">
    <cfRule type="notContainsBlanks" dxfId="3" priority="87">
      <formula>LEN(TRIM(AQ24))&gt;0</formula>
    </cfRule>
  </conditionalFormatting>
  <conditionalFormatting sqref="AJ24">
    <cfRule type="containsText" dxfId="2" priority="88" operator="containsText" text="ÁNO">
      <formula>NOT(ISERROR(SEARCH(("ÁNO"),(AJ24))))</formula>
    </cfRule>
  </conditionalFormatting>
  <conditionalFormatting sqref="AC24">
    <cfRule type="containsText" dxfId="5" priority="89" operator="containsText" text="Áno">
      <formula>NOT(ISERROR(SEARCH(("Áno"),(AC24))))</formula>
    </cfRule>
  </conditionalFormatting>
  <conditionalFormatting sqref="AO23:AP23">
    <cfRule type="notContainsBlanks" dxfId="4" priority="90">
      <formula>LEN(TRIM(AO23))&gt;0</formula>
    </cfRule>
  </conditionalFormatting>
  <conditionalFormatting sqref="AQ23">
    <cfRule type="notContainsBlanks" dxfId="3" priority="91">
      <formula>LEN(TRIM(AQ23))&gt;0</formula>
    </cfRule>
  </conditionalFormatting>
  <conditionalFormatting sqref="AJ23">
    <cfRule type="containsText" dxfId="2" priority="92" operator="containsText" text="ÁNO">
      <formula>NOT(ISERROR(SEARCH(("ÁNO"),(AJ23))))</formula>
    </cfRule>
  </conditionalFormatting>
  <conditionalFormatting sqref="AC23">
    <cfRule type="containsText" dxfId="5" priority="93" operator="containsText" text="Áno">
      <formula>NOT(ISERROR(SEARCH(("Áno"),(AC23))))</formula>
    </cfRule>
  </conditionalFormatting>
  <conditionalFormatting sqref="AC22">
    <cfRule type="containsText" dxfId="5" priority="94" operator="containsText" text="Áno">
      <formula>NOT(ISERROR(SEARCH(("Áno"),(AC22))))</formula>
    </cfRule>
  </conditionalFormatting>
  <conditionalFormatting sqref="AJ22">
    <cfRule type="containsText" dxfId="2" priority="95" operator="containsText" text="ÁNO">
      <formula>NOT(ISERROR(SEARCH(("ÁNO"),(AJ22))))</formula>
    </cfRule>
  </conditionalFormatting>
  <conditionalFormatting sqref="AO22:AP22">
    <cfRule type="notContainsBlanks" dxfId="4" priority="96">
      <formula>LEN(TRIM(AO22))&gt;0</formula>
    </cfRule>
  </conditionalFormatting>
  <conditionalFormatting sqref="AQ22">
    <cfRule type="notContainsBlanks" dxfId="3" priority="97">
      <formula>LEN(TRIM(AQ22))&gt;0</formula>
    </cfRule>
  </conditionalFormatting>
  <conditionalFormatting sqref="AC21">
    <cfRule type="containsText" dxfId="5" priority="98" operator="containsText" text="Áno">
      <formula>NOT(ISERROR(SEARCH(("Áno"),(AC21))))</formula>
    </cfRule>
  </conditionalFormatting>
  <conditionalFormatting sqref="AJ21">
    <cfRule type="containsText" dxfId="2" priority="99" operator="containsText" text="ÁNO">
      <formula>NOT(ISERROR(SEARCH(("ÁNO"),(AJ21))))</formula>
    </cfRule>
  </conditionalFormatting>
  <conditionalFormatting sqref="AO21:AP21">
    <cfRule type="notContainsBlanks" dxfId="4" priority="100">
      <formula>LEN(TRIM(AO21))&gt;0</formula>
    </cfRule>
  </conditionalFormatting>
  <conditionalFormatting sqref="AQ21">
    <cfRule type="notContainsBlanks" dxfId="3" priority="101">
      <formula>LEN(TRIM(AQ21))&gt;0</formula>
    </cfRule>
  </conditionalFormatting>
  <conditionalFormatting sqref="AC20">
    <cfRule type="containsText" dxfId="5" priority="102" operator="containsText" text="Áno">
      <formula>NOT(ISERROR(SEARCH(("Áno"),(AC20))))</formula>
    </cfRule>
  </conditionalFormatting>
  <conditionalFormatting sqref="AJ20">
    <cfRule type="containsText" dxfId="2" priority="103" operator="containsText" text="ÁNO">
      <formula>NOT(ISERROR(SEARCH(("ÁNO"),(AJ20))))</formula>
    </cfRule>
  </conditionalFormatting>
  <conditionalFormatting sqref="AK20">
    <cfRule type="containsText" dxfId="1" priority="104" operator="containsText" text="áno">
      <formula>NOT(ISERROR(SEARCH(("áno"),(AK20))))</formula>
    </cfRule>
  </conditionalFormatting>
  <conditionalFormatting sqref="AG20">
    <cfRule type="containsText" dxfId="0" priority="105" operator="containsText" text="Áno">
      <formula>NOT(ISERROR(SEARCH(("Áno"),(AG20))))</formula>
    </cfRule>
  </conditionalFormatting>
  <conditionalFormatting sqref="AO20:AP20">
    <cfRule type="notContainsBlanks" dxfId="4" priority="106">
      <formula>LEN(TRIM(AO20))&gt;0</formula>
    </cfRule>
  </conditionalFormatting>
  <conditionalFormatting sqref="AQ20">
    <cfRule type="notContainsBlanks" dxfId="3" priority="107">
      <formula>LEN(TRIM(AQ20))&gt;0</formula>
    </cfRule>
  </conditionalFormatting>
  <conditionalFormatting sqref="AC19">
    <cfRule type="containsText" dxfId="5" priority="108" operator="containsText" text="Áno">
      <formula>NOT(ISERROR(SEARCH(("Áno"),(AC19))))</formula>
    </cfRule>
  </conditionalFormatting>
  <conditionalFormatting sqref="AJ19">
    <cfRule type="containsText" dxfId="2" priority="109" operator="containsText" text="ÁNO">
      <formula>NOT(ISERROR(SEARCH(("ÁNO"),(AJ19))))</formula>
    </cfRule>
  </conditionalFormatting>
  <conditionalFormatting sqref="AK19">
    <cfRule type="containsText" dxfId="1" priority="110" operator="containsText" text="áno">
      <formula>NOT(ISERROR(SEARCH(("áno"),(AK19))))</formula>
    </cfRule>
  </conditionalFormatting>
  <conditionalFormatting sqref="AG19">
    <cfRule type="containsText" dxfId="0" priority="111" operator="containsText" text="Áno">
      <formula>NOT(ISERROR(SEARCH(("Áno"),(AG19))))</formula>
    </cfRule>
  </conditionalFormatting>
  <conditionalFormatting sqref="AO19:AP19">
    <cfRule type="notContainsBlanks" dxfId="4" priority="112">
      <formula>LEN(TRIM(AO19))&gt;0</formula>
    </cfRule>
  </conditionalFormatting>
  <conditionalFormatting sqref="AQ19">
    <cfRule type="notContainsBlanks" dxfId="3" priority="113">
      <formula>LEN(TRIM(AQ19))&gt;0</formula>
    </cfRule>
  </conditionalFormatting>
  <conditionalFormatting sqref="AC18">
    <cfRule type="containsText" dxfId="5" priority="114" operator="containsText" text="Áno">
      <formula>NOT(ISERROR(SEARCH(("Áno"),(AC18))))</formula>
    </cfRule>
  </conditionalFormatting>
  <conditionalFormatting sqref="AJ18">
    <cfRule type="containsText" dxfId="2" priority="115" operator="containsText" text="ÁNO">
      <formula>NOT(ISERROR(SEARCH(("ÁNO"),(AJ18))))</formula>
    </cfRule>
  </conditionalFormatting>
  <conditionalFormatting sqref="AK18">
    <cfRule type="containsText" dxfId="1" priority="116" operator="containsText" text="áno">
      <formula>NOT(ISERROR(SEARCH(("áno"),(AK18))))</formula>
    </cfRule>
  </conditionalFormatting>
  <conditionalFormatting sqref="AG18">
    <cfRule type="containsText" dxfId="0" priority="117" operator="containsText" text="Áno">
      <formula>NOT(ISERROR(SEARCH(("Áno"),(AG18))))</formula>
    </cfRule>
  </conditionalFormatting>
  <conditionalFormatting sqref="AO18:AP18">
    <cfRule type="notContainsBlanks" dxfId="4" priority="118">
      <formula>LEN(TRIM(AO18))&gt;0</formula>
    </cfRule>
  </conditionalFormatting>
  <conditionalFormatting sqref="AQ18">
    <cfRule type="notContainsBlanks" dxfId="3" priority="119">
      <formula>LEN(TRIM(AQ18))&gt;0</formula>
    </cfRule>
  </conditionalFormatting>
  <conditionalFormatting sqref="AC17">
    <cfRule type="containsText" dxfId="5" priority="120" operator="containsText" text="Áno">
      <formula>NOT(ISERROR(SEARCH(("Áno"),(AC17))))</formula>
    </cfRule>
  </conditionalFormatting>
  <conditionalFormatting sqref="AJ17">
    <cfRule type="containsText" dxfId="2" priority="121" operator="containsText" text="ÁNO">
      <formula>NOT(ISERROR(SEARCH(("ÁNO"),(AJ17))))</formula>
    </cfRule>
  </conditionalFormatting>
  <conditionalFormatting sqref="AO17:AP17">
    <cfRule type="notContainsBlanks" dxfId="4" priority="122">
      <formula>LEN(TRIM(AO17))&gt;0</formula>
    </cfRule>
  </conditionalFormatting>
  <conditionalFormatting sqref="AQ17">
    <cfRule type="notContainsBlanks" dxfId="3" priority="123">
      <formula>LEN(TRIM(AQ17))&gt;0</formula>
    </cfRule>
  </conditionalFormatting>
  <conditionalFormatting sqref="AG16">
    <cfRule type="containsText" dxfId="0" priority="124" operator="containsText" text="Áno">
      <formula>NOT(ISERROR(SEARCH(("Áno"),(AG16))))</formula>
    </cfRule>
  </conditionalFormatting>
  <conditionalFormatting sqref="AJ16">
    <cfRule type="containsText" dxfId="2" priority="125" operator="containsText" text="ÁNO">
      <formula>NOT(ISERROR(SEARCH(("ÁNO"),(AJ16))))</formula>
    </cfRule>
  </conditionalFormatting>
  <conditionalFormatting sqref="AK16">
    <cfRule type="containsText" dxfId="1" priority="126" operator="containsText" text="áno">
      <formula>NOT(ISERROR(SEARCH(("áno"),(AK16))))</formula>
    </cfRule>
  </conditionalFormatting>
  <conditionalFormatting sqref="AC16">
    <cfRule type="containsText" dxfId="5" priority="127" operator="containsText" text="Áno">
      <formula>NOT(ISERROR(SEARCH(("Áno"),(AC16))))</formula>
    </cfRule>
  </conditionalFormatting>
  <conditionalFormatting sqref="AO16:AP16">
    <cfRule type="notContainsBlanks" dxfId="4" priority="128">
      <formula>LEN(TRIM(AO16))&gt;0</formula>
    </cfRule>
  </conditionalFormatting>
  <conditionalFormatting sqref="AQ16">
    <cfRule type="notContainsBlanks" dxfId="3" priority="129">
      <formula>LEN(TRIM(AQ16))&gt;0</formula>
    </cfRule>
  </conditionalFormatting>
  <conditionalFormatting sqref="AG6 AG9 AG32">
    <cfRule type="containsText" dxfId="0" priority="130" operator="containsText" text="Áno">
      <formula>NOT(ISERROR(SEARCH(("Áno"),(AG6))))</formula>
    </cfRule>
  </conditionalFormatting>
  <conditionalFormatting sqref="AK6:AK7 AK9 AK32">
    <cfRule type="containsText" dxfId="1" priority="131" operator="containsText" text="áno">
      <formula>NOT(ISERROR(SEARCH(("áno"),(AK6))))</formula>
    </cfRule>
  </conditionalFormatting>
  <conditionalFormatting sqref="AJ4 AJ6:AJ7 AJ9 AJ11:AJ12 AJ29 AJ32">
    <cfRule type="containsText" dxfId="2" priority="132" operator="containsText" text="ÁNO">
      <formula>NOT(ISERROR(SEARCH(("ÁNO"),(AJ4))))</formula>
    </cfRule>
  </conditionalFormatting>
  <conditionalFormatting sqref="AQ4 AQ6:AQ7 AQ9 AQ11:AQ12 AQ29 AQ32">
    <cfRule type="notContainsBlanks" dxfId="3" priority="133">
      <formula>LEN(TRIM(AQ4))&gt;0</formula>
    </cfRule>
  </conditionalFormatting>
  <conditionalFormatting sqref="AO4:AP4 AO6:AP7 AO9:AP9 AO11:AP12 AO29:AP29 AO32:AP32">
    <cfRule type="notContainsBlanks" dxfId="4" priority="134">
      <formula>LEN(TRIM(AO4))&gt;0</formula>
    </cfRule>
  </conditionalFormatting>
  <conditionalFormatting sqref="S1:S4">
    <cfRule type="containsText" dxfId="6" priority="135" operator="containsText" text="nie">
      <formula>NOT(ISERROR(SEARCH(("nie"),(S1))))</formula>
    </cfRule>
  </conditionalFormatting>
  <conditionalFormatting sqref="AG3 AC6:AC7 AC9 AC11:AC12 AC29 AC32">
    <cfRule type="containsText" dxfId="5" priority="136" operator="containsText" text="Áno">
      <formula>NOT(ISERROR(SEARCH(("Áno"),(AG3))))</formula>
    </cfRule>
  </conditionalFormatting>
  <conditionalFormatting sqref="AK3">
    <cfRule type="containsText" dxfId="7" priority="137" operator="containsText" text="áno">
      <formula>NOT(ISERROR(SEARCH(("áno"),(AK3))))</formula>
    </cfRule>
  </conditionalFormatting>
  <conditionalFormatting sqref="AO3">
    <cfRule type="containsText" dxfId="8" priority="138" operator="containsText" text="Áno">
      <formula>NOT(ISERROR(SEARCH(("Áno"),(AO3))))</formula>
    </cfRule>
  </conditionalFormatting>
  <hyperlinks>
    <hyperlink r:id="rId1" ref="Z2"/>
    <hyperlink r:id="rId2" ref="AA2"/>
    <hyperlink r:id="rId3" ref="Z3"/>
    <hyperlink r:id="rId4" ref="AA3"/>
    <hyperlink r:id="rId5" ref="V4"/>
    <hyperlink r:id="rId6" ref="W4"/>
    <hyperlink r:id="rId7" ref="V5"/>
    <hyperlink r:id="rId8" ref="W5"/>
    <hyperlink r:id="rId9" ref="V6"/>
    <hyperlink r:id="rId10" ref="W6"/>
    <hyperlink r:id="rId11" ref="V7"/>
    <hyperlink r:id="rId12" ref="W7"/>
    <hyperlink r:id="rId13" ref="V8"/>
    <hyperlink r:id="rId14" ref="W8"/>
    <hyperlink r:id="rId15" ref="V9"/>
    <hyperlink r:id="rId16" ref="W9"/>
    <hyperlink r:id="rId17" ref="V10"/>
    <hyperlink r:id="rId18" ref="W10"/>
    <hyperlink r:id="rId19" ref="V11"/>
    <hyperlink r:id="rId20" ref="W11"/>
    <hyperlink r:id="rId21" ref="V12"/>
    <hyperlink r:id="rId22" ref="W12"/>
    <hyperlink r:id="rId23" ref="V13"/>
    <hyperlink r:id="rId24" ref="W13"/>
    <hyperlink r:id="rId25" ref="V16"/>
    <hyperlink r:id="rId26" ref="W16"/>
    <hyperlink r:id="rId27" ref="V17"/>
    <hyperlink r:id="rId28" ref="W17"/>
    <hyperlink r:id="rId29" ref="V18"/>
    <hyperlink r:id="rId30" ref="W18"/>
    <hyperlink r:id="rId31" ref="V19"/>
    <hyperlink r:id="rId32" ref="W19"/>
    <hyperlink r:id="rId33" ref="V20"/>
    <hyperlink r:id="rId34" ref="W20"/>
    <hyperlink r:id="rId35" ref="V21"/>
    <hyperlink r:id="rId36" ref="W21"/>
    <hyperlink r:id="rId37" ref="V22"/>
    <hyperlink r:id="rId38" ref="W22"/>
    <hyperlink r:id="rId39" ref="V23"/>
    <hyperlink r:id="rId40" ref="W23"/>
    <hyperlink r:id="rId41" ref="V24"/>
    <hyperlink r:id="rId42" ref="W24"/>
    <hyperlink r:id="rId43" ref="V25"/>
    <hyperlink r:id="rId44" ref="W25"/>
    <hyperlink r:id="rId45" ref="V29"/>
    <hyperlink r:id="rId46" ref="W29"/>
    <hyperlink r:id="rId47" ref="V32"/>
    <hyperlink r:id="rId48" ref="W32"/>
    <hyperlink r:id="rId49" ref="V35"/>
    <hyperlink r:id="rId50" ref="W35"/>
    <hyperlink r:id="rId51" ref="V38"/>
    <hyperlink r:id="rId52" ref="W38"/>
    <hyperlink r:id="rId53" ref="V39"/>
    <hyperlink r:id="rId54" ref="W39"/>
    <hyperlink r:id="rId55" ref="V40"/>
    <hyperlink r:id="rId56" ref="W40"/>
    <hyperlink r:id="rId57" ref="V41"/>
    <hyperlink r:id="rId58" ref="W41"/>
    <hyperlink r:id="rId59" ref="V42"/>
    <hyperlink r:id="rId60" ref="W42"/>
    <hyperlink r:id="rId61" ref="V43"/>
    <hyperlink r:id="rId62" ref="W43"/>
    <hyperlink r:id="rId63" ref="V44"/>
    <hyperlink r:id="rId64" ref="W44"/>
    <hyperlink r:id="rId65" ref="V45"/>
    <hyperlink r:id="rId66" ref="W45"/>
    <hyperlink r:id="rId67" ref="V46"/>
    <hyperlink r:id="rId68" ref="W46"/>
    <hyperlink r:id="rId69" ref="V47"/>
    <hyperlink r:id="rId70" ref="W47"/>
    <hyperlink r:id="rId71" ref="V48"/>
    <hyperlink r:id="rId72" ref="W48"/>
    <hyperlink r:id="rId73" ref="V49"/>
    <hyperlink r:id="rId74" ref="W49"/>
    <hyperlink r:id="rId75" ref="V50"/>
    <hyperlink r:id="rId76" ref="W50"/>
    <hyperlink r:id="rId77" ref="V51"/>
    <hyperlink r:id="rId78" ref="W51"/>
    <hyperlink r:id="rId79" ref="V52"/>
    <hyperlink r:id="rId80" ref="W52"/>
    <hyperlink r:id="rId81" ref="V53"/>
    <hyperlink r:id="rId82" ref="W53"/>
    <hyperlink r:id="rId83" ref="V54"/>
    <hyperlink r:id="rId84" ref="W54"/>
    <hyperlink r:id="rId85" ref="V55"/>
    <hyperlink r:id="rId86" ref="W55"/>
    <hyperlink r:id="rId87" ref="V56"/>
    <hyperlink r:id="rId88" ref="W56"/>
    <hyperlink r:id="rId89" ref="V57"/>
    <hyperlink r:id="rId90" ref="W57"/>
  </hyperlinks>
  <drawing r:id="rId9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75"/>
  </cols>
  <sheetData>
    <row r="1">
      <c r="A1" s="452" t="s">
        <v>4473</v>
      </c>
    </row>
    <row r="2">
      <c r="A2" s="26"/>
    </row>
    <row r="3">
      <c r="A3" s="53" t="s">
        <v>63</v>
      </c>
    </row>
    <row r="4">
      <c r="A4" s="53" t="s">
        <v>78</v>
      </c>
    </row>
    <row r="5">
      <c r="A5" s="53" t="s">
        <v>92</v>
      </c>
    </row>
    <row r="6">
      <c r="A6" s="53" t="s">
        <v>106</v>
      </c>
    </row>
    <row r="7">
      <c r="A7" s="53" t="s">
        <v>116</v>
      </c>
    </row>
    <row r="8">
      <c r="A8" s="53" t="s">
        <v>128</v>
      </c>
    </row>
    <row r="9">
      <c r="A9" s="53" t="s">
        <v>144</v>
      </c>
    </row>
    <row r="10">
      <c r="A10" s="53" t="s">
        <v>155</v>
      </c>
    </row>
    <row r="11">
      <c r="A11" s="53" t="s">
        <v>167</v>
      </c>
    </row>
    <row r="12">
      <c r="A12" s="53" t="s">
        <v>179</v>
      </c>
    </row>
    <row r="13">
      <c r="A13" s="53" t="s">
        <v>192</v>
      </c>
    </row>
    <row r="14">
      <c r="A14" s="53" t="s">
        <v>204</v>
      </c>
    </row>
    <row r="15">
      <c r="A15" s="53" t="s">
        <v>216</v>
      </c>
    </row>
    <row r="16">
      <c r="A16" s="53" t="s">
        <v>227</v>
      </c>
    </row>
    <row r="17">
      <c r="A17" s="53" t="s">
        <v>239</v>
      </c>
    </row>
    <row r="18">
      <c r="A18" s="53" t="s">
        <v>253</v>
      </c>
    </row>
    <row r="19">
      <c r="A19" s="53" t="s">
        <v>268</v>
      </c>
    </row>
    <row r="20">
      <c r="A20" s="53" t="s">
        <v>278</v>
      </c>
    </row>
    <row r="21">
      <c r="A21" s="53" t="s">
        <v>290</v>
      </c>
    </row>
    <row r="22">
      <c r="A22" s="53" t="s">
        <v>310</v>
      </c>
    </row>
    <row r="23">
      <c r="A23" s="53" t="s">
        <v>320</v>
      </c>
    </row>
    <row r="24">
      <c r="A24" s="53" t="s">
        <v>332</v>
      </c>
    </row>
    <row r="25">
      <c r="A25" s="53" t="s">
        <v>344</v>
      </c>
    </row>
    <row r="26">
      <c r="A26" s="53" t="s">
        <v>356</v>
      </c>
    </row>
    <row r="27">
      <c r="A27" s="53" t="s">
        <v>368</v>
      </c>
    </row>
    <row r="28">
      <c r="A28" s="53" t="s">
        <v>380</v>
      </c>
    </row>
    <row r="29">
      <c r="A29" s="53" t="s">
        <v>394</v>
      </c>
    </row>
    <row r="30">
      <c r="A30" s="53" t="s">
        <v>405</v>
      </c>
    </row>
    <row r="31">
      <c r="A31" s="53" t="s">
        <v>417</v>
      </c>
    </row>
    <row r="32">
      <c r="A32" s="53" t="s">
        <v>428</v>
      </c>
    </row>
    <row r="33">
      <c r="A33" s="53" t="s">
        <v>439</v>
      </c>
    </row>
    <row r="34">
      <c r="A34" s="53" t="s">
        <v>449</v>
      </c>
    </row>
    <row r="35">
      <c r="A35" s="53" t="s">
        <v>460</v>
      </c>
    </row>
    <row r="36">
      <c r="A36" s="53" t="s">
        <v>471</v>
      </c>
    </row>
    <row r="37">
      <c r="A37" s="53" t="s">
        <v>483</v>
      </c>
    </row>
    <row r="38">
      <c r="A38" s="53" t="s">
        <v>4267</v>
      </c>
    </row>
    <row r="39">
      <c r="A39" s="53" t="s">
        <v>492</v>
      </c>
    </row>
    <row r="40">
      <c r="A40" s="53" t="s">
        <v>501</v>
      </c>
    </row>
    <row r="41">
      <c r="A41" s="86" t="s">
        <v>512</v>
      </c>
    </row>
    <row r="42">
      <c r="A42" s="53" t="s">
        <v>528</v>
      </c>
    </row>
    <row r="43">
      <c r="A43" s="53" t="s">
        <v>539</v>
      </c>
    </row>
    <row r="44">
      <c r="A44" s="53" t="s">
        <v>549</v>
      </c>
    </row>
    <row r="45">
      <c r="A45" s="53" t="s">
        <v>561</v>
      </c>
    </row>
    <row r="46">
      <c r="A46" s="53" t="s">
        <v>571</v>
      </c>
    </row>
    <row r="47">
      <c r="A47" s="53" t="s">
        <v>582</v>
      </c>
    </row>
    <row r="48">
      <c r="A48" s="53" t="s">
        <v>592</v>
      </c>
    </row>
    <row r="49">
      <c r="A49" s="53" t="s">
        <v>604</v>
      </c>
    </row>
    <row r="50">
      <c r="A50" s="53" t="s">
        <v>616</v>
      </c>
    </row>
    <row r="51">
      <c r="A51" s="53" t="s">
        <v>626</v>
      </c>
    </row>
    <row r="52">
      <c r="A52" s="53" t="s">
        <v>637</v>
      </c>
    </row>
    <row r="53">
      <c r="A53" s="53" t="s">
        <v>648</v>
      </c>
    </row>
    <row r="54">
      <c r="A54" s="53" t="s">
        <v>658</v>
      </c>
    </row>
    <row r="55">
      <c r="A55" s="53" t="s">
        <v>668</v>
      </c>
    </row>
    <row r="56">
      <c r="A56" s="53" t="s">
        <v>680</v>
      </c>
    </row>
    <row r="57">
      <c r="A57" s="53" t="s">
        <v>697</v>
      </c>
    </row>
    <row r="58">
      <c r="A58" s="53" t="s">
        <v>709</v>
      </c>
    </row>
    <row r="59">
      <c r="A59" s="53" t="s">
        <v>721</v>
      </c>
    </row>
    <row r="60">
      <c r="A60" s="53" t="s">
        <v>732</v>
      </c>
    </row>
    <row r="61">
      <c r="A61" s="53" t="s">
        <v>744</v>
      </c>
    </row>
    <row r="62">
      <c r="A62" s="53" t="s">
        <v>754</v>
      </c>
    </row>
    <row r="63">
      <c r="A63" s="53" t="s">
        <v>765</v>
      </c>
    </row>
    <row r="64">
      <c r="A64" s="53" t="s">
        <v>776</v>
      </c>
    </row>
    <row r="65">
      <c r="A65" s="53" t="s">
        <v>788</v>
      </c>
    </row>
    <row r="66">
      <c r="A66" s="53" t="s">
        <v>799</v>
      </c>
    </row>
    <row r="67">
      <c r="A67" s="53" t="s">
        <v>813</v>
      </c>
    </row>
    <row r="68">
      <c r="A68" s="86" t="s">
        <v>824</v>
      </c>
    </row>
    <row r="69">
      <c r="A69" s="53" t="s">
        <v>836</v>
      </c>
    </row>
    <row r="70">
      <c r="A70" s="53" t="s">
        <v>848</v>
      </c>
    </row>
    <row r="71">
      <c r="A71" s="53" t="s">
        <v>858</v>
      </c>
    </row>
    <row r="72">
      <c r="A72" s="53" t="s">
        <v>868</v>
      </c>
    </row>
    <row r="73">
      <c r="A73" s="53" t="s">
        <v>879</v>
      </c>
    </row>
    <row r="74">
      <c r="A74" s="53" t="s">
        <v>889</v>
      </c>
    </row>
    <row r="75">
      <c r="A75" s="53" t="s">
        <v>4278</v>
      </c>
    </row>
    <row r="76">
      <c r="A76" s="53" t="s">
        <v>901</v>
      </c>
    </row>
    <row r="77">
      <c r="A77" s="53" t="s">
        <v>909</v>
      </c>
    </row>
    <row r="78">
      <c r="A78" s="53" t="s">
        <v>921</v>
      </c>
    </row>
    <row r="79">
      <c r="A79" s="53" t="s">
        <v>931</v>
      </c>
    </row>
    <row r="80">
      <c r="A80" s="53" t="s">
        <v>945</v>
      </c>
    </row>
    <row r="81">
      <c r="A81" s="53" t="s">
        <v>955</v>
      </c>
    </row>
    <row r="82">
      <c r="A82" s="53" t="s">
        <v>965</v>
      </c>
    </row>
    <row r="83">
      <c r="A83" s="53" t="s">
        <v>975</v>
      </c>
    </row>
    <row r="84">
      <c r="A84" s="53" t="s">
        <v>984</v>
      </c>
    </row>
    <row r="85">
      <c r="A85" s="53" t="s">
        <v>996</v>
      </c>
    </row>
    <row r="86">
      <c r="A86" s="53" t="s">
        <v>1007</v>
      </c>
    </row>
    <row r="87">
      <c r="A87" s="53" t="s">
        <v>1017</v>
      </c>
    </row>
    <row r="88">
      <c r="A88" s="53" t="s">
        <v>1026</v>
      </c>
    </row>
    <row r="89">
      <c r="A89" s="53" t="s">
        <v>1037</v>
      </c>
    </row>
    <row r="90">
      <c r="A90" s="53" t="s">
        <v>1048</v>
      </c>
    </row>
    <row r="91">
      <c r="A91" s="53" t="s">
        <v>4291</v>
      </c>
    </row>
    <row r="92">
      <c r="A92" s="53" t="s">
        <v>1054</v>
      </c>
    </row>
    <row r="93">
      <c r="A93" s="53" t="s">
        <v>1065</v>
      </c>
    </row>
    <row r="94">
      <c r="A94" s="53" t="s">
        <v>1077</v>
      </c>
    </row>
    <row r="95">
      <c r="A95" s="53" t="s">
        <v>1086</v>
      </c>
    </row>
    <row r="96">
      <c r="A96" s="53" t="s">
        <v>1097</v>
      </c>
    </row>
    <row r="97">
      <c r="A97" s="53" t="s">
        <v>1109</v>
      </c>
    </row>
    <row r="98">
      <c r="A98" s="53" t="s">
        <v>1120</v>
      </c>
    </row>
    <row r="99">
      <c r="A99" s="53" t="s">
        <v>1141</v>
      </c>
    </row>
    <row r="100">
      <c r="A100" s="53" t="s">
        <v>1152</v>
      </c>
    </row>
    <row r="101">
      <c r="A101" s="53" t="s">
        <v>1164</v>
      </c>
    </row>
    <row r="102">
      <c r="A102" s="53" t="s">
        <v>1176</v>
      </c>
    </row>
    <row r="103">
      <c r="A103" s="53" t="s">
        <v>1187</v>
      </c>
    </row>
    <row r="104">
      <c r="A104" s="53" t="s">
        <v>1197</v>
      </c>
    </row>
    <row r="105">
      <c r="A105" s="53" t="s">
        <v>1207</v>
      </c>
    </row>
    <row r="106">
      <c r="A106" s="53" t="s">
        <v>1217</v>
      </c>
    </row>
    <row r="107">
      <c r="A107" s="53" t="s">
        <v>1229</v>
      </c>
    </row>
    <row r="108">
      <c r="A108" s="53" t="s">
        <v>1240</v>
      </c>
    </row>
    <row r="109">
      <c r="A109" s="86" t="s">
        <v>1251</v>
      </c>
    </row>
    <row r="110">
      <c r="A110" s="53" t="s">
        <v>1264</v>
      </c>
    </row>
    <row r="111">
      <c r="A111" s="53" t="s">
        <v>1276</v>
      </c>
    </row>
    <row r="112">
      <c r="A112" s="53" t="s">
        <v>1288</v>
      </c>
    </row>
    <row r="113">
      <c r="A113" s="53" t="s">
        <v>1296</v>
      </c>
    </row>
    <row r="114">
      <c r="A114" s="53" t="s">
        <v>1306</v>
      </c>
    </row>
    <row r="115">
      <c r="A115" s="53" t="s">
        <v>4301</v>
      </c>
    </row>
    <row r="116">
      <c r="A116" s="53" t="s">
        <v>4313</v>
      </c>
    </row>
    <row r="117">
      <c r="A117" s="53" t="s">
        <v>1322</v>
      </c>
    </row>
    <row r="118">
      <c r="A118" s="53" t="s">
        <v>1333</v>
      </c>
    </row>
    <row r="119">
      <c r="A119" s="53" t="s">
        <v>1344</v>
      </c>
    </row>
    <row r="120">
      <c r="A120" s="53" t="s">
        <v>1360</v>
      </c>
    </row>
    <row r="121">
      <c r="A121" s="53" t="s">
        <v>1372</v>
      </c>
    </row>
    <row r="122">
      <c r="A122" s="53" t="s">
        <v>1383</v>
      </c>
    </row>
    <row r="123">
      <c r="A123" s="53" t="s">
        <v>1395</v>
      </c>
    </row>
    <row r="124">
      <c r="A124" s="53" t="s">
        <v>1405</v>
      </c>
    </row>
    <row r="125">
      <c r="A125" s="53" t="s">
        <v>1411</v>
      </c>
    </row>
    <row r="126">
      <c r="A126" s="53" t="s">
        <v>1417</v>
      </c>
    </row>
    <row r="127">
      <c r="A127" s="53" t="s">
        <v>1427</v>
      </c>
    </row>
    <row r="128">
      <c r="A128" s="53" t="s">
        <v>1438</v>
      </c>
    </row>
    <row r="129">
      <c r="A129" s="53" t="s">
        <v>1449</v>
      </c>
    </row>
    <row r="130">
      <c r="A130" s="53" t="s">
        <v>1459</v>
      </c>
    </row>
    <row r="131">
      <c r="A131" s="53" t="s">
        <v>1470</v>
      </c>
    </row>
    <row r="132">
      <c r="A132" s="53" t="s">
        <v>1481</v>
      </c>
    </row>
    <row r="133">
      <c r="A133" s="53" t="s">
        <v>1491</v>
      </c>
    </row>
    <row r="134">
      <c r="A134" s="53" t="s">
        <v>1501</v>
      </c>
    </row>
    <row r="135">
      <c r="A135" s="53" t="s">
        <v>1512</v>
      </c>
    </row>
    <row r="136">
      <c r="A136" s="53" t="s">
        <v>1524</v>
      </c>
    </row>
    <row r="137">
      <c r="A137" s="53" t="s">
        <v>1534</v>
      </c>
    </row>
    <row r="138">
      <c r="A138" s="53" t="s">
        <v>1545</v>
      </c>
    </row>
    <row r="139">
      <c r="A139" s="53" t="s">
        <v>1557</v>
      </c>
    </row>
    <row r="140">
      <c r="A140" s="53" t="s">
        <v>1564</v>
      </c>
    </row>
    <row r="141">
      <c r="A141" s="53" t="s">
        <v>1574</v>
      </c>
    </row>
    <row r="142">
      <c r="A142" s="53" t="s">
        <v>1586</v>
      </c>
    </row>
    <row r="143">
      <c r="A143" s="53" t="s">
        <v>1598</v>
      </c>
    </row>
    <row r="144">
      <c r="A144" s="53" t="s">
        <v>1607</v>
      </c>
    </row>
    <row r="145">
      <c r="A145" s="53" t="s">
        <v>1619</v>
      </c>
    </row>
    <row r="146">
      <c r="A146" s="53" t="s">
        <v>1630</v>
      </c>
    </row>
    <row r="147">
      <c r="A147" s="53" t="s">
        <v>1641</v>
      </c>
    </row>
    <row r="148">
      <c r="A148" s="53" t="s">
        <v>1652</v>
      </c>
    </row>
    <row r="149">
      <c r="A149" s="53" t="s">
        <v>1663</v>
      </c>
    </row>
    <row r="150">
      <c r="A150" s="53" t="s">
        <v>1674</v>
      </c>
    </row>
    <row r="151">
      <c r="A151" s="53" t="s">
        <v>1685</v>
      </c>
    </row>
    <row r="152">
      <c r="A152" s="53" t="s">
        <v>1696</v>
      </c>
    </row>
    <row r="153">
      <c r="A153" s="53" t="s">
        <v>1705</v>
      </c>
    </row>
    <row r="154">
      <c r="A154" s="53" t="s">
        <v>1717</v>
      </c>
    </row>
    <row r="155">
      <c r="A155" s="53" t="s">
        <v>1728</v>
      </c>
    </row>
    <row r="156">
      <c r="A156" s="53" t="s">
        <v>1739</v>
      </c>
    </row>
    <row r="157">
      <c r="A157" s="53" t="s">
        <v>4324</v>
      </c>
    </row>
    <row r="158">
      <c r="A158" s="53" t="s">
        <v>1749</v>
      </c>
    </row>
    <row r="159">
      <c r="A159" s="53" t="s">
        <v>1760</v>
      </c>
    </row>
    <row r="160">
      <c r="A160" s="53" t="s">
        <v>1773</v>
      </c>
    </row>
    <row r="161">
      <c r="A161" s="53" t="s">
        <v>1783</v>
      </c>
    </row>
    <row r="162">
      <c r="A162" s="53" t="s">
        <v>1793</v>
      </c>
    </row>
    <row r="163">
      <c r="A163" s="53" t="s">
        <v>1805</v>
      </c>
    </row>
    <row r="164">
      <c r="A164" s="53" t="s">
        <v>1816</v>
      </c>
    </row>
    <row r="165">
      <c r="A165" s="53" t="s">
        <v>1825</v>
      </c>
    </row>
    <row r="166">
      <c r="A166" s="53" t="s">
        <v>4334</v>
      </c>
    </row>
    <row r="167">
      <c r="A167" s="53" t="s">
        <v>1836</v>
      </c>
    </row>
    <row r="168">
      <c r="A168" s="53" t="s">
        <v>1848</v>
      </c>
    </row>
    <row r="169">
      <c r="A169" s="53" t="s">
        <v>1858</v>
      </c>
    </row>
    <row r="170">
      <c r="A170" s="53" t="s">
        <v>1868</v>
      </c>
    </row>
    <row r="171">
      <c r="A171" s="53" t="s">
        <v>1878</v>
      </c>
    </row>
    <row r="172">
      <c r="A172" s="53" t="s">
        <v>1891</v>
      </c>
    </row>
    <row r="173">
      <c r="A173" s="53" t="s">
        <v>1902</v>
      </c>
    </row>
    <row r="174">
      <c r="A174" s="53" t="s">
        <v>1915</v>
      </c>
    </row>
    <row r="175">
      <c r="A175" s="53" t="s">
        <v>1924</v>
      </c>
    </row>
    <row r="176">
      <c r="A176" s="53" t="s">
        <v>1936</v>
      </c>
    </row>
    <row r="177">
      <c r="A177" s="108" t="s">
        <v>1944</v>
      </c>
    </row>
    <row r="178">
      <c r="A178" s="108" t="s">
        <v>1953</v>
      </c>
    </row>
    <row r="179">
      <c r="A179" s="108" t="s">
        <v>1965</v>
      </c>
    </row>
    <row r="180">
      <c r="A180" s="108" t="s">
        <v>1975</v>
      </c>
    </row>
    <row r="181">
      <c r="A181" s="108" t="s">
        <v>1986</v>
      </c>
    </row>
    <row r="182">
      <c r="A182" s="108" t="s">
        <v>1995</v>
      </c>
    </row>
    <row r="183">
      <c r="A183" s="108" t="s">
        <v>2006</v>
      </c>
    </row>
    <row r="184">
      <c r="A184" s="108" t="s">
        <v>2018</v>
      </c>
    </row>
    <row r="185">
      <c r="A185" s="108" t="s">
        <v>4472</v>
      </c>
    </row>
    <row r="186">
      <c r="A186" s="108" t="s">
        <v>2030</v>
      </c>
    </row>
    <row r="187">
      <c r="A187" s="108" t="s">
        <v>2040</v>
      </c>
    </row>
    <row r="188">
      <c r="A188" s="108" t="s">
        <v>2052</v>
      </c>
    </row>
    <row r="189">
      <c r="A189" s="108" t="s">
        <v>2063</v>
      </c>
    </row>
    <row r="190">
      <c r="A190" s="108" t="s">
        <v>2072</v>
      </c>
    </row>
    <row r="191">
      <c r="A191" s="108" t="s">
        <v>2084</v>
      </c>
    </row>
    <row r="192">
      <c r="A192" s="108" t="s">
        <v>2094</v>
      </c>
    </row>
    <row r="193">
      <c r="A193" s="108" t="s">
        <v>2103</v>
      </c>
    </row>
    <row r="194">
      <c r="A194" s="108" t="s">
        <v>2114</v>
      </c>
    </row>
    <row r="195">
      <c r="A195" s="108" t="s">
        <v>2124</v>
      </c>
    </row>
    <row r="196">
      <c r="A196" s="108" t="s">
        <v>2133</v>
      </c>
    </row>
    <row r="197">
      <c r="A197" s="108" t="s">
        <v>4345</v>
      </c>
    </row>
    <row r="198">
      <c r="A198" s="108" t="s">
        <v>2143</v>
      </c>
    </row>
    <row r="199">
      <c r="A199" s="108" t="s">
        <v>2152</v>
      </c>
    </row>
    <row r="200">
      <c r="A200" s="108" t="s">
        <v>2162</v>
      </c>
    </row>
    <row r="201">
      <c r="A201" s="108" t="s">
        <v>2173</v>
      </c>
    </row>
    <row r="202">
      <c r="A202" s="108" t="s">
        <v>2184</v>
      </c>
    </row>
    <row r="203">
      <c r="A203" s="108" t="s">
        <v>2195</v>
      </c>
    </row>
    <row r="204">
      <c r="A204" s="108" t="s">
        <v>2206</v>
      </c>
    </row>
    <row r="205">
      <c r="A205" s="108" t="s">
        <v>2215</v>
      </c>
    </row>
    <row r="206">
      <c r="A206" s="108" t="s">
        <v>2225</v>
      </c>
    </row>
    <row r="207">
      <c r="A207" s="108" t="s">
        <v>2236</v>
      </c>
    </row>
    <row r="208">
      <c r="A208" s="108" t="s">
        <v>2246</v>
      </c>
    </row>
    <row r="209">
      <c r="A209" s="108" t="s">
        <v>2257</v>
      </c>
    </row>
    <row r="210">
      <c r="A210" s="108" t="s">
        <v>298</v>
      </c>
    </row>
    <row r="211">
      <c r="A211" s="108" t="s">
        <v>2277</v>
      </c>
    </row>
    <row r="212">
      <c r="A212" s="108" t="s">
        <v>2288</v>
      </c>
    </row>
    <row r="213">
      <c r="A213" s="108" t="s">
        <v>2298</v>
      </c>
    </row>
    <row r="214">
      <c r="A214" s="108" t="s">
        <v>2306</v>
      </c>
    </row>
    <row r="215">
      <c r="A215" s="108" t="s">
        <v>2317</v>
      </c>
    </row>
    <row r="216">
      <c r="A216" s="108" t="s">
        <v>2328</v>
      </c>
    </row>
    <row r="217">
      <c r="A217" s="108" t="s">
        <v>2338</v>
      </c>
    </row>
    <row r="218">
      <c r="A218" s="108" t="s">
        <v>2348</v>
      </c>
    </row>
    <row r="219">
      <c r="A219" s="108" t="s">
        <v>2359</v>
      </c>
    </row>
    <row r="220">
      <c r="A220" s="108" t="s">
        <v>2367</v>
      </c>
    </row>
    <row r="221">
      <c r="A221" s="108" t="s">
        <v>2378</v>
      </c>
    </row>
    <row r="222">
      <c r="A222" s="108" t="s">
        <v>2390</v>
      </c>
    </row>
    <row r="223">
      <c r="A223" s="53" t="s">
        <v>2401</v>
      </c>
    </row>
    <row r="224">
      <c r="A224" s="108" t="s">
        <v>2416</v>
      </c>
    </row>
    <row r="225">
      <c r="A225" s="108" t="s">
        <v>2428</v>
      </c>
    </row>
    <row r="226">
      <c r="A226" s="53" t="s">
        <v>2439</v>
      </c>
    </row>
    <row r="227">
      <c r="A227" s="108" t="s">
        <v>4352</v>
      </c>
    </row>
    <row r="228">
      <c r="A228" s="108" t="s">
        <v>4363</v>
      </c>
    </row>
    <row r="229">
      <c r="A229" s="108" t="s">
        <v>2458</v>
      </c>
    </row>
    <row r="230">
      <c r="A230" s="108" t="s">
        <v>2470</v>
      </c>
    </row>
    <row r="231">
      <c r="A231" s="108" t="s">
        <v>2481</v>
      </c>
    </row>
    <row r="232">
      <c r="A232" s="108" t="s">
        <v>2492</v>
      </c>
    </row>
    <row r="233">
      <c r="A233" s="108" t="s">
        <v>2501</v>
      </c>
    </row>
    <row r="234">
      <c r="A234" s="108" t="s">
        <v>2512</v>
      </c>
    </row>
    <row r="235">
      <c r="A235" s="108" t="s">
        <v>2524</v>
      </c>
    </row>
    <row r="236">
      <c r="A236" s="108" t="s">
        <v>2535</v>
      </c>
    </row>
    <row r="237">
      <c r="A237" s="108" t="s">
        <v>2546</v>
      </c>
    </row>
    <row r="238">
      <c r="A238" s="108" t="s">
        <v>2555</v>
      </c>
    </row>
    <row r="239">
      <c r="A239" s="108" t="s">
        <v>4373</v>
      </c>
    </row>
    <row r="240">
      <c r="A240" s="108" t="s">
        <v>2566</v>
      </c>
    </row>
    <row r="241">
      <c r="A241" s="108" t="s">
        <v>2577</v>
      </c>
    </row>
    <row r="242">
      <c r="A242" s="108" t="s">
        <v>2588</v>
      </c>
    </row>
    <row r="243">
      <c r="A243" s="108" t="s">
        <v>2599</v>
      </c>
    </row>
    <row r="244">
      <c r="A244" s="108" t="s">
        <v>4382</v>
      </c>
    </row>
    <row r="245">
      <c r="A245" s="108" t="s">
        <v>4394</v>
      </c>
    </row>
    <row r="246">
      <c r="A246" s="108" t="s">
        <v>2610</v>
      </c>
    </row>
    <row r="247">
      <c r="A247" s="108" t="s">
        <v>2621</v>
      </c>
    </row>
    <row r="248">
      <c r="A248" s="108" t="s">
        <v>4405</v>
      </c>
    </row>
    <row r="249">
      <c r="A249" s="108" t="s">
        <v>2631</v>
      </c>
    </row>
    <row r="250">
      <c r="A250" s="108" t="s">
        <v>2642</v>
      </c>
    </row>
    <row r="251">
      <c r="A251" s="108" t="s">
        <v>2651</v>
      </c>
    </row>
    <row r="252">
      <c r="A252" s="108" t="s">
        <v>2662</v>
      </c>
    </row>
    <row r="253">
      <c r="A253" s="108" t="s">
        <v>2673</v>
      </c>
    </row>
    <row r="254">
      <c r="A254" s="108" t="s">
        <v>2684</v>
      </c>
    </row>
    <row r="255">
      <c r="A255" s="108" t="s">
        <v>2694</v>
      </c>
    </row>
    <row r="256">
      <c r="A256" s="108" t="s">
        <v>2706</v>
      </c>
    </row>
    <row r="257">
      <c r="A257" s="155" t="s">
        <v>4474</v>
      </c>
    </row>
    <row r="258">
      <c r="A258" s="108" t="s">
        <v>2728</v>
      </c>
    </row>
    <row r="259">
      <c r="A259" s="108" t="s">
        <v>2739</v>
      </c>
    </row>
    <row r="260">
      <c r="A260" s="108" t="s">
        <v>2750</v>
      </c>
    </row>
    <row r="261">
      <c r="A261" s="108" t="s">
        <v>2760</v>
      </c>
    </row>
    <row r="262">
      <c r="A262" s="108" t="s">
        <v>2771</v>
      </c>
    </row>
    <row r="263">
      <c r="A263" s="108" t="s">
        <v>2781</v>
      </c>
    </row>
    <row r="264">
      <c r="A264" s="108" t="s">
        <v>2789</v>
      </c>
    </row>
    <row r="265">
      <c r="A265" s="108" t="s">
        <v>2799</v>
      </c>
    </row>
    <row r="266">
      <c r="A266" s="108" t="s">
        <v>2809</v>
      </c>
    </row>
    <row r="267">
      <c r="A267" s="108" t="s">
        <v>2819</v>
      </c>
    </row>
    <row r="268">
      <c r="A268" s="108" t="s">
        <v>297</v>
      </c>
    </row>
    <row r="269">
      <c r="A269" s="108" t="s">
        <v>2840</v>
      </c>
    </row>
    <row r="270">
      <c r="A270" s="108" t="s">
        <v>2850</v>
      </c>
    </row>
    <row r="271">
      <c r="A271" s="108" t="s">
        <v>2862</v>
      </c>
    </row>
    <row r="272">
      <c r="A272" s="108" t="s">
        <v>2873</v>
      </c>
    </row>
    <row r="273">
      <c r="A273" s="108" t="s">
        <v>2883</v>
      </c>
    </row>
    <row r="274">
      <c r="A274" s="53" t="s">
        <v>2894</v>
      </c>
    </row>
    <row r="275">
      <c r="A275" s="108" t="s">
        <v>2909</v>
      </c>
    </row>
    <row r="276">
      <c r="A276" s="108" t="s">
        <v>2919</v>
      </c>
    </row>
    <row r="277">
      <c r="A277" s="108" t="s">
        <v>2930</v>
      </c>
    </row>
    <row r="278">
      <c r="A278" s="108" t="s">
        <v>2942</v>
      </c>
    </row>
    <row r="279">
      <c r="A279" s="108" t="s">
        <v>2952</v>
      </c>
    </row>
    <row r="280">
      <c r="A280" s="108" t="s">
        <v>2963</v>
      </c>
    </row>
    <row r="281">
      <c r="A281" s="108" t="s">
        <v>2974</v>
      </c>
    </row>
    <row r="282">
      <c r="A282" s="108" t="s">
        <v>2985</v>
      </c>
    </row>
    <row r="283">
      <c r="A283" s="108" t="s">
        <v>2996</v>
      </c>
    </row>
    <row r="284">
      <c r="A284" s="108" t="s">
        <v>3008</v>
      </c>
    </row>
    <row r="285">
      <c r="A285" s="108" t="s">
        <v>3019</v>
      </c>
    </row>
    <row r="286">
      <c r="A286" s="108" t="s">
        <v>3030</v>
      </c>
    </row>
    <row r="287">
      <c r="A287" s="108" t="s">
        <v>3041</v>
      </c>
    </row>
    <row r="288">
      <c r="A288" s="108" t="s">
        <v>3052</v>
      </c>
    </row>
    <row r="289">
      <c r="A289" s="108" t="s">
        <v>4475</v>
      </c>
    </row>
    <row r="290">
      <c r="A290" s="108" t="s">
        <v>290</v>
      </c>
    </row>
    <row r="291">
      <c r="A291" s="108" t="s">
        <v>4415</v>
      </c>
    </row>
    <row r="292">
      <c r="A292" s="108" t="s">
        <v>3097</v>
      </c>
    </row>
    <row r="293">
      <c r="A293" s="108" t="s">
        <v>3117</v>
      </c>
    </row>
    <row r="294">
      <c r="A294" s="108" t="s">
        <v>3127</v>
      </c>
    </row>
    <row r="295">
      <c r="A295" s="108" t="s">
        <v>3136</v>
      </c>
    </row>
    <row r="296">
      <c r="A296" s="108" t="s">
        <v>3147</v>
      </c>
    </row>
    <row r="297">
      <c r="A297" s="108" t="s">
        <v>4427</v>
      </c>
    </row>
    <row r="298">
      <c r="A298" s="108" t="s">
        <v>3159</v>
      </c>
    </row>
    <row r="299">
      <c r="A299" s="108" t="s">
        <v>4439</v>
      </c>
    </row>
    <row r="300">
      <c r="A300" s="108" t="s">
        <v>3169</v>
      </c>
    </row>
    <row r="301">
      <c r="A301" s="108" t="s">
        <v>3179</v>
      </c>
    </row>
    <row r="302">
      <c r="A302" s="108" t="s">
        <v>3189</v>
      </c>
    </row>
    <row r="303">
      <c r="A303" s="108" t="s">
        <v>3198</v>
      </c>
    </row>
    <row r="304">
      <c r="A304" s="108" t="s">
        <v>3209</v>
      </c>
    </row>
    <row r="305">
      <c r="A305" s="108" t="s">
        <v>3220</v>
      </c>
    </row>
    <row r="306">
      <c r="A306" s="108" t="s">
        <v>3232</v>
      </c>
    </row>
    <row r="307">
      <c r="A307" s="108" t="s">
        <v>3242</v>
      </c>
    </row>
    <row r="308">
      <c r="A308" s="108" t="s">
        <v>3253</v>
      </c>
    </row>
    <row r="309">
      <c r="A309" s="108" t="s">
        <v>3264</v>
      </c>
    </row>
    <row r="310">
      <c r="A310" s="108" t="s">
        <v>3274</v>
      </c>
    </row>
    <row r="311">
      <c r="A311" s="108" t="s">
        <v>3285</v>
      </c>
    </row>
    <row r="312">
      <c r="A312" s="108" t="s">
        <v>3294</v>
      </c>
    </row>
    <row r="313">
      <c r="A313" s="108" t="s">
        <v>3303</v>
      </c>
    </row>
    <row r="314">
      <c r="A314" s="108" t="s">
        <v>3314</v>
      </c>
    </row>
    <row r="315">
      <c r="A315" s="108" t="s">
        <v>4449</v>
      </c>
    </row>
    <row r="316">
      <c r="A316" s="108" t="s">
        <v>3326</v>
      </c>
    </row>
    <row r="317">
      <c r="A317" s="108" t="s">
        <v>3337</v>
      </c>
    </row>
    <row r="318">
      <c r="A318" s="108" t="s">
        <v>3345</v>
      </c>
    </row>
    <row r="319">
      <c r="A319" s="108" t="s">
        <v>3354</v>
      </c>
    </row>
    <row r="320">
      <c r="A320" s="108" t="s">
        <v>3365</v>
      </c>
    </row>
    <row r="321">
      <c r="A321" s="108" t="s">
        <v>3374</v>
      </c>
    </row>
    <row r="322">
      <c r="A322" s="108" t="s">
        <v>3384</v>
      </c>
    </row>
    <row r="323">
      <c r="A323" s="155" t="s">
        <v>3395</v>
      </c>
    </row>
    <row r="324">
      <c r="A324" s="164" t="s">
        <v>3406</v>
      </c>
    </row>
    <row r="325">
      <c r="A325" s="164" t="s">
        <v>4460</v>
      </c>
    </row>
    <row r="326">
      <c r="A326" s="174" t="s">
        <v>3417</v>
      </c>
    </row>
    <row r="327">
      <c r="A327" s="174" t="s">
        <v>3431</v>
      </c>
    </row>
    <row r="328">
      <c r="A328" s="156" t="s">
        <v>3441</v>
      </c>
    </row>
    <row r="329">
      <c r="A329" s="52" t="s">
        <v>3450</v>
      </c>
    </row>
    <row r="330">
      <c r="A330" s="52" t="s">
        <v>3462</v>
      </c>
    </row>
    <row r="331">
      <c r="A331" s="85" t="s">
        <v>3474</v>
      </c>
    </row>
    <row r="332">
      <c r="A332" s="190" t="s">
        <v>3485</v>
      </c>
    </row>
    <row r="333">
      <c r="A333" s="201" t="s">
        <v>3496</v>
      </c>
    </row>
    <row r="334">
      <c r="A334" s="215" t="s">
        <v>3505</v>
      </c>
    </row>
    <row r="335">
      <c r="A335" s="86" t="s">
        <v>3515</v>
      </c>
    </row>
    <row r="336">
      <c r="A336" s="86" t="s">
        <v>3526</v>
      </c>
    </row>
    <row r="337">
      <c r="A337" s="86" t="s">
        <v>3536</v>
      </c>
    </row>
    <row r="338">
      <c r="A338" s="85" t="s">
        <v>3547</v>
      </c>
    </row>
    <row r="339">
      <c r="A339" s="85" t="s">
        <v>3557</v>
      </c>
    </row>
    <row r="340">
      <c r="A340" s="85" t="s">
        <v>3568</v>
      </c>
    </row>
    <row r="341">
      <c r="A341" s="86" t="s">
        <v>3577</v>
      </c>
    </row>
    <row r="342">
      <c r="A342" s="86" t="s">
        <v>3589</v>
      </c>
    </row>
    <row r="343">
      <c r="A343" s="453" t="s">
        <v>3598</v>
      </c>
    </row>
    <row r="344">
      <c r="A344" s="86" t="s">
        <v>3609</v>
      </c>
    </row>
    <row r="345">
      <c r="A345" s="86" t="s">
        <v>3621</v>
      </c>
    </row>
    <row r="346">
      <c r="A346" s="425" t="s">
        <v>3632</v>
      </c>
    </row>
    <row r="347">
      <c r="A347" s="86" t="s">
        <v>3646</v>
      </c>
    </row>
    <row r="348">
      <c r="A348" s="86" t="s">
        <v>3657</v>
      </c>
    </row>
    <row r="349">
      <c r="A349" s="86" t="s">
        <v>3667</v>
      </c>
    </row>
    <row r="350">
      <c r="A350" s="454" t="s">
        <v>3679</v>
      </c>
    </row>
    <row r="351">
      <c r="A351" s="454" t="s">
        <v>3690</v>
      </c>
    </row>
    <row r="352">
      <c r="A352" s="454" t="s">
        <v>1838</v>
      </c>
    </row>
    <row r="353">
      <c r="A353" s="455" t="s">
        <v>3710</v>
      </c>
    </row>
    <row r="354">
      <c r="A354" s="86" t="s">
        <v>4253</v>
      </c>
    </row>
    <row r="355">
      <c r="A355" s="453" t="s">
        <v>3719</v>
      </c>
    </row>
    <row r="356">
      <c r="A356" s="86" t="s">
        <v>3729</v>
      </c>
    </row>
    <row r="357">
      <c r="A357" s="86" t="s">
        <v>3739</v>
      </c>
    </row>
    <row r="358">
      <c r="A358" s="425" t="s">
        <v>3750</v>
      </c>
    </row>
    <row r="359">
      <c r="A359" s="86" t="s">
        <v>3759</v>
      </c>
    </row>
    <row r="360">
      <c r="A360" s="263"/>
    </row>
    <row r="361">
      <c r="A361" s="263"/>
    </row>
    <row r="362">
      <c r="A362" s="263"/>
    </row>
    <row r="363">
      <c r="A363" s="263"/>
    </row>
    <row r="364">
      <c r="A364" s="263"/>
    </row>
    <row r="365">
      <c r="A365" s="263"/>
    </row>
    <row r="366">
      <c r="A366" s="263"/>
    </row>
    <row r="367">
      <c r="A367" s="263"/>
    </row>
    <row r="368">
      <c r="A368" s="263"/>
    </row>
    <row r="369">
      <c r="A369" s="263"/>
    </row>
    <row r="370">
      <c r="A370" s="263"/>
    </row>
    <row r="371">
      <c r="A371" s="263"/>
    </row>
    <row r="372">
      <c r="A372" s="263"/>
    </row>
    <row r="373">
      <c r="A373" s="263"/>
    </row>
    <row r="374">
      <c r="A374" s="263"/>
    </row>
    <row r="375">
      <c r="A375" s="263"/>
    </row>
    <row r="376">
      <c r="A376" s="263"/>
    </row>
    <row r="377">
      <c r="A377" s="263"/>
    </row>
    <row r="378">
      <c r="A378" s="263"/>
    </row>
    <row r="379">
      <c r="A379" s="263"/>
    </row>
    <row r="380">
      <c r="A380" s="263"/>
    </row>
    <row r="381">
      <c r="A381" s="263"/>
    </row>
    <row r="382">
      <c r="A382" s="263"/>
    </row>
    <row r="383">
      <c r="A383" s="263"/>
    </row>
    <row r="384">
      <c r="A384" s="263"/>
    </row>
    <row r="385">
      <c r="A385" s="263"/>
    </row>
    <row r="386">
      <c r="A386" s="263"/>
    </row>
    <row r="387">
      <c r="A387" s="263"/>
    </row>
    <row r="388">
      <c r="A388" s="263"/>
    </row>
    <row r="389">
      <c r="A389" s="263"/>
    </row>
    <row r="390">
      <c r="A390" s="263"/>
    </row>
    <row r="391">
      <c r="A391" s="263"/>
    </row>
    <row r="392">
      <c r="A392" s="263"/>
    </row>
    <row r="393">
      <c r="A393" s="263"/>
    </row>
    <row r="394">
      <c r="A394" s="263"/>
    </row>
    <row r="395">
      <c r="A395" s="263"/>
    </row>
    <row r="396">
      <c r="A396" s="263"/>
    </row>
    <row r="397">
      <c r="A397" s="263"/>
    </row>
    <row r="398">
      <c r="A398" s="263"/>
    </row>
    <row r="399">
      <c r="A399" s="263"/>
    </row>
    <row r="400">
      <c r="A400" s="263"/>
    </row>
    <row r="401">
      <c r="A401" s="263"/>
    </row>
    <row r="402">
      <c r="A402" s="263"/>
    </row>
    <row r="403">
      <c r="A403" s="263"/>
    </row>
    <row r="404">
      <c r="A404" s="263"/>
    </row>
    <row r="405">
      <c r="A405" s="263"/>
    </row>
    <row r="406">
      <c r="A406" s="263"/>
    </row>
    <row r="407">
      <c r="A407" s="263"/>
    </row>
    <row r="408">
      <c r="A408" s="263"/>
    </row>
    <row r="409">
      <c r="A409" s="263"/>
    </row>
    <row r="410">
      <c r="A410" s="263"/>
    </row>
    <row r="411">
      <c r="A411" s="263"/>
    </row>
    <row r="412">
      <c r="A412" s="263"/>
    </row>
    <row r="413">
      <c r="A413" s="263"/>
    </row>
    <row r="414">
      <c r="A414" s="263"/>
    </row>
    <row r="415">
      <c r="A415" s="263"/>
    </row>
    <row r="416">
      <c r="A416" s="263"/>
    </row>
    <row r="417">
      <c r="A417" s="263"/>
    </row>
    <row r="418">
      <c r="A418" s="263"/>
    </row>
    <row r="419">
      <c r="A419" s="263"/>
    </row>
    <row r="420">
      <c r="A420" s="263"/>
    </row>
    <row r="421">
      <c r="A421" s="263"/>
    </row>
    <row r="422">
      <c r="A422" s="263"/>
    </row>
    <row r="423">
      <c r="A423" s="263"/>
    </row>
    <row r="424">
      <c r="A424" s="263"/>
    </row>
    <row r="425">
      <c r="A425" s="263"/>
    </row>
    <row r="426">
      <c r="A426" s="263"/>
    </row>
    <row r="427">
      <c r="A427" s="263"/>
    </row>
    <row r="428">
      <c r="A428" s="263"/>
    </row>
    <row r="429">
      <c r="A429" s="263"/>
    </row>
    <row r="430">
      <c r="A430" s="263"/>
    </row>
    <row r="431">
      <c r="A431" s="263"/>
    </row>
    <row r="432">
      <c r="A432" s="263"/>
    </row>
    <row r="433">
      <c r="A433" s="263"/>
    </row>
    <row r="434">
      <c r="A434" s="263"/>
    </row>
    <row r="435">
      <c r="A435" s="263"/>
    </row>
    <row r="436">
      <c r="A436" s="263"/>
    </row>
    <row r="437">
      <c r="A437" s="263"/>
    </row>
    <row r="438">
      <c r="A438" s="263"/>
    </row>
    <row r="439">
      <c r="A439" s="263"/>
    </row>
    <row r="440">
      <c r="A440" s="263"/>
    </row>
    <row r="441">
      <c r="A441" s="263"/>
    </row>
    <row r="442">
      <c r="A442" s="263"/>
    </row>
    <row r="443">
      <c r="A443" s="263"/>
    </row>
    <row r="444">
      <c r="A444" s="263"/>
    </row>
    <row r="445">
      <c r="A445" s="263"/>
    </row>
    <row r="446">
      <c r="A446" s="263"/>
    </row>
  </sheetData>
  <autoFilter ref="$A$1:$A$100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74.0"/>
  </cols>
  <sheetData>
    <row r="3">
      <c r="A3" s="59">
        <v>112.0</v>
      </c>
      <c r="B3" s="100" t="s">
        <v>1241</v>
      </c>
      <c r="C3" s="100" t="s">
        <v>4476</v>
      </c>
    </row>
    <row r="4">
      <c r="A4" s="59">
        <v>258.0</v>
      </c>
      <c r="B4" s="75" t="s">
        <v>4232</v>
      </c>
      <c r="C4" s="259" t="s">
        <v>4477</v>
      </c>
    </row>
    <row r="5">
      <c r="A5" s="59">
        <v>319.0</v>
      </c>
      <c r="B5" s="75" t="s">
        <v>4478</v>
      </c>
      <c r="C5" s="259" t="s">
        <v>4479</v>
      </c>
    </row>
    <row r="6">
      <c r="A6" s="59">
        <v>259.0</v>
      </c>
      <c r="B6" s="75" t="s">
        <v>2695</v>
      </c>
      <c r="C6" s="259" t="s">
        <v>4480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s>
  <sheetData>
    <row r="1">
      <c r="A1" s="259" t="s">
        <v>4481</v>
      </c>
      <c r="B1" s="259" t="s">
        <v>4482</v>
      </c>
      <c r="F1" s="259" t="s">
        <v>4483</v>
      </c>
    </row>
    <row r="2">
      <c r="A2" s="259">
        <v>2022.0</v>
      </c>
      <c r="B2" s="259">
        <v>35.0</v>
      </c>
      <c r="F2" s="259">
        <v>352.0</v>
      </c>
    </row>
    <row r="3">
      <c r="A3" s="259">
        <v>2023.0</v>
      </c>
      <c r="B3" s="259">
        <v>21.0</v>
      </c>
    </row>
    <row r="4">
      <c r="A4" s="259">
        <v>2024.0</v>
      </c>
      <c r="B4" s="259">
        <v>11.0</v>
      </c>
    </row>
    <row r="5">
      <c r="A5" s="259">
        <v>2025.0</v>
      </c>
      <c r="B5" s="259">
        <v>17.0</v>
      </c>
    </row>
  </sheetData>
  <drawing r:id="rId1"/>
</worksheet>
</file>