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ODSTRANENÉ RSP" sheetId="5" r:id="rId8"/>
  </sheets>
  <definedNames>
    <definedName name="GeocodeAddressColumn_Socialnepodniky">'Socialne podniky'!$N$1</definedName>
  </definedNames>
  <calcPr/>
</workbook>
</file>

<file path=xl/sharedStrings.xml><?xml version="1.0" encoding="utf-8"?>
<sst xmlns="http://schemas.openxmlformats.org/spreadsheetml/2006/main" count="5622" uniqueCount="3762">
  <si>
    <t>Code</t>
  </si>
  <si>
    <t>Číslo</t>
  </si>
  <si>
    <t>Názov sociálneho podniku</t>
  </si>
  <si>
    <t>KRAJ (Tu vkladať dáta)</t>
  </si>
  <si>
    <t>KRAJ</t>
  </si>
  <si>
    <t>KATEGÓRIA (Tu vkladať dáta)</t>
  </si>
  <si>
    <t>KATEGÓRIA</t>
  </si>
  <si>
    <t>POČET ZAMESTNANCOV (Tu vkladať dáta)</t>
  </si>
  <si>
    <t>ZAMESTNANCI</t>
  </si>
  <si>
    <t>INÉ</t>
  </si>
  <si>
    <t>Random</t>
  </si>
  <si>
    <t>Napíšte, čo hľadáte ...</t>
  </si>
  <si>
    <t>Ulica</t>
  </si>
  <si>
    <t>Mesto</t>
  </si>
  <si>
    <t xml:space="preserve">Sídlo RSP </t>
  </si>
  <si>
    <t>Latitude</t>
  </si>
  <si>
    <t>Longitude</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</si>
  <si>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</si>
  <si>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</si>
  <si>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</si>
  <si>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</si>
  <si>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</si>
  <si>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</si>
  <si>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</si>
  <si>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</si>
  <si>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</si>
  <si>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</si>
  <si>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</si>
  <si>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</si>
  <si>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</si>
  <si>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</si>
  <si>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</si>
  <si>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</si>
  <si>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</si>
  <si>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</si>
  <si>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</si>
  <si>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</si>
  <si>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</si>
  <si>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</si>
  <si>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Register partnerov VS</t>
  </si>
  <si>
    <t>SEARCH bez DIAKRITIKY</t>
  </si>
  <si>
    <t>Náhradné plnenie</t>
  </si>
  <si>
    <t>Hidden</t>
  </si>
  <si>
    <t>csvFilterOr(G,I,J)</t>
  </si>
  <si>
    <t>csvFilterOr(I,J)</t>
  </si>
  <si>
    <t>csvFilterOr(J)</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</si>
  <si>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</si>
  <si>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</si>
  <si>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</si>
  <si>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</si>
  <si>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</si>
  <si>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</si>
  <si>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</si>
  <si>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</si>
  <si>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</si>
  <si>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</si>
  <si>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</si>
  <si>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</si>
  <si>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</si>
  <si>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</si>
  <si>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</si>
  <si>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</si>
  <si>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</si>
  <si>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</si>
  <si>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</si>
  <si>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</si>
  <si>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</si>
  <si>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</si>
  <si>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</si>
  <si>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</si>
  <si>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</si>
  <si>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</si>
  <si>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https://katalogsp.sk/wp-content/uploads/2022/06/KRASPLAST-3-KatalogSP.jpg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</si>
  <si>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</si>
  <si>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</si>
  <si>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</si>
  <si>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</si>
  <si>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</si>
  <si>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</si>
  <si>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</si>
  <si>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</si>
  <si>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</si>
  <si>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</si>
  <si>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</si>
  <si>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</si>
  <si>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</si>
  <si>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https://katalogsp.sk/wp-content/uploads/2022/01/ekatalog_podnikanie-so-srdcomRSP.jpg</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</si>
  <si>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</si>
  <si>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</si>
  <si>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</si>
  <si>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</si>
  <si>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</si>
  <si>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</si>
  <si>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</si>
  <si>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</si>
  <si>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</si>
  <si>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</si>
  <si>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</si>
  <si>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</si>
  <si>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</si>
  <si>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</si>
  <si>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</si>
  <si>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</si>
  <si>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</si>
  <si>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</si>
  <si>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</si>
  <si>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</si>
  <si>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</si>
  <si>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</si>
  <si>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</si>
  <si>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</si>
  <si>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</si>
  <si>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</si>
  <si>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</si>
  <si>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</si>
  <si>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</si>
  <si>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</si>
  <si>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</si>
  <si>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</si>
  <si>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</si>
  <si>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</si>
  <si>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</si>
  <si>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</si>
  <si>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</si>
  <si>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</si>
  <si>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</si>
  <si>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</si>
  <si>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</si>
  <si>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</si>
  <si>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</si>
  <si>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</si>
  <si>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</si>
  <si>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</si>
  <si>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</si>
  <si>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</si>
  <si>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</si>
  <si>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</si>
  <si>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</si>
  <si>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</si>
  <si>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</si>
  <si>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</si>
  <si>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</si>
  <si>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</si>
  <si>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</si>
  <si>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</si>
  <si>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</si>
  <si>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</si>
  <si>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</si>
  <si>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</si>
  <si>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</si>
  <si>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</si>
  <si>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</si>
  <si>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</si>
  <si>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</si>
  <si>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</si>
  <si>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</si>
  <si>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</si>
  <si>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</si>
  <si>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</si>
  <si>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</si>
  <si>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</si>
  <si>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</si>
  <si>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</si>
  <si>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</si>
  <si>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</si>
  <si>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</si>
  <si>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</si>
  <si>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</si>
  <si>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</si>
  <si>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</si>
  <si>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</si>
  <si>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</si>
  <si>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</si>
  <si>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</si>
  <si>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</si>
  <si>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</si>
  <si>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</si>
  <si>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</si>
  <si>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</si>
  <si>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</si>
  <si>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</si>
  <si>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</si>
  <si>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</si>
  <si>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</si>
  <si>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</si>
  <si>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</si>
  <si>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</si>
  <si>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</si>
  <si>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</si>
  <si>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</si>
  <si>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</si>
  <si>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</si>
  <si>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</si>
  <si>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</si>
  <si>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</si>
  <si>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</si>
  <si>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</si>
  <si>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</si>
  <si>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</si>
  <si>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</si>
  <si>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</si>
  <si>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</si>
  <si>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</si>
  <si>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</si>
  <si>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</si>
  <si>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</si>
  <si>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</si>
  <si>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</si>
  <si>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</si>
  <si>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</si>
  <si>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</si>
  <si>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</si>
  <si>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</si>
  <si>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</si>
  <si>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</si>
  <si>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</si>
  <si>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</si>
  <si>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</si>
  <si>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</si>
  <si>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</si>
  <si>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</si>
  <si>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</si>
  <si>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</si>
  <si>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</si>
  <si>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</si>
  <si>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</si>
  <si>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</si>
  <si>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</si>
  <si>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</si>
  <si>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</si>
  <si>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</si>
  <si>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</si>
  <si>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</si>
  <si>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</si>
  <si>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</si>
  <si>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</si>
  <si>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</si>
  <si>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</si>
  <si>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</si>
  <si>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</si>
  <si>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</si>
  <si>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</si>
  <si>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</si>
  <si>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</si>
  <si>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</si>
  <si>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</si>
  <si>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</si>
  <si>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</si>
  <si>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</si>
  <si>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</si>
  <si>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</si>
  <si>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</si>
  <si>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</si>
  <si>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</si>
  <si>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</si>
  <si>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</si>
  <si>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</si>
  <si>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</si>
  <si>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</si>
  <si>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</si>
  <si>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</si>
  <si>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</si>
  <si>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</si>
  <si>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</si>
  <si>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</si>
  <si>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</si>
  <si>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</si>
  <si>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</si>
  <si>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</si>
  <si>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</si>
  <si>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</si>
  <si>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</si>
  <si>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</si>
  <si>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</si>
  <si>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</si>
  <si>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</si>
  <si>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</si>
  <si>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</si>
  <si>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</si>
  <si>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</si>
  <si>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</si>
  <si>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</si>
  <si>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</si>
  <si>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</si>
  <si>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</si>
  <si>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</si>
  <si>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</si>
  <si>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</si>
  <si>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</si>
  <si>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</si>
  <si>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</si>
  <si>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</si>
  <si>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</si>
  <si>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</si>
  <si>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</si>
  <si>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</si>
  <si>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</si>
  <si>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</si>
  <si>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</si>
  <si>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</si>
  <si>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</si>
  <si>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</si>
  <si>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</si>
  <si>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</si>
  <si>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</si>
  <si>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</si>
  <si>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</si>
  <si>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</si>
  <si>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</si>
  <si>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</si>
  <si>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</si>
  <si>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</si>
  <si>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</si>
  <si>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</si>
  <si>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</si>
  <si>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</si>
  <si>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</si>
  <si>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</si>
  <si>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</si>
  <si>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</si>
  <si>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</si>
  <si>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</si>
  <si>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</si>
  <si>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</si>
  <si>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</si>
  <si>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</si>
  <si>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</si>
  <si>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</si>
  <si>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</si>
  <si>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</si>
  <si>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</si>
  <si>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</si>
  <si>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</si>
  <si>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</si>
  <si>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</si>
  <si>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</si>
  <si>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</si>
  <si>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</si>
  <si>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</si>
  <si>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</si>
  <si>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</si>
  <si>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</si>
  <si>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</si>
  <si>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</si>
  <si>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</si>
  <si>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</si>
  <si>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</si>
  <si>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</si>
  <si>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</si>
  <si>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</si>
  <si>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</si>
  <si>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</si>
  <si>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</si>
  <si>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</si>
  <si>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</si>
  <si>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</si>
  <si>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</si>
  <si>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</si>
  <si>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</si>
  <si>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</si>
  <si>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</si>
  <si>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</si>
  <si>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</si>
  <si>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</si>
  <si>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</si>
  <si>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</si>
  <si>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</si>
  <si>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</si>
  <si>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</si>
  <si>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</si>
  <si>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</si>
  <si>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</si>
  <si>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</si>
  <si>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</si>
  <si>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</si>
  <si>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</si>
  <si>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</si>
  <si>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</si>
  <si>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</si>
  <si>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</si>
  <si>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</si>
  <si>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</si>
  <si>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</si>
  <si>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</si>
  <si>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</si>
  <si>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</si>
  <si>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</si>
  <si>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</si>
  <si>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</si>
  <si>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</si>
  <si>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</si>
  <si>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</si>
  <si>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</si>
  <si>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</si>
  <si>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</si>
  <si>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</si>
  <si>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</si>
  <si>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</si>
  <si>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</si>
  <si>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</si>
  <si>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</si>
  <si>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</si>
  <si>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</si>
  <si>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</si>
  <si>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</si>
  <si>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</si>
  <si>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</si>
  <si>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</si>
  <si>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</si>
  <si>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</si>
  <si>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</si>
  <si>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</si>
  <si>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</si>
  <si>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</si>
  <si>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</si>
  <si>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</si>
  <si>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</si>
  <si>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</si>
  <si>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</si>
  <si>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</si>
  <si>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</si>
  <si>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</si>
  <si>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</si>
  <si>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</si>
  <si>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</si>
  <si>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</si>
  <si>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</si>
  <si>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</si>
  <si>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</si>
  <si>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</si>
  <si>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</si>
  <si>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</si>
  <si>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</si>
  <si>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</si>
  <si>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</si>
  <si>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</si>
  <si>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</si>
  <si>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</si>
  <si>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</si>
  <si>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</si>
  <si>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</si>
  <si>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</si>
  <si>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</si>
  <si>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</si>
  <si>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</si>
  <si>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</si>
  <si>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</si>
  <si>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</si>
  <si>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</si>
  <si>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</si>
  <si>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</si>
  <si>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</si>
  <si>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</si>
  <si>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</si>
  <si>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</si>
  <si>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</si>
  <si>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</si>
  <si>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</si>
  <si>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</si>
  <si>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</si>
  <si>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</si>
  <si>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</si>
  <si>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</si>
  <si>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</si>
  <si>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</si>
  <si>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</si>
  <si>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</si>
  <si>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</si>
  <si>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</si>
  <si>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</si>
  <si>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</si>
  <si>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</si>
  <si>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</si>
  <si>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</si>
  <si>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</si>
  <si>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</si>
  <si>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</si>
  <si>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</si>
  <si>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</si>
  <si>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</si>
  <si>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</si>
  <si>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</si>
  <si>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</si>
  <si>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</si>
  <si>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</si>
  <si>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</si>
  <si>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</si>
  <si>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</si>
  <si>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</si>
  <si>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</si>
  <si>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</si>
  <si>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</si>
  <si>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</si>
  <si>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</si>
  <si>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</si>
  <si>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</si>
  <si>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</si>
  <si>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</si>
  <si>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</si>
  <si>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</si>
  <si>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</si>
  <si>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</si>
  <si>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</si>
  <si>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</si>
  <si>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</si>
  <si>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</si>
  <si>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</si>
  <si>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</si>
  <si>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</si>
  <si>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</si>
  <si>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</si>
  <si>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</si>
  <si>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</si>
  <si>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</si>
  <si>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</si>
  <si>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</si>
  <si>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</si>
  <si>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</si>
  <si>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</si>
  <si>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</si>
  <si>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</si>
  <si>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</si>
  <si>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</si>
  <si>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</si>
  <si>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</si>
  <si>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</si>
  <si>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</si>
  <si>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</si>
  <si>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</si>
  <si>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</si>
  <si>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</si>
  <si>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</si>
  <si>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</si>
  <si>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</si>
  <si>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</si>
  <si>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</si>
  <si>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</si>
  <si>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</si>
  <si>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</si>
  <si>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</si>
  <si>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</si>
  <si>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</si>
  <si>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</si>
  <si>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</si>
  <si>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</si>
  <si>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</si>
  <si>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</si>
  <si>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</si>
  <si>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</si>
  <si>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</si>
  <si>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</si>
  <si>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</si>
  <si>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</si>
  <si>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</si>
  <si>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</si>
  <si>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</si>
  <si>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</si>
  <si>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</si>
  <si>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</si>
  <si>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</si>
  <si>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</si>
  <si>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</si>
  <si>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</si>
  <si>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</si>
  <si>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</si>
  <si>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</si>
  <si>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</si>
  <si>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</si>
  <si>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</si>
  <si>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</si>
  <si>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</si>
  <si>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</si>
  <si>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</si>
  <si>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</si>
  <si>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</si>
  <si>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</si>
  <si>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</si>
  <si>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</si>
  <si>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</si>
  <si>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</si>
  <si>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</si>
  <si>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</si>
  <si>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</si>
  <si>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</si>
  <si>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</si>
  <si>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</si>
  <si>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</si>
  <si>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</si>
  <si>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</si>
  <si>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</si>
  <si>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</si>
  <si>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</si>
  <si>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</si>
  <si>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</si>
  <si>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</si>
  <si>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</si>
  <si>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</si>
  <si>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</si>
  <si>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</si>
  <si>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</si>
  <si>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</si>
  <si>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</si>
  <si>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</si>
  <si>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</si>
  <si>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</si>
  <si>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</si>
  <si>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</si>
  <si>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</si>
  <si>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</si>
  <si>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</si>
  <si>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</si>
  <si>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</si>
  <si>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</si>
  <si>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</si>
  <si>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</si>
  <si>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</si>
  <si>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</si>
  <si>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</si>
  <si>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</si>
  <si>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</si>
  <si>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</si>
  <si>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</si>
  <si>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</si>
  <si>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</si>
  <si>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</si>
  <si>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</si>
  <si>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</si>
  <si>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</si>
  <si>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</si>
  <si>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</si>
  <si>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</si>
  <si>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</si>
  <si>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</si>
  <si>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</si>
  <si>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</si>
  <si>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</si>
  <si>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</si>
  <si>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</si>
  <si>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</si>
  <si>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</si>
  <si>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</si>
  <si>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</si>
  <si>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</si>
  <si>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</si>
  <si>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</si>
  <si>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</si>
  <si>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</si>
  <si>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</si>
  <si>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</si>
  <si>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</si>
  <si>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</si>
  <si>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</si>
  <si>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</si>
  <si>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</si>
  <si>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</si>
  <si>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</si>
  <si>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</si>
  <si>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</si>
  <si>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</si>
  <si>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</si>
  <si>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</si>
  <si>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</si>
  <si>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</si>
  <si>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</si>
  <si>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</si>
  <si>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</si>
  <si>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</si>
  <si>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</si>
  <si>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</si>
  <si>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</si>
  <si>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</si>
  <si>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</si>
  <si>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</si>
  <si>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</si>
  <si>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</si>
  <si>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</si>
  <si>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</si>
  <si>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</si>
  <si>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</si>
  <si>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</si>
  <si>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</si>
  <si>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</si>
  <si>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</si>
  <si>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</si>
  <si>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</si>
  <si>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</si>
  <si>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</si>
  <si>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</si>
  <si>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</si>
  <si>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</si>
  <si>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</si>
  <si>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</si>
  <si>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</si>
  <si>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</si>
  <si>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</si>
  <si>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</si>
  <si>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</si>
  <si>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</si>
  <si>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</si>
  <si>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</si>
  <si>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</si>
  <si>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</si>
  <si>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</si>
  <si>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</si>
  <si>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</si>
  <si>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</si>
  <si>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</si>
  <si>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</si>
  <si>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</si>
  <si>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</si>
  <si>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</si>
  <si>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</si>
  <si>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</si>
  <si>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</si>
  <si>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</si>
  <si>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</si>
  <si>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</si>
  <si>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</si>
  <si>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</si>
  <si>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Error OD Máj</t>
  </si>
  <si>
    <t>Ponúkame servis a predaj mobilov, počítačov a príslušenstva, poradenstvo v oblasti IT, služby dopravcu Packeta a operátora 4ka.</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</si>
  <si>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</si>
  <si>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</si>
  <si>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</si>
  <si>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</si>
  <si>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</si>
  <si>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</si>
  <si>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</si>
  <si>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</si>
  <si>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</si>
  <si>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</si>
  <si>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</si>
  <si>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</si>
  <si>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</si>
  <si>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</si>
  <si>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</si>
  <si>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</si>
  <si>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</si>
  <si>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</si>
  <si>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</si>
  <si>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</si>
  <si>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</si>
  <si>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</si>
  <si>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</si>
  <si>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</si>
  <si>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</si>
  <si>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</si>
  <si>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</si>
  <si>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</si>
  <si>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</si>
  <si>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</si>
  <si>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</si>
  <si>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</si>
  <si>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</si>
  <si>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</si>
  <si>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</si>
  <si>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</si>
  <si>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</si>
  <si>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</si>
  <si>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</si>
  <si>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</si>
  <si>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</si>
  <si>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</si>
  <si>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</si>
  <si>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</si>
  <si>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</si>
  <si>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</si>
  <si>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</si>
  <si>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</si>
  <si>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</si>
  <si>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</si>
  <si>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</si>
  <si>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</si>
  <si>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</si>
  <si>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</si>
  <si>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</si>
  <si>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</si>
  <si>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</si>
  <si>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</si>
  <si>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</si>
  <si>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</si>
  <si>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</si>
  <si>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</si>
  <si>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</si>
  <si>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</si>
  <si>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</si>
  <si>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</si>
  <si>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</si>
  <si>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</si>
  <si>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</si>
  <si>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</si>
  <si>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</si>
  <si>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</si>
  <si>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</si>
  <si>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</si>
  <si>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</si>
  <si>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</si>
  <si>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</si>
  <si>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</si>
  <si>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</si>
  <si>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</si>
  <si>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</si>
  <si>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</si>
  <si>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</si>
  <si>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</si>
  <si>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</si>
  <si>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</si>
  <si>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</si>
  <si>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</si>
  <si>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</si>
  <si>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</si>
  <si>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</si>
  <si>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</si>
  <si>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</si>
  <si>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</si>
  <si>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</si>
  <si>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</si>
  <si>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</si>
  <si>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 xml:space="preserve">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</si>
  <si>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</si>
  <si>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</si>
  <si>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</si>
  <si>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</si>
  <si>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</si>
  <si>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https://katalogsp.sk/wp-content/uploads/2022/06/Capica_foto_prevadzka_main.jpg</t>
  </si>
  <si>
    <t>https://katalogsp.sk/capica-s-r-o/</t>
  </si>
  <si>
    <t>+421 907 174 322</t>
  </si>
  <si>
    <t>info@siltovky.com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</si>
  <si>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</si>
  <si>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</si>
  <si>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</si>
  <si>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</si>
  <si>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</si>
  <si>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</si>
  <si>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</si>
  <si>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</si>
  <si>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</si>
  <si>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</si>
  <si>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</si>
  <si>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</si>
  <si>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</si>
  <si>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</si>
  <si>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</si>
  <si>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</si>
  <si>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</si>
  <si>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</si>
  <si>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</si>
  <si>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</si>
  <si>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</si>
  <si>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</si>
  <si>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</si>
  <si>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</si>
  <si>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</si>
  <si>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</si>
  <si>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</si>
  <si>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</si>
  <si>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</si>
  <si>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</si>
  <si>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</si>
  <si>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</si>
  <si>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</si>
  <si>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</si>
  <si>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</si>
  <si>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</si>
  <si>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</si>
  <si>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</si>
  <si>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</si>
  <si>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</si>
  <si>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</si>
  <si>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</si>
  <si>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</si>
  <si>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</si>
  <si>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</si>
  <si>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</si>
  <si>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</si>
  <si>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</si>
  <si>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</si>
  <si>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</si>
  <si>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</si>
  <si>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</si>
  <si>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</si>
  <si>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</si>
  <si>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</si>
  <si>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</si>
  <si>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</si>
  <si>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</si>
  <si>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</si>
  <si>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</si>
  <si>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</si>
  <si>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</si>
  <si>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</si>
  <si>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</si>
  <si>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</si>
  <si>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</si>
  <si>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</si>
  <si>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</si>
  <si>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</si>
  <si>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</si>
  <si>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</si>
  <si>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</si>
  <si>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</si>
  <si>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</si>
  <si>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</si>
  <si>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</si>
  <si>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</si>
  <si>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</si>
  <si>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</si>
  <si>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</si>
  <si>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</si>
  <si>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</si>
  <si>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</si>
  <si>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</si>
  <si>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</si>
  <si>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</si>
  <si>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</si>
  <si>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</si>
  <si>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</si>
  <si>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</si>
  <si>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</si>
  <si>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</si>
  <si>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</si>
  <si>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</si>
  <si>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</si>
  <si>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</si>
  <si>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</si>
  <si>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</si>
  <si>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</si>
  <si>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</si>
  <si>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</si>
  <si>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</si>
  <si>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</si>
  <si>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</si>
  <si>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</si>
  <si>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</si>
  <si>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</si>
  <si>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</si>
  <si>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</si>
  <si>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</si>
  <si>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</si>
  <si>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</si>
  <si>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</si>
  <si>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</si>
  <si>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</si>
  <si>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</si>
  <si>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</si>
  <si>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</si>
  <si>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</si>
  <si>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</si>
  <si>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</si>
  <si>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</si>
  <si>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</si>
  <si>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</si>
  <si>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</si>
  <si>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</si>
  <si>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</si>
  <si>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</si>
  <si>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</si>
  <si>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</si>
  <si>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</si>
  <si>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</si>
  <si>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</si>
  <si>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</si>
  <si>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</si>
  <si>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</si>
  <si>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</si>
  <si>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</si>
  <si>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</si>
  <si>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</si>
  <si>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</si>
  <si>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</si>
  <si>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</si>
  <si>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</si>
  <si>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</si>
  <si>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</si>
  <si>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</si>
  <si>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</si>
  <si>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</si>
  <si>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</si>
  <si>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</si>
  <si>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</si>
  <si>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</si>
  <si>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</si>
  <si>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</si>
  <si>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</si>
  <si>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</si>
  <si>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</si>
  <si>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</si>
  <si>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</si>
  <si>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</si>
  <si>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</si>
  <si>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</si>
  <si>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</si>
  <si>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</si>
  <si>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</si>
  <si>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</si>
  <si>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</si>
  <si>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</si>
  <si>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</si>
  <si>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</si>
  <si>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</si>
  <si>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</si>
  <si>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</si>
  <si>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</si>
  <si>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</si>
  <si>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</si>
  <si>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</si>
  <si>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</si>
  <si>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</si>
  <si>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</si>
  <si>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</si>
  <si>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</si>
  <si>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</si>
  <si>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</si>
  <si>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</si>
  <si>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</si>
  <si>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</si>
  <si>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</si>
  <si>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</si>
  <si>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</si>
  <si>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</si>
  <si>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</si>
  <si>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</si>
  <si>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</si>
  <si>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</si>
  <si>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</si>
  <si>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</si>
  <si>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</si>
  <si>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</si>
  <si>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</si>
  <si>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</si>
  <si>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</si>
  <si>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</si>
  <si>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</si>
  <si>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</si>
  <si>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</si>
  <si>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</si>
  <si>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</si>
  <si>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</si>
  <si>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</si>
  <si>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</si>
  <si>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</si>
  <si>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</si>
  <si>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</si>
  <si>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</si>
  <si>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</si>
  <si>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</si>
  <si>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http://katalogsp.sk/wp-content/uploads/2022/07/logo-minoritas_karta.png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</si>
  <si>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</si>
  <si>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</si>
  <si>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</si>
  <si>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</si>
  <si>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</si>
  <si>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</si>
  <si>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</si>
  <si>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</si>
  <si>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</si>
  <si>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</si>
  <si>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</si>
  <si>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</si>
  <si>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</si>
  <si>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</si>
  <si>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</si>
  <si>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</si>
  <si>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</si>
  <si>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</si>
  <si>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</si>
  <si>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</si>
  <si>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</si>
  <si>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</si>
  <si>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</si>
  <si>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</si>
  <si>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</si>
  <si>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</si>
  <si>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</si>
  <si>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</si>
  <si>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</si>
  <si>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</si>
  <si>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</si>
  <si>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</si>
  <si>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</si>
  <si>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</si>
  <si>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</si>
  <si>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</si>
  <si>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</si>
  <si>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</si>
  <si>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</si>
  <si>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</si>
  <si>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</si>
  <si>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</si>
  <si>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</si>
  <si>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</si>
  <si>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</si>
  <si>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</si>
  <si>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</si>
  <si>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</si>
  <si>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</si>
  <si>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</si>
  <si>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</si>
  <si>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</si>
  <si>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</si>
  <si>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</si>
  <si>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</si>
  <si>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</si>
  <si>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</si>
  <si>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</si>
  <si>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</si>
  <si>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</si>
  <si>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</si>
  <si>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</si>
  <si>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</si>
  <si>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</si>
  <si>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</si>
  <si>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</si>
  <si>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</si>
  <si>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</si>
  <si>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</si>
  <si>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</si>
  <si>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</si>
  <si>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</si>
  <si>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</si>
  <si>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</si>
  <si>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</si>
  <si>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</si>
  <si>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</si>
  <si>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</si>
  <si>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</si>
  <si>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</si>
  <si>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</si>
  <si>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</si>
  <si>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</si>
  <si>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</si>
  <si>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</si>
  <si>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</si>
  <si>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</si>
  <si>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</si>
  <si>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</si>
  <si>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</si>
  <si>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</si>
  <si>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</si>
  <si>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</si>
  <si>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</si>
  <si>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</si>
  <si>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</si>
  <si>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</si>
  <si>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</si>
  <si>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</si>
  <si>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</si>
  <si>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</si>
  <si>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</si>
  <si>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</si>
  <si>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</si>
  <si>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</si>
  <si>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</si>
  <si>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</si>
  <si>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</si>
  <si>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</si>
  <si>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</si>
  <si>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</si>
  <si>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</si>
  <si>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</si>
  <si>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</si>
  <si>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</si>
  <si>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</si>
  <si>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</si>
  <si>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</si>
  <si>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</si>
  <si>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</si>
  <si>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</si>
  <si>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</si>
  <si>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</si>
  <si>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</si>
  <si>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</si>
  <si>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</si>
  <si>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</si>
  <si>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</si>
  <si>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</si>
  <si>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</si>
  <si>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</si>
  <si>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</si>
  <si>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</si>
  <si>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</si>
  <si>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</si>
  <si>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</si>
  <si>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</si>
  <si>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</si>
  <si>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</si>
  <si>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</si>
  <si>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</si>
  <si>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</si>
  <si>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</si>
  <si>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</si>
  <si>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</si>
  <si>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</si>
  <si>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</si>
  <si>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</si>
  <si>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</si>
  <si>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</si>
  <si>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</si>
  <si>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</si>
  <si>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</si>
  <si>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</si>
  <si>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</si>
  <si>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</si>
  <si>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</si>
  <si>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</si>
  <si>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</si>
  <si>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</si>
  <si>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</si>
  <si>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</si>
  <si>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</si>
  <si>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</si>
  <si>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</si>
  <si>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</si>
  <si>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</si>
  <si>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</si>
  <si>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</si>
  <si>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</si>
  <si>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</si>
  <si>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</si>
  <si>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</si>
  <si>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</si>
  <si>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</si>
  <si>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</si>
  <si>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</si>
  <si>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</si>
  <si>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</si>
  <si>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</si>
  <si>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</si>
  <si>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</si>
  <si>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</si>
  <si>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</si>
  <si>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</si>
  <si>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</si>
  <si>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</si>
  <si>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</si>
  <si>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</si>
  <si>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</si>
  <si>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</si>
  <si>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</si>
  <si>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</si>
  <si>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</si>
  <si>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</si>
  <si>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</si>
  <si>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</si>
  <si>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</si>
  <si>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</si>
  <si>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</si>
  <si>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</si>
  <si>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</si>
  <si>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</si>
  <si>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</si>
  <si>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</si>
  <si>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</si>
  <si>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</si>
  <si>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</si>
  <si>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</si>
  <si>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</si>
  <si>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</si>
  <si>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</si>
  <si>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</si>
  <si>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</si>
  <si>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</si>
  <si>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</si>
  <si>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</si>
  <si>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</si>
  <si>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</si>
  <si>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</si>
  <si>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</si>
  <si>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</si>
  <si>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</si>
  <si>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</si>
  <si>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</si>
  <si>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</si>
  <si>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</si>
  <si>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</si>
  <si>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</si>
  <si>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</si>
  <si>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</si>
  <si>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</si>
  <si>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</si>
  <si>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</si>
  <si>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</si>
  <si>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</si>
  <si>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</si>
  <si>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</si>
  <si>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</si>
  <si>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</si>
  <si>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</si>
  <si>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</si>
  <si>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</si>
  <si>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</si>
  <si>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</si>
  <si>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</si>
  <si>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</si>
  <si>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</si>
  <si>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</si>
  <si>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</si>
  <si>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</si>
  <si>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</si>
  <si>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</si>
  <si>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</si>
  <si>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</si>
  <si>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</si>
  <si>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</si>
  <si>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</si>
  <si>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</si>
  <si>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</si>
  <si>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</si>
  <si>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</si>
  <si>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</si>
  <si>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</si>
  <si>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</si>
  <si>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</si>
  <si>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</si>
  <si>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</si>
  <si>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</si>
  <si>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</si>
  <si>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</si>
  <si>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</si>
  <si>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</si>
  <si>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</si>
  <si>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</si>
  <si>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</si>
  <si>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</si>
  <si>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</si>
  <si>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</si>
  <si>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</si>
  <si>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</si>
  <si>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</si>
  <si>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</si>
  <si>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</si>
  <si>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</si>
  <si>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</si>
  <si>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</si>
  <si>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</si>
  <si>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</si>
  <si>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</si>
  <si>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</si>
  <si>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</si>
  <si>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</si>
  <si>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</si>
  <si>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</si>
  <si>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</si>
  <si>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</si>
  <si>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wellmea@wellnea.sk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</si>
  <si>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</si>
  <si>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</si>
  <si>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</si>
  <si>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</si>
  <si>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</si>
  <si>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</si>
  <si>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</si>
  <si>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</si>
  <si>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</si>
  <si>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</si>
  <si>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</si>
  <si>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</si>
  <si>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</si>
  <si>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</si>
  <si>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</si>
  <si>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</si>
  <si>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</si>
  <si>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</si>
  <si>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</si>
  <si>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</si>
  <si>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</si>
  <si>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</si>
  <si>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</si>
  <si>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</si>
  <si>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</si>
  <si>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</si>
  <si>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</si>
  <si>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</si>
  <si>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</si>
  <si>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</si>
  <si>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</si>
  <si>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</si>
  <si>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</si>
  <si>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</si>
  <si>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</si>
  <si>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</si>
  <si>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</si>
  <si>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</si>
  <si>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</si>
  <si>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</si>
  <si>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</si>
  <si>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</si>
  <si>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</si>
  <si>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 xml:space="preserve"> 064 01 Stará Ľubovňa</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</si>
  <si>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</si>
  <si>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</si>
  <si>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</si>
  <si>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</si>
  <si>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</si>
  <si>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</si>
  <si>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</si>
  <si>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</si>
  <si>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</si>
  <si>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</si>
  <si>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</si>
  <si>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</si>
  <si>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</si>
  <si>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</si>
  <si>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</si>
  <si>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</si>
  <si>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</si>
  <si>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</si>
  <si>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</si>
  <si>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</si>
  <si>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</si>
  <si>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</si>
  <si>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</si>
  <si>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</si>
  <si>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</si>
  <si>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</si>
  <si>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</si>
  <si>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</si>
  <si>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</si>
  <si>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</si>
  <si>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</si>
  <si>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</si>
  <si>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</si>
  <si>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</si>
  <si>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</si>
  <si>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</si>
  <si>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</si>
  <si>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</si>
  <si>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</si>
  <si>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</si>
  <si>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</si>
  <si>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</si>
  <si>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</si>
  <si>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</si>
  <si>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</si>
  <si>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</si>
  <si>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</si>
  <si>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</si>
  <si>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</si>
  <si>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</si>
  <si>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</si>
  <si>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</si>
  <si>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</si>
  <si>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</si>
  <si>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</si>
  <si>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</si>
  <si>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</si>
  <si>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</si>
  <si>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</si>
  <si>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</si>
  <si>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</si>
  <si>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</si>
  <si>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</si>
  <si>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</si>
  <si>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</si>
  <si>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</si>
  <si>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</si>
  <si>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</si>
  <si>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</si>
  <si>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</si>
  <si>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</si>
  <si>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</si>
  <si>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</si>
  <si>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</si>
  <si>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</si>
  <si>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</si>
  <si>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</si>
  <si>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</si>
  <si>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</si>
  <si>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</si>
  <si>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</si>
  <si>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</si>
  <si>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</si>
  <si>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</si>
  <si>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</si>
  <si>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</si>
  <si>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</si>
  <si>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</si>
  <si>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</si>
  <si>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</si>
  <si>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</si>
  <si>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</si>
  <si>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</si>
  <si>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</si>
  <si>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</si>
  <si>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</si>
  <si>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</si>
  <si>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</si>
  <si>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</si>
  <si>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</si>
  <si>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</si>
  <si>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</si>
  <si>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</si>
  <si>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</si>
  <si>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</si>
  <si>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</si>
  <si>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</si>
  <si>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</si>
  <si>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</si>
  <si>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</si>
  <si>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</si>
  <si>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</si>
  <si>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</si>
  <si>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</si>
  <si>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</si>
  <si>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</si>
  <si>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</si>
  <si>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</si>
  <si>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</si>
  <si>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</si>
  <si>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</si>
  <si>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</si>
  <si>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</si>
  <si>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</si>
  <si>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</si>
  <si>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</si>
  <si>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</si>
  <si>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</si>
  <si>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</si>
  <si>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</si>
  <si>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</si>
  <si>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</si>
  <si>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</si>
  <si>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</si>
  <si>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</si>
  <si>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</si>
  <si>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</si>
  <si>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</si>
  <si>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</si>
  <si>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</si>
  <si>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</si>
  <si>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</si>
  <si>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</si>
  <si>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</si>
  <si>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</si>
  <si>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</si>
  <si>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</si>
  <si>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</si>
  <si>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</si>
  <si>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</si>
  <si>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</si>
  <si>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</si>
  <si>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</si>
  <si>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</si>
  <si>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</si>
  <si>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</si>
  <si>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</si>
  <si>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</si>
  <si>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</si>
  <si>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</si>
  <si>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</si>
  <si>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</si>
  <si>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</si>
  <si>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</si>
  <si>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</si>
  <si>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</si>
  <si>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</si>
  <si>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</si>
  <si>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</si>
  <si>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</si>
  <si>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</si>
  <si>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</si>
  <si>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</si>
  <si>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</si>
  <si>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</si>
  <si>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</si>
  <si>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</si>
  <si>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</si>
  <si>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</si>
  <si>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</si>
  <si>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</si>
  <si>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</si>
  <si>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</si>
  <si>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</si>
  <si>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</si>
  <si>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</si>
  <si>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</si>
  <si>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</si>
  <si>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</si>
  <si>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</si>
  <si>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</si>
  <si>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</si>
  <si>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</si>
  <si>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</si>
  <si>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</si>
  <si>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</si>
  <si>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</si>
  <si>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</si>
  <si>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</si>
  <si>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</si>
  <si>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</si>
  <si>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</si>
  <si>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</si>
  <si>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</si>
  <si>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</si>
  <si>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</si>
  <si>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</si>
  <si>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</si>
  <si>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</si>
  <si>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</si>
  <si>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</si>
  <si>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</si>
  <si>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</si>
  <si>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</si>
  <si>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</si>
  <si>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</si>
  <si>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</si>
  <si>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</si>
  <si>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</si>
  <si>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</si>
  <si>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</si>
  <si>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</si>
  <si>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</si>
  <si>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</si>
  <si>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</si>
  <si>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</si>
  <si>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</si>
  <si>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</si>
  <si>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</si>
  <si>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</si>
  <si>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</si>
  <si>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</si>
  <si>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</si>
  <si>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</si>
  <si>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</si>
  <si>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</si>
  <si>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</si>
  <si>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</si>
  <si>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</si>
  <si>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</si>
  <si>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</si>
  <si>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</si>
  <si>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</si>
  <si>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</si>
  <si>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</si>
  <si>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</si>
  <si>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</si>
  <si>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</si>
  <si>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</si>
  <si>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</si>
  <si>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</si>
  <si>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</si>
  <si>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</si>
  <si>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</si>
  <si>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</si>
  <si>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</si>
  <si>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</si>
  <si>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</si>
  <si>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</si>
  <si>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</si>
  <si>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</si>
  <si>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</si>
  <si>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</si>
  <si>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</si>
  <si>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</si>
  <si>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</si>
  <si>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</si>
  <si>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</si>
  <si>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</si>
  <si>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</si>
  <si>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</si>
  <si>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</si>
  <si>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</si>
  <si>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</si>
  <si>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</si>
  <si>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</si>
  <si>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</si>
  <si>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</si>
  <si>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</si>
  <si>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</si>
  <si>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</si>
  <si>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</si>
  <si>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</si>
  <si>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</si>
  <si>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</si>
  <si>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</si>
  <si>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</si>
  <si>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</si>
  <si>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</si>
  <si>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</si>
  <si>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</si>
  <si>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</si>
  <si>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</si>
  <si>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</si>
  <si>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</si>
  <si>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</si>
  <si>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</si>
  <si>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</si>
  <si>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</si>
  <si>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</si>
  <si>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</si>
  <si>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</si>
  <si>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</si>
  <si>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</si>
  <si>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</si>
  <si>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</si>
  <si>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</si>
  <si>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</si>
  <si>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</si>
  <si>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</si>
  <si>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</si>
  <si>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</si>
  <si>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</si>
  <si>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</si>
  <si>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</si>
  <si>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</si>
  <si>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</si>
  <si>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</si>
  <si>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</si>
  <si>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</si>
  <si>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</si>
  <si>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</si>
  <si>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</si>
  <si>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</si>
  <si>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</si>
  <si>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</si>
  <si>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</si>
  <si>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</si>
  <si>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</si>
  <si>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</si>
  <si>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</si>
  <si>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</si>
  <si>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</si>
  <si>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</si>
  <si>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</si>
  <si>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</si>
  <si>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</si>
  <si>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</si>
  <si>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</si>
  <si>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</si>
  <si>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</si>
  <si>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</si>
  <si>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</si>
  <si>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</si>
  <si>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</si>
  <si>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</si>
  <si>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</si>
  <si>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</si>
  <si>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</si>
  <si>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</si>
  <si>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</si>
  <si>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</si>
  <si>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</si>
  <si>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</si>
  <si>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</si>
  <si>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</si>
  <si>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</si>
  <si>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</si>
  <si>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</si>
  <si>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</si>
  <si>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</si>
  <si>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</si>
  <si>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</si>
  <si>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</si>
  <si>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</si>
  <si>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</si>
  <si>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</si>
  <si>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</si>
  <si>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</si>
  <si>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</si>
  <si>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</si>
  <si>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</si>
  <si>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</si>
  <si>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</si>
  <si>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</si>
  <si>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</si>
  <si>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</si>
  <si>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</si>
  <si>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</si>
  <si>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</si>
  <si>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</si>
  <si>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</si>
  <si>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</si>
  <si>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</si>
  <si>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</si>
  <si>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</si>
  <si>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</si>
  <si>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</si>
  <si>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</si>
  <si>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</si>
  <si>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</si>
  <si>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</si>
  <si>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</si>
  <si>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</si>
  <si>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</si>
  <si>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</si>
  <si>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</si>
  <si>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</si>
  <si>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</si>
  <si>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</si>
  <si>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</si>
  <si>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</si>
  <si>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</si>
  <si>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</si>
  <si>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</si>
  <si>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</si>
  <si>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</si>
  <si>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</si>
  <si>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</si>
  <si>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</si>
  <si>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</si>
  <si>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</si>
  <si>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</si>
  <si>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</si>
  <si>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</si>
  <si>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</si>
  <si>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</si>
  <si>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</si>
  <si>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</si>
  <si>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</si>
  <si>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</si>
  <si>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</si>
  <si>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</si>
  <si>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</si>
  <si>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</si>
  <si>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</si>
  <si>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</si>
  <si>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</si>
  <si>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</si>
  <si>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</si>
  <si>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</si>
  <si>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</si>
  <si>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</si>
  <si>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</si>
  <si>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</si>
  <si>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</si>
  <si>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</si>
  <si>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</si>
  <si>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</si>
  <si>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</si>
  <si>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</si>
  <si>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</si>
  <si>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</si>
  <si>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</si>
  <si>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</si>
  <si>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</si>
  <si>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</si>
  <si>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</si>
  <si>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</si>
  <si>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</si>
  <si>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</si>
  <si>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</si>
  <si>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</si>
  <si>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</si>
  <si>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</si>
  <si>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</si>
  <si>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</si>
  <si>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</si>
  <si>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</si>
  <si>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</si>
  <si>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</si>
  <si>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</si>
  <si>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</si>
  <si>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</si>
  <si>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</si>
  <si>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</si>
  <si>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</si>
  <si>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</si>
  <si>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</si>
  <si>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</si>
  <si>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</si>
  <si>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</si>
  <si>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</si>
  <si>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</si>
  <si>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</si>
  <si>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</si>
  <si>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</si>
  <si>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</si>
  <si>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</si>
  <si>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</si>
  <si>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</si>
  <si>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</si>
  <si>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</si>
  <si>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</si>
  <si>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</si>
  <si>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</si>
  <si>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</si>
  <si>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</si>
  <si>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</si>
  <si>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</si>
  <si>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</si>
  <si>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</si>
  <si>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</si>
  <si>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</si>
  <si>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</si>
  <si>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</si>
  <si>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</si>
  <si>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</si>
  <si>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</si>
  <si>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</si>
  <si>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</si>
  <si>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</si>
  <si>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</si>
  <si>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</si>
  <si>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</si>
  <si>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</si>
  <si>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</si>
  <si>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</si>
  <si>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</si>
  <si>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</si>
  <si>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</si>
  <si>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</si>
  <si>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</si>
  <si>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</si>
  <si>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</si>
  <si>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</si>
  <si>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</si>
  <si>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</si>
  <si>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</si>
  <si>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</si>
  <si>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</si>
  <si>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</si>
  <si>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</si>
  <si>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</si>
  <si>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</si>
  <si>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</si>
  <si>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</si>
  <si>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</si>
  <si>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</si>
  <si>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</si>
  <si>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</si>
  <si>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</si>
  <si>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</si>
  <si>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</si>
  <si>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</si>
  <si>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</si>
  <si>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</si>
  <si>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</si>
  <si>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</si>
  <si>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</si>
  <si>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</si>
  <si>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</si>
  <si>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</si>
  <si>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</si>
  <si>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</si>
  <si>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</si>
  <si>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</si>
  <si>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</si>
  <si>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</si>
  <si>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</si>
  <si>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</si>
  <si>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</si>
  <si>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</si>
  <si>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</si>
  <si>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</si>
  <si>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</si>
  <si>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</si>
  <si>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</si>
  <si>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</si>
  <si>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</si>
  <si>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</si>
  <si>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</si>
  <si>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</si>
  <si>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</si>
  <si>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</si>
  <si>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</si>
  <si>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</si>
  <si>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</si>
  <si>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</si>
  <si>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</si>
  <si>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</si>
  <si>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</si>
  <si>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</si>
  <si>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</si>
  <si>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</si>
  <si>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</si>
  <si>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</si>
  <si>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</si>
  <si>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</si>
  <si>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</si>
  <si>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</si>
  <si>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</si>
  <si>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</si>
  <si>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</si>
  <si>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</si>
  <si>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</si>
  <si>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</si>
  <si>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</si>
  <si>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</si>
  <si>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</si>
  <si>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</si>
  <si>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</si>
  <si>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</si>
  <si>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</si>
  <si>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</si>
  <si>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</si>
  <si>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</si>
  <si>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</si>
  <si>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</si>
  <si>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</si>
  <si>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</si>
  <si>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</si>
  <si>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</si>
  <si>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</si>
  <si>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</si>
  <si>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</si>
  <si>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</si>
  <si>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</si>
  <si>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</si>
  <si>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</si>
  <si>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</si>
  <si>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</si>
  <si>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</si>
  <si>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</si>
  <si>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</si>
  <si>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</si>
  <si>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</si>
  <si>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</si>
  <si>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</si>
  <si>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</si>
  <si>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</si>
  <si>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</si>
  <si>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</si>
  <si>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</si>
  <si>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</si>
  <si>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</si>
  <si>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</si>
  <si>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</si>
  <si>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</si>
  <si>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</si>
  <si>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</si>
  <si>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</si>
  <si>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</si>
  <si>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</si>
  <si>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</si>
  <si>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</si>
  <si>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</si>
  <si>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</si>
  <si>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</si>
  <si>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</si>
  <si>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</si>
  <si>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</si>
  <si>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</si>
  <si>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</si>
  <si>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</si>
  <si>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</si>
  <si>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</si>
  <si>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</si>
  <si>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</si>
  <si>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</si>
  <si>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</si>
  <si>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</si>
  <si>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</si>
  <si>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</si>
  <si>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</si>
  <si>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</si>
  <si>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</si>
  <si>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</si>
  <si>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</si>
  <si>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</si>
  <si>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</si>
  <si>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</si>
  <si>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</si>
  <si>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</si>
  <si>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</si>
  <si>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</si>
  <si>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</si>
  <si>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</si>
  <si>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</si>
  <si>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</si>
  <si>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</si>
  <si>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</si>
  <si>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</si>
  <si>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</si>
  <si>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</si>
  <si>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</si>
  <si>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</si>
  <si>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</si>
  <si>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</si>
  <si>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</si>
  <si>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</si>
  <si>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</si>
  <si>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</si>
  <si>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</si>
  <si>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</si>
  <si>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</si>
  <si>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</si>
  <si>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</si>
  <si>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</si>
  <si>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</si>
  <si>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</si>
  <si>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</si>
  <si>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</si>
  <si>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</si>
  <si>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</si>
  <si>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</si>
  <si>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</si>
  <si>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</si>
  <si>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</si>
  <si>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</si>
  <si>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</si>
  <si>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</si>
  <si>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</si>
  <si>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</si>
  <si>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</si>
  <si>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</si>
  <si>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</si>
  <si>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</si>
  <si>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</si>
  <si>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</si>
  <si>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</si>
  <si>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</si>
  <si>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</si>
  <si>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</si>
  <si>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</si>
  <si>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</si>
  <si>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</si>
  <si>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</si>
  <si>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</si>
  <si>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</si>
  <si>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</si>
  <si>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</si>
  <si>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</si>
  <si>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</si>
  <si>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</si>
  <si>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</si>
  <si>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</si>
  <si>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</si>
  <si>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</si>
  <si>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</si>
  <si>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</si>
  <si>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</si>
  <si>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</si>
  <si>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</si>
  <si>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</si>
  <si>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</si>
  <si>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</si>
  <si>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</si>
  <si>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</si>
  <si>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</si>
  <si>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</si>
  <si>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</si>
  <si>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</si>
  <si>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</si>
  <si>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</si>
  <si>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</si>
  <si>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</si>
  <si>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</si>
  <si>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</si>
  <si>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</si>
  <si>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</si>
  <si>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</si>
  <si>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</si>
  <si>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</si>
  <si>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</si>
  <si>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</si>
  <si>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</si>
  <si>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</si>
  <si>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</si>
  <si>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</si>
  <si>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</si>
  <si>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</si>
  <si>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</si>
  <si>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</si>
  <si>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</si>
  <si>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</si>
  <si>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</si>
  <si>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</si>
  <si>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</si>
  <si>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</si>
  <si>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</si>
  <si>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</si>
  <si>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</si>
  <si>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</si>
  <si>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</si>
  <si>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</si>
  <si>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</si>
  <si>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</si>
  <si>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</si>
  <si>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</si>
  <si>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</si>
  <si>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</si>
  <si>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</si>
  <si>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</si>
  <si>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</si>
  <si>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</si>
  <si>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</si>
  <si>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</si>
  <si>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</si>
  <si>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</si>
  <si>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</si>
  <si>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</si>
  <si>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</si>
  <si>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</si>
  <si>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</si>
  <si>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</si>
  <si>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</si>
  <si>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</si>
  <si>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</si>
  <si>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</si>
  <si>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</si>
  <si>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</si>
  <si>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</si>
  <si>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</si>
  <si>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</si>
  <si>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</si>
  <si>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</si>
  <si>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</si>
  <si>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</si>
  <si>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</si>
  <si>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</si>
  <si>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</si>
  <si>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</si>
  <si>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</si>
  <si>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</si>
  <si>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</si>
  <si>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</si>
  <si>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</si>
  <si>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</si>
  <si>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</si>
  <si>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</si>
  <si>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</si>
  <si>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</si>
  <si>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</si>
  <si>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</si>
  <si>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</si>
  <si>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</si>
  <si>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</si>
  <si>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</si>
  <si>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</si>
  <si>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</si>
  <si>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</si>
  <si>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</si>
  <si>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</si>
  <si>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</si>
  <si>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</si>
  <si>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</si>
  <si>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</si>
  <si>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</si>
  <si>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</si>
  <si>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</si>
  <si>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</si>
  <si>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</si>
  <si>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</si>
  <si>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</si>
  <si>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</si>
  <si>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</si>
  <si>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</si>
  <si>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</si>
  <si>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</si>
  <si>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</si>
  <si>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</si>
  <si>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</si>
  <si>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</si>
  <si>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</si>
  <si>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</si>
  <si>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</si>
  <si>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</si>
  <si>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</si>
  <si>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</si>
  <si>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</si>
  <si>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</si>
  <si>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</si>
  <si>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</si>
  <si>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</si>
  <si>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</si>
  <si>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</si>
  <si>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</si>
  <si>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</si>
  <si>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</si>
  <si>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</si>
  <si>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</si>
  <si>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</si>
  <si>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</si>
  <si>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</si>
  <si>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</si>
  <si>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</si>
  <si>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</si>
  <si>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</si>
  <si>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</si>
  <si>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</si>
  <si>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</si>
  <si>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</si>
  <si>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</si>
  <si>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</si>
  <si>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</si>
  <si>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</si>
  <si>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</si>
  <si>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</si>
  <si>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</si>
  <si>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</si>
  <si>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</si>
  <si>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</si>
  <si>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</si>
  <si>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</si>
  <si>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</si>
  <si>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</si>
  <si>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</si>
  <si>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</si>
  <si>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</si>
  <si>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</si>
  <si>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</si>
  <si>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</si>
  <si>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</si>
  <si>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</si>
  <si>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</si>
  <si>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</si>
  <si>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</si>
  <si>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</si>
  <si>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</si>
  <si>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</si>
  <si>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</si>
  <si>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</si>
  <si>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</si>
  <si>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</si>
  <si>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</si>
  <si>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</si>
  <si>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</si>
  <si>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</si>
  <si>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</si>
  <si>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</si>
  <si>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</si>
  <si>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</si>
  <si>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</si>
  <si>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</si>
  <si>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</si>
  <si>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</si>
  <si>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</si>
  <si>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</si>
  <si>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</si>
  <si>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</si>
  <si>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</si>
  <si>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</si>
  <si>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</si>
  <si>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</si>
  <si>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</si>
  <si>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</si>
  <si>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</si>
  <si>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</si>
  <si>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</si>
  <si>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</si>
  <si>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</si>
  <si>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</si>
  <si>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</si>
  <si>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</si>
  <si>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</si>
  <si>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</si>
  <si>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</si>
  <si>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</si>
  <si>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</si>
  <si>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</si>
  <si>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</si>
  <si>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</si>
  <si>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</si>
  <si>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</si>
  <si>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</si>
  <si>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</si>
  <si>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</si>
  <si>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</si>
  <si>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</si>
  <si>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</si>
  <si>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</si>
  <si>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</si>
  <si>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</si>
  <si>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</si>
  <si>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</si>
  <si>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</si>
  <si>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</si>
  <si>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</si>
  <si>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</si>
  <si>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</si>
  <si>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</si>
  <si>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</si>
  <si>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</si>
  <si>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</si>
  <si>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</si>
  <si>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</si>
  <si>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</si>
  <si>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</si>
  <si>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</si>
  <si>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</si>
  <si>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</si>
  <si>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</si>
  <si>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</si>
  <si>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</si>
  <si>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</si>
  <si>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</si>
  <si>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</si>
  <si>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</si>
  <si>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</si>
  <si>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</si>
  <si>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</si>
  <si>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</si>
  <si>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</si>
  <si>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</si>
  <si>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</si>
  <si>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</si>
  <si>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</si>
  <si>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</si>
  <si>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</si>
  <si>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</si>
  <si>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</si>
  <si>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</si>
  <si>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</si>
  <si>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</si>
  <si>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</si>
  <si>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</si>
  <si>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</si>
  <si>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</si>
  <si>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</si>
  <si>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</si>
  <si>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</si>
  <si>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</si>
  <si>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</si>
  <si>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</si>
  <si>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</si>
  <si>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</si>
  <si>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</si>
  <si>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</si>
  <si>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</si>
  <si>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</si>
  <si>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</si>
  <si>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</si>
  <si>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</si>
  <si>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</si>
  <si>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</si>
  <si>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</si>
  <si>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</si>
  <si>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</si>
  <si>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</si>
  <si>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</si>
  <si>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</si>
  <si>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</si>
  <si>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</si>
  <si>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</si>
  <si>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</si>
  <si>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</si>
  <si>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</si>
  <si>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</si>
  <si>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</si>
  <si>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</si>
  <si>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</si>
  <si>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</si>
  <si>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</si>
  <si>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</si>
  <si>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</si>
  <si>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</si>
  <si>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</si>
  <si>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</si>
  <si>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</si>
  <si>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</si>
  <si>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</si>
  <si>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</si>
  <si>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</si>
  <si>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</si>
  <si>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</si>
  <si>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</si>
  <si>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</si>
  <si>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</si>
  <si>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</si>
  <si>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</si>
  <si>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</si>
  <si>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</si>
  <si>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</si>
  <si>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</si>
  <si>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</si>
  <si>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</si>
  <si>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</si>
  <si>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</si>
  <si>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</si>
  <si>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</si>
  <si>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</si>
  <si>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</si>
  <si>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</si>
  <si>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</si>
  <si>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</si>
  <si>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</si>
  <si>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</si>
  <si>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</si>
  <si>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</si>
  <si>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</si>
  <si>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</si>
  <si>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</si>
  <si>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</si>
  <si>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</si>
  <si>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</si>
  <si>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</si>
  <si>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</si>
  <si>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</si>
  <si>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</si>
  <si>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</si>
  <si>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</si>
  <si>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</si>
  <si>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</si>
  <si>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</si>
  <si>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</si>
  <si>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</si>
  <si>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</si>
  <si>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</si>
  <si>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</si>
  <si>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</si>
  <si>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</si>
  <si>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</si>
  <si>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</si>
  <si>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</si>
  <si>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</si>
  <si>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</si>
  <si>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</si>
  <si>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</si>
  <si>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</si>
  <si>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</si>
  <si>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</si>
  <si>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</si>
  <si>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</si>
  <si>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</si>
  <si>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</si>
  <si>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</si>
  <si>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</si>
  <si>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</si>
  <si>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</si>
  <si>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</si>
  <si>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</si>
  <si>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</si>
  <si>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</si>
  <si>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</si>
  <si>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</si>
  <si>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</si>
  <si>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</si>
  <si>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</si>
  <si>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</si>
  <si>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</si>
  <si>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</si>
  <si>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</si>
  <si>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</si>
  <si>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</si>
  <si>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</si>
  <si>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</si>
  <si>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</si>
  <si>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</si>
  <si>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</si>
  <si>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</si>
  <si>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</si>
  <si>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</si>
  <si>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</si>
  <si>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</si>
  <si>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</si>
  <si>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</si>
  <si>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</si>
  <si>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</si>
  <si>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</si>
  <si>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</si>
  <si>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</si>
  <si>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</si>
  <si>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</si>
  <si>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</si>
  <si>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</si>
  <si>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</si>
  <si>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</si>
  <si>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</si>
  <si>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</si>
  <si>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</si>
  <si>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</si>
  <si>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</si>
  <si>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</si>
  <si>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</si>
  <si>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</si>
  <si>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</si>
  <si>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</si>
  <si>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</si>
  <si>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</si>
  <si>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</si>
  <si>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</si>
  <si>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</si>
  <si>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</si>
  <si>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</si>
  <si>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</si>
  <si>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</si>
  <si>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</si>
  <si>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</si>
  <si>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</si>
  <si>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</si>
  <si>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</si>
  <si>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</si>
  <si>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</si>
  <si>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</si>
  <si>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</si>
  <si>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</si>
  <si>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</si>
  <si>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</si>
  <si>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</si>
  <si>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</si>
  <si>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</si>
  <si>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</si>
  <si>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</si>
  <si>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</si>
  <si>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</si>
  <si>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</si>
  <si>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</si>
  <si>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</si>
  <si>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</si>
  <si>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</si>
  <si>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</si>
  <si>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</si>
  <si>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</si>
  <si>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</si>
  <si>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</si>
  <si>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</si>
  <si>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</si>
  <si>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</si>
  <si>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</si>
  <si>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</si>
  <si>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</si>
  <si>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</si>
  <si>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</si>
  <si>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</si>
  <si>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</si>
  <si>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</si>
  <si>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</si>
  <si>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</si>
  <si>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</si>
  <si>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</si>
  <si>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</si>
  <si>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</si>
  <si>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</si>
  <si>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</si>
  <si>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</si>
  <si>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</si>
  <si>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</si>
  <si>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</si>
  <si>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</si>
  <si>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</si>
  <si>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</si>
  <si>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</si>
  <si>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</si>
  <si>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</si>
  <si>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</si>
  <si>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</si>
  <si>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</si>
  <si>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</si>
  <si>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</si>
  <si>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</si>
  <si>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</si>
  <si>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</si>
  <si>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</si>
  <si>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</si>
  <si>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</si>
  <si>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</si>
  <si>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</si>
  <si>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</si>
  <si>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</si>
  <si>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</si>
  <si>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</si>
  <si>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</si>
  <si>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</si>
  <si>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</si>
  <si>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</si>
  <si>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</si>
  <si>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</si>
  <si>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</si>
  <si>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</si>
  <si>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</si>
  <si>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</si>
  <si>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</si>
  <si>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</si>
  <si>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</si>
  <si>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</si>
  <si>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</si>
  <si>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</si>
  <si>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</si>
  <si>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</si>
  <si>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</si>
  <si>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</si>
  <si>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</si>
  <si>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</si>
  <si>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</si>
  <si>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</si>
  <si>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</si>
  <si>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</si>
  <si>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</si>
  <si>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</si>
  <si>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</si>
  <si>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</si>
  <si>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</si>
  <si>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</si>
  <si>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</si>
  <si>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</si>
  <si>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</si>
  <si>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</si>
  <si>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</si>
  <si>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</si>
  <si>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</si>
  <si>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</si>
  <si>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</si>
  <si>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</si>
  <si>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</si>
  <si>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</si>
  <si>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</si>
  <si>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</si>
  <si>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</si>
  <si>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</si>
  <si>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</si>
  <si>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</si>
  <si>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</si>
  <si>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</si>
  <si>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</si>
  <si>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</si>
  <si>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</si>
  <si>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</si>
  <si>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</si>
  <si>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</si>
  <si>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</si>
  <si>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</si>
  <si>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</si>
  <si>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</si>
  <si>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</si>
  <si>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</si>
  <si>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</si>
  <si>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</si>
  <si>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</si>
  <si>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</si>
  <si>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</si>
  <si>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</si>
  <si>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</si>
  <si>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</si>
  <si>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</si>
  <si>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</si>
  <si>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</si>
  <si>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</si>
  <si>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</si>
  <si>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</si>
  <si>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</si>
  <si>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</si>
  <si>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</si>
  <si>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</si>
  <si>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</si>
  <si>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</si>
  <si>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</si>
  <si>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</si>
  <si>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</si>
  <si>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</si>
  <si>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</si>
  <si>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</si>
  <si>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</si>
  <si>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</si>
  <si>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</si>
  <si>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</si>
  <si>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</si>
  <si>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</si>
  <si>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</si>
  <si>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</si>
  <si>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</si>
  <si>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</si>
  <si>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</si>
  <si>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</si>
  <si>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</si>
  <si>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</si>
  <si>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</si>
  <si>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</si>
  <si>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</si>
  <si>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</si>
  <si>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</si>
  <si>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</si>
  <si>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</si>
  <si>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</si>
  <si>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</si>
  <si>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</si>
  <si>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</si>
  <si>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</si>
  <si>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</si>
  <si>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</si>
  <si>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</si>
  <si>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</si>
  <si>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</si>
  <si>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</si>
  <si>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</si>
  <si>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</si>
  <si>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</si>
  <si>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</si>
  <si>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</si>
  <si>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</si>
  <si>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</si>
  <si>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</si>
  <si>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</si>
  <si>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</si>
  <si>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</si>
  <si>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</si>
  <si>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</si>
  <si>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</si>
  <si>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</si>
  <si>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</si>
  <si>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</si>
  <si>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</si>
  <si>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</si>
  <si>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</si>
  <si>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</si>
  <si>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</si>
  <si>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</si>
  <si>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</si>
  <si>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</si>
  <si>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</si>
  <si>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</si>
  <si>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</si>
  <si>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</si>
  <si>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</si>
  <si>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</si>
  <si>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</si>
  <si>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</si>
  <si>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</si>
  <si>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</si>
  <si>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</si>
  <si>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</si>
  <si>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</si>
  <si>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</si>
  <si>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</si>
  <si>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</si>
  <si>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</si>
  <si>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</si>
  <si>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</si>
  <si>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</si>
  <si>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</si>
  <si>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</si>
  <si>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</si>
  <si>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</si>
  <si>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</si>
  <si>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</si>
  <si>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</si>
  <si>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</si>
  <si>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</si>
  <si>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</si>
  <si>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</si>
  <si>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</si>
  <si>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</si>
  <si>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</si>
  <si>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</si>
  <si>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</si>
  <si>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</si>
  <si>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</si>
  <si>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</si>
  <si>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</si>
  <si>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</si>
  <si>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</si>
  <si>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</si>
  <si>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</si>
  <si>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</si>
  <si>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</si>
  <si>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</si>
  <si>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</si>
  <si>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</si>
  <si>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</si>
  <si>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</si>
  <si>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</si>
  <si>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</si>
  <si>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</si>
  <si>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</si>
  <si>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</si>
  <si>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</si>
  <si>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</si>
  <si>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</si>
  <si>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</si>
  <si>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</si>
  <si>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</si>
  <si>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</si>
  <si>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</si>
  <si>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</si>
  <si>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</si>
  <si>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</si>
  <si>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</si>
  <si>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</si>
  <si>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</si>
  <si>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</si>
  <si>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</si>
  <si>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</si>
  <si>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</si>
  <si>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</si>
  <si>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</si>
  <si>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</si>
  <si>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</si>
  <si>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</si>
  <si>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</si>
  <si>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</si>
  <si>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</si>
  <si>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</si>
  <si>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</si>
  <si>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</si>
  <si>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</si>
  <si>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</si>
  <si>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</si>
  <si>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</si>
  <si>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</si>
  <si>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</si>
  <si>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</si>
  <si>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</si>
  <si>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</si>
  <si>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</si>
  <si>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</si>
  <si>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</si>
  <si>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</si>
  <si>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</si>
  <si>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</si>
  <si>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</si>
  <si>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</si>
  <si>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</si>
  <si>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</si>
  <si>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</si>
  <si>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</si>
  <si>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</si>
  <si>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</si>
  <si>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</si>
  <si>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</si>
  <si>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</si>
  <si>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</si>
  <si>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</si>
  <si>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</si>
  <si>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</si>
  <si>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</si>
  <si>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</si>
  <si>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</si>
  <si>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</si>
  <si>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</si>
  <si>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</si>
  <si>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</si>
  <si>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</si>
  <si>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</si>
  <si>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</si>
  <si>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</si>
  <si>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</si>
  <si>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</si>
  <si>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</si>
  <si>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</si>
  <si>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</si>
  <si>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</si>
  <si>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</si>
  <si>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</si>
  <si>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</si>
  <si>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</si>
  <si>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</si>
  <si>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</si>
  <si>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</si>
  <si>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</si>
  <si>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</si>
  <si>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</si>
  <si>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</si>
  <si>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</si>
  <si>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</si>
  <si>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</si>
  <si>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</si>
  <si>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</si>
  <si>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</si>
  <si>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</si>
  <si>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</si>
  <si>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</si>
  <si>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</si>
  <si>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</si>
  <si>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</si>
  <si>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</si>
  <si>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</si>
  <si>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</si>
  <si>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</si>
  <si>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</si>
  <si>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</si>
  <si>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</si>
  <si>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</si>
  <si>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</si>
  <si>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</si>
  <si>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</si>
  <si>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</si>
  <si>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</si>
  <si>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</si>
  <si>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</si>
  <si>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</si>
  <si>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</si>
  <si>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</si>
  <si>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</si>
  <si>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</si>
  <si>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</si>
  <si>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</si>
  <si>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</si>
  <si>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</si>
  <si>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</si>
  <si>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</si>
  <si>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</si>
  <si>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</si>
  <si>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</si>
  <si>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</si>
  <si>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</si>
  <si>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</si>
  <si>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</si>
  <si>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</si>
  <si>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</si>
  <si>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</si>
  <si>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</si>
  <si>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</si>
  <si>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</si>
  <si>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</si>
  <si>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</si>
  <si>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</si>
  <si>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</si>
  <si>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</si>
  <si>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</si>
  <si>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</si>
  <si>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</si>
  <si>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</si>
  <si>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</si>
  <si>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</si>
  <si>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</si>
  <si>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</si>
  <si>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</si>
  <si>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</si>
  <si>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</si>
  <si>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</si>
  <si>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</si>
  <si>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</si>
  <si>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</si>
  <si>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</si>
  <si>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</si>
  <si>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</si>
  <si>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</si>
  <si>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</si>
  <si>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</si>
  <si>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</si>
  <si>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</si>
  <si>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</si>
  <si>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</si>
  <si>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</si>
  <si>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</si>
  <si>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</si>
  <si>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</si>
  <si>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</si>
  <si>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</si>
  <si>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</si>
  <si>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</si>
  <si>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</si>
  <si>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</si>
  <si>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</si>
  <si>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</si>
  <si>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</si>
  <si>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</si>
  <si>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</si>
  <si>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</si>
  <si>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</si>
  <si>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</si>
  <si>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</si>
  <si>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</si>
  <si>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</si>
  <si>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</si>
  <si>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</si>
  <si>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</si>
  <si>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</si>
  <si>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</si>
  <si>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</si>
  <si>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</si>
  <si>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</si>
  <si>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</si>
  <si>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</si>
  <si>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</si>
  <si>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</si>
  <si>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</si>
  <si>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</si>
  <si>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</si>
  <si>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</si>
  <si>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</si>
  <si>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</si>
  <si>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</si>
  <si>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</si>
  <si>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</si>
  <si>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</si>
  <si>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</si>
  <si>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</si>
  <si>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</si>
  <si>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</si>
  <si>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</si>
  <si>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</si>
  <si>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</si>
  <si>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</si>
  <si>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</si>
  <si>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</si>
  <si>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</si>
  <si>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</si>
  <si>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</si>
  <si>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</si>
  <si>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</si>
  <si>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</si>
  <si>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</si>
  <si>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</si>
  <si>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Zámocká 22, 811 01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</si>
  <si>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</si>
  <si>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</si>
  <si>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</si>
  <si>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</si>
  <si>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</si>
  <si>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lucia.benova@zahas-group.sk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</si>
  <si>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</si>
  <si>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</si>
  <si>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</si>
  <si>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</si>
  <si>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</si>
  <si>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</si>
  <si>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</si>
  <si>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</si>
  <si>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</si>
  <si>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</si>
  <si>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</si>
  <si>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</si>
  <si>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</si>
  <si>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</si>
  <si>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</si>
  <si>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</si>
  <si>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</si>
  <si>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</si>
  <si>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</si>
  <si>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</si>
  <si>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</si>
  <si>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</si>
  <si>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</si>
  <si>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</si>
  <si>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</si>
  <si>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</si>
  <si>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</si>
  <si>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</si>
  <si>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</si>
  <si>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</si>
  <si>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</si>
  <si>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</si>
  <si>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</si>
  <si>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</si>
  <si>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</si>
  <si>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</si>
  <si>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</si>
  <si>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</si>
  <si>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</si>
  <si>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</si>
  <si>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</si>
  <si>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</si>
  <si>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</si>
  <si>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</si>
  <si>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</si>
  <si>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</si>
  <si>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</si>
  <si>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</si>
  <si>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</si>
  <si>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</si>
  <si>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</si>
  <si>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</si>
  <si>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</si>
  <si>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</si>
  <si>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</si>
  <si>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</si>
  <si>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</si>
  <si>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</si>
  <si>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</si>
  <si>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</si>
  <si>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</si>
  <si>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</si>
  <si>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</si>
  <si>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</si>
  <si>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</si>
  <si>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</si>
  <si>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</si>
  <si>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</si>
  <si>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</si>
  <si>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</si>
  <si>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</si>
  <si>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</si>
  <si>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</si>
  <si>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</si>
  <si>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</si>
  <si>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</si>
  <si>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</si>
  <si>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</si>
  <si>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</si>
  <si>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</si>
  <si>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</si>
  <si>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</si>
  <si>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</si>
  <si>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</si>
  <si>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</si>
  <si>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</si>
  <si>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</si>
  <si>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</si>
  <si>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</si>
  <si>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</si>
  <si>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</si>
  <si>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</si>
  <si>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</si>
  <si>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</si>
  <si>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</si>
  <si>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</si>
  <si>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</si>
  <si>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</si>
  <si>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</si>
  <si>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</si>
  <si>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</si>
  <si>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</si>
  <si>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</si>
  <si>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</si>
  <si>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</si>
  <si>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</si>
  <si>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</si>
  <si>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</si>
  <si>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</si>
  <si>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</si>
  <si>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</si>
  <si>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</si>
  <si>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</si>
  <si>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</si>
  <si>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</si>
  <si>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</si>
  <si>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</si>
  <si>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</si>
  <si>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</si>
  <si>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</si>
  <si>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</si>
  <si>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</si>
  <si>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</si>
  <si>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</si>
  <si>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</si>
  <si>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</si>
  <si>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</si>
  <si>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</si>
  <si>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</si>
  <si>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</si>
  <si>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</si>
  <si>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</si>
  <si>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</si>
  <si>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</si>
  <si>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</si>
  <si>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</si>
  <si>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</si>
  <si>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</si>
  <si>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</si>
  <si>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</si>
  <si>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</si>
  <si>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</si>
  <si>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</si>
  <si>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</si>
  <si>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</si>
  <si>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</si>
  <si>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</si>
  <si>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</si>
  <si>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</si>
  <si>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</si>
  <si>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</si>
  <si>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</si>
  <si>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</si>
  <si>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</si>
  <si>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</si>
  <si>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</si>
  <si>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</si>
  <si>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</si>
  <si>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</si>
  <si>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</si>
  <si>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</si>
  <si>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</si>
  <si>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</si>
  <si>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</si>
  <si>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</si>
  <si>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</si>
  <si>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</si>
  <si>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</si>
  <si>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</si>
  <si>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</si>
  <si>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</si>
  <si>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</si>
  <si>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</si>
  <si>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</si>
  <si>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</si>
  <si>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</si>
  <si>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</si>
  <si>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</si>
  <si>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</si>
  <si>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</si>
  <si>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</si>
  <si>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</si>
  <si>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</si>
  <si>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</si>
  <si>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</si>
  <si>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</si>
  <si>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</si>
  <si>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</si>
  <si>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</si>
  <si>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</si>
  <si>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</si>
  <si>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</si>
  <si>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</si>
  <si>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</si>
  <si>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</si>
  <si>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</si>
  <si>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</si>
  <si>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</si>
  <si>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</si>
  <si>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</si>
  <si>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</si>
  <si>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</si>
  <si>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</si>
  <si>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</si>
  <si>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</si>
  <si>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</si>
  <si>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</si>
  <si>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</si>
  <si>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</si>
  <si>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</si>
  <si>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</si>
  <si>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</si>
  <si>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</si>
  <si>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</si>
  <si>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</si>
  <si>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</si>
  <si>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</si>
  <si>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</si>
  <si>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</si>
  <si>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</si>
  <si>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</si>
  <si>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</si>
  <si>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</si>
  <si>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</si>
  <si>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</si>
  <si>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</si>
  <si>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</si>
  <si>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</si>
  <si>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</si>
  <si>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</si>
  <si>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</si>
  <si>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</si>
  <si>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</si>
  <si>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</si>
  <si>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</si>
  <si>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</si>
  <si>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</si>
  <si>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</si>
  <si>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</si>
  <si>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</si>
  <si>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</si>
  <si>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</si>
  <si>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</si>
  <si>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</si>
  <si>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</si>
  <si>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</si>
  <si>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</si>
  <si>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</si>
  <si>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</si>
  <si>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</si>
  <si>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</si>
  <si>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</si>
  <si>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</si>
  <si>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</si>
  <si>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</si>
  <si>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</si>
  <si>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</si>
  <si>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</si>
  <si>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</si>
  <si>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</si>
  <si>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</si>
  <si>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</si>
  <si>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</si>
  <si>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</si>
  <si>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</si>
  <si>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</si>
  <si>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</si>
  <si>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</si>
  <si>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</si>
  <si>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</si>
  <si>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</si>
  <si>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</si>
  <si>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</si>
  <si>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</si>
  <si>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</si>
  <si>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</si>
  <si>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</si>
  <si>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</si>
  <si>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</si>
  <si>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</si>
  <si>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</si>
  <si>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</si>
  <si>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</si>
  <si>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</si>
  <si>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</si>
  <si>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</si>
  <si>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</si>
  <si>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</si>
  <si>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</si>
  <si>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</si>
  <si>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</si>
  <si>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</si>
  <si>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</si>
  <si>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</si>
  <si>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</si>
  <si>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</si>
  <si>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</si>
  <si>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</si>
  <si>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</si>
  <si>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</si>
  <si>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</si>
  <si>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</si>
  <si>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</si>
  <si>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</si>
  <si>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</si>
  <si>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</si>
  <si>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</si>
  <si>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</si>
  <si>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</si>
  <si>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</si>
  <si>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</si>
  <si>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</si>
  <si>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</si>
  <si>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</si>
  <si>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</si>
  <si>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</si>
  <si>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</si>
  <si>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</si>
  <si>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</si>
  <si>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</si>
  <si>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</si>
  <si>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</si>
  <si>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</si>
  <si>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</si>
  <si>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</si>
  <si>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</si>
  <si>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</si>
  <si>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</si>
  <si>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</si>
  <si>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</si>
  <si>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</si>
  <si>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</si>
  <si>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</si>
  <si>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</si>
  <si>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</si>
  <si>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</si>
  <si>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</si>
  <si>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</si>
  <si>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</si>
  <si>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</si>
  <si>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</si>
  <si>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</si>
  <si>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</si>
  <si>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</si>
  <si>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</si>
  <si>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</si>
  <si>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</si>
  <si>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</si>
  <si>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</si>
  <si>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</si>
  <si>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</si>
  <si>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</si>
  <si>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</si>
  <si>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</si>
  <si>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</si>
  <si>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</si>
  <si>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</si>
  <si>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</si>
  <si>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</si>
  <si>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</si>
  <si>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</si>
  <si>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</si>
  <si>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</si>
  <si>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</si>
  <si>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</si>
  <si>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</si>
  <si>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</si>
  <si>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</si>
  <si>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</si>
  <si>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</si>
  <si>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</si>
  <si>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</si>
  <si>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</si>
  <si>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</si>
  <si>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</si>
  <si>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</si>
  <si>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</si>
  <si>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</si>
  <si>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</si>
  <si>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</si>
  <si>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</si>
  <si>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</si>
  <si>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</si>
  <si>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</si>
  <si>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</si>
  <si>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</si>
  <si>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</si>
  <si>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</si>
  <si>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</si>
  <si>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</si>
  <si>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</si>
  <si>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</si>
  <si>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</si>
  <si>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</si>
  <si>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</si>
  <si>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</si>
  <si>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</si>
  <si>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</si>
  <si>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</si>
  <si>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</si>
  <si>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</si>
  <si>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</si>
  <si>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</si>
  <si>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</si>
  <si>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</si>
  <si>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</si>
  <si>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</si>
  <si>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 reklama, vzdelávanie, potraviny a nápoje, iné (tovary a služby),</t>
  </si>
  <si>
    <t>Radničné námestie 1, 902 01 Pezinok</t>
  </si>
  <si>
    <t>Naša spoločnosť je zameraná na výrobu prírodnej kozmetiky, mydiel, polodrahokamových náramkov a doplnkové výrobky v súvislosti s kameňmi. Sme výrobcovia sviečok z rôznych druhov voskov so zameraním na energetické, ezoterické, dekoračné, vonné a reklamné podľa požiadaviek našich klientov. Predmetom podnikania spoločnosti je aj maloobchod, veľkoobchod, poradenská a vzdelávacia činnosť. Pomáhame zákazníkom pri individuálnom výbere produktov, učíme prevencii v oblasti zdravia prostredníctvom aromaterapie, fytoterapie, petroterapie. Poskytujeme vzdelávanie pre Akadémiu 3. veku v Pezinku. Našimi klientami či zákazníkmi sú predajne s darčekovým sortimentom, predajne so zdravou výživou a zariadenia zaoberajúce sa starostlivosťou o človeka.</t>
  </si>
  <si>
    <t>Zamestnávame znevýhodnené osoby a zamestnancov ZŤP.</t>
  </si>
  <si>
    <t>https://katalogsp.sk/wp-content/uploads/2022/06/Jaspire_link-v-AwT.jpg</t>
  </si>
  <si>
    <t>https://katalogsp.sk/jaspire-s-r-o/</t>
  </si>
  <si>
    <t xml:space="preserve"> +421 903 739 888</t>
  </si>
  <si>
    <t>jaspire.office@gmail.com</t>
  </si>
  <si>
    <t>Výroba prírodnej kozmetiky, mydiel, sviečok, výrobkov z minerálov, polodrahokamov. Distribúcia esenciálnych olejov, sušeného ovocia, orieškov, vykurovadiel. Maloobchod, predaj čajov, fytoterapie, sušeného ovocia, orieškov, kamene, náramky, sviečky a poradenstvo v oblasti prevencie zdravia.</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</si>
  <si>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</si>
  <si>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</si>
  <si>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</si>
  <si>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</si>
  <si>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</si>
  <si>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</si>
  <si>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</si>
  <si>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</si>
  <si>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</si>
  <si>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</si>
  <si>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</si>
  <si>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</si>
  <si>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</si>
  <si>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</si>
  <si>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</si>
  <si>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</si>
  <si>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</si>
  <si>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</si>
  <si>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</si>
  <si>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</si>
  <si>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</si>
  <si>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</si>
  <si>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</si>
  <si>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</si>
  <si>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</si>
  <si>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</si>
  <si>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</si>
  <si>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</si>
  <si>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</si>
  <si>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</si>
  <si>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</si>
  <si>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</si>
  <si>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</si>
  <si>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</si>
  <si>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</si>
  <si>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</si>
  <si>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</si>
  <si>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</si>
  <si>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</si>
  <si>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</si>
  <si>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</si>
  <si>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</si>
  <si>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</si>
  <si>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</si>
  <si>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</si>
  <si>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</si>
  <si>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</si>
  <si>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</si>
  <si>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</si>
  <si>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</si>
  <si>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</si>
  <si>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</si>
  <si>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</si>
  <si>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</si>
  <si>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</si>
  <si>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</si>
  <si>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</si>
  <si>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T-Tatra s. r. o.</t>
  </si>
  <si>
    <t>reklama, obaly, nábytok a bytové doplnky, pre deti, bižutéria a darčekové predmety, iné (tovary a služby)</t>
  </si>
  <si>
    <t>Kúpeľná 35, 053 04 Spišské Podhradie</t>
  </si>
  <si>
    <t>Drevovýroba, veľkoformátové rezanie laserom, výroba reklamných a darčekových predmetov z dreva, výroba slnečných okuliarov, drevených okuliarových rámov, vianočných ozdôb, krytov na telefón, drevených zubných kefiek...</t>
  </si>
  <si>
    <t>https://katalogsp.sk/t-tatra-s-r-o/</t>
  </si>
  <si>
    <t>+421 902 896 755</t>
  </si>
  <si>
    <t>shop@t-tatra.com</t>
  </si>
  <si>
    <t>T-Tatra</t>
  </si>
  <si>
    <t>Drevovýroba, reklama, darčeky, online predaj</t>
  </si>
  <si>
    <t>Drevovýroba, reklama, darčeky, online predaj, veľkoformátové rezanie laserom, reklamné predmety z dreva, slnečné okuliare, drevené okuliarové rámy, vianočné ozdoby, kryty na telefón, drevené zubné kefky, kefka, 
doplnky, drevené omaľovánky</t>
  </si>
  <si>
    <t>skula s. r. o.</t>
  </si>
  <si>
    <t>čistiace a upratovacie služby, dom a záhrada, účtovníctvo a poradenstvo, iné (tovary a služby)</t>
  </si>
  <si>
    <t>Sasinkova 5028/52, 921 01 Piešťany</t>
  </si>
  <si>
    <t>Ako spoločnosť skula s. r. o. sa primárne zameriavame na poskytovanie čistiacich a upratovacích služieb iným podnikateľským subjektom. Realizujeme bežné a nadštandardné čistenie kancelárskych priestorov, priemyselných budov a výrobných hál. Iní naši zamestnanci sa špecializujú na poskytovanie administratívno - účtovných služieb, riešenie účtovnej, personálnej a mzdovej agendy.</t>
  </si>
  <si>
    <t>V našom podniku dávame priestor znevýhodneným a bežným zamestnancom realizovať ich pracovné ale vlastne aj životné ciele spoločne, pričom toto spojenie sa nám ukázalo ako veľmi prospešné pre obe skupiny zamestnancov. Spokojní a motivovaní zamestnanci u nás tvoria spokojného klienta.</t>
  </si>
  <si>
    <t>https://katalogsp.sk/skula-s-r-o/</t>
  </si>
  <si>
    <t>+421 914 276 093</t>
  </si>
  <si>
    <t>skulasro@gmail.com</t>
  </si>
  <si>
    <t>Čistiace a upratovacie služby / účtovníctvo a poradenstvo</t>
  </si>
  <si>
    <t>čistiace a upratovacie služby, účtovníctvo a poradenstvo, iné (tovary a služby)</t>
  </si>
  <si>
    <t>ISP security s.r.o.</t>
  </si>
  <si>
    <t>M. Pišúta 979/4, 031 01 Liptovský Mikuláš</t>
  </si>
  <si>
    <t>Firma poskytuje monitorovacie služby v oblasti súkromnej bezpečnosti prostredníctvom videopultu centrálnej ochrany. Medzi našich zákazníkov patria samosprávy, obce a mestá, komerčné objekty, podniky a výrobné areály, pre ktoré zabezpečujeme kamerové systémy. Poskytujeme technické prostriedky (kamery, alarmy, videokomunikátor, automatizáciu otvárania brán ..), ktoré pripojíme na náš pult. Zákazník má k dispozícii servis, prístup k archívu a obrazu kamier. Úspora nákladov je až do 70% oproti bežnému fyzickému stráženiu objektu.</t>
  </si>
  <si>
    <t>Naša spoločnosť zamestnáva znevýhodnené a zraniteľné osoby a poskytujeme služby v oblasti ochrany zdravia a bezpečnosti občanov.</t>
  </si>
  <si>
    <t>https://katalogsp.sk/isp-security-s-r-o/</t>
  </si>
  <si>
    <t>+421 917 257 908</t>
  </si>
  <si>
    <t>ispsecurity@ispsecurity.sk</t>
  </si>
  <si>
    <t>Poskytovanie monitorovacích služieb v oblasti súkromnej bezpečnosti, videopult centrálnej ochrany</t>
  </si>
  <si>
    <t>súkromná bezpečnostná služba, sbs, bezpečnosť, security, monitoring, kamera,</t>
  </si>
  <si>
    <t>FM - Trans SK, s.r.o.</t>
  </si>
  <si>
    <t>stavebníctvo, doprava, odpady a recyklácia, obaly</t>
  </si>
  <si>
    <t xml:space="preserve">Kľačno 25, 972 15 Kľačno </t>
  </si>
  <si>
    <t>Naše služby sú určené pre fyzické osoby, právnické osoby ale aj verejných obstarávateľov - verejné správy či samosprávy. 
Zabezpečujeme služby v oblastiach:
- odpadové hospodárstvo - odber a odvoz komunálnych, priemyselných, stavebných a nebezpečných odpadov, triedenie - recyklácia/zhodnocovanie odpadov, odstraňovanie a likvidácia azbestu,
- stavebníctvo - zemné a výkopové práce, búracie práce, dokončovacie stavebné práce, dovoz a odvoz stavebných materiálov.</t>
  </si>
  <si>
    <t xml:space="preserve">Výnimočnosť našich služieb spočíva v komplexnosti ich zabezpečenia.  Zároveň sa vytváraním dlhodobo stabilných pracovných miest pre znevýhodnené a zraniteľné osoby  snažíme prispieť ich sociálnemu rozvoju, rozvoju finančnej gramotnosti a osvojeniu si pracovných návykov. </t>
  </si>
  <si>
    <t>https://katalogsp.sk/wp-content/uploads/2022/06/FM-TRANS-SK-banner3-KatalogSP.jpg</t>
  </si>
  <si>
    <t>https://katalogsp.sk/fm-trans-sk-s-r-o/</t>
  </si>
  <si>
    <t>+421 908 523 154</t>
  </si>
  <si>
    <t>info@fmtrans.sk</t>
  </si>
  <si>
    <t>Skladovanie a triedenie odpadov</t>
  </si>
  <si>
    <t xml:space="preserve">odpad, recyklácia, zhodnocovanie odpadov, azbest, cestná nákladná doprava, stavebníctvo, zemné práce, výkopové práce, stavebný materiál, búracie práce, likvidácia, dovoz, </t>
  </si>
  <si>
    <t>KreaTivO, s.r.o.</t>
  </si>
  <si>
    <t>vzdelávanie, kultúra a šport, pre deti</t>
  </si>
  <si>
    <t xml:space="preserve">Gen. M.R.Štefánika 372/9, 911 01 Trenčín </t>
  </si>
  <si>
    <t>Naším hlavným programom sú služby pre deti, organizujeme a zabezpečujeme rôzne súkromné a firemné akcie. Školám a rodičom ponúkame vzdelávacie LEGO® kurzy, programy pre školské výlety,  mimoškolskú činnosť, narodeninové oslavy, počas školských prázdnin denné tábory. Pre firmy ponúkame netradičné programy pri firemných akciách a teambuildingoch, programy pre deti zamestnancov.</t>
  </si>
  <si>
    <t>Tvorba spoločenského prospechu v oblasti rozvoja a vzdelávania detí a mládeže, ako aj zamestnávania osôb zo znevýhodnených skupín.</t>
  </si>
  <si>
    <t>https://katalogsp.sk/wp-content/uploads/2022/06/kreativo-banner-KatalogSP-2.jpg</t>
  </si>
  <si>
    <t>https://katalogsp.sk/kreativo-s-r-o/</t>
  </si>
  <si>
    <t>+421 915 863 688</t>
  </si>
  <si>
    <t>kreativotrencin@gmail.com</t>
  </si>
  <si>
    <t>Mimoškolská činnosť, vzdelávacie LEGO® kurzy, narodeninové oslavy, programy pre školy, školské kluby a škôlky, programy pre firmy - firemné akcie, teambuildingy</t>
  </si>
  <si>
    <t>Lego, kurzy, vzdelávanie, deti, tábory, výlety, hra, zábava, teambuilding, oslava, škola, firemná akcia, aktivity, program, tréning, rozvoj, lektor, metodika, narodeniny, mimoškolská činnosť</t>
  </si>
  <si>
    <t>PERMAL s. r. o.</t>
  </si>
  <si>
    <t>stavebníctvo, iné (tovary a služby)</t>
  </si>
  <si>
    <t>Ivanská cesta 2, 821 04 Bratislava</t>
  </si>
  <si>
    <t>Stavebná činnosť, maľovanie, predaj farieb, maliarskeho náradia, dekoračných obkladov a stavebnej chémie.</t>
  </si>
  <si>
    <t>https://katalogsp.sk/wp-content/uploads/2022/06/Permal-banner2-KatalogSP.jpg</t>
  </si>
  <si>
    <t>https://katalogsp.sk/permal-s-r-o/</t>
  </si>
  <si>
    <t>+421 944 278 472</t>
  </si>
  <si>
    <t>obchod@permal.sk</t>
  </si>
  <si>
    <t>Sniežka - predajňa farieb</t>
  </si>
  <si>
    <t>Predajňa farieb, dekoračných obkladov, maliarskeho náradia</t>
  </si>
  <si>
    <t>predaj farieb, farby, dekoračné obklady, maliarske náradie, stavebná činnosť, maľovanie, stavebná chémia</t>
  </si>
  <si>
    <t>KomPaS, s.r.o.</t>
  </si>
  <si>
    <t>poľnohospodárstvo a lesníctvo, dom a záhrada, stavebníctvo, doprava</t>
  </si>
  <si>
    <t>Sobotská 10/1, 980 02 Jesenské</t>
  </si>
  <si>
    <t>Naša firma ponúka služby v oblasti domácnosti: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</si>
  <si>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Vykonávame služby, ktoré by pre iné podniky neboli ekonomicky výnosné, ale pre obyvateľstvo sú potrebné. Pokrývame viac druhov služieb v jednom podniku. Snažíme sa zamestnávať osoby, ktoré potrebujú adaptáciu do miestneho pracovného prostredia.  </t>
  </si>
  <si>
    <t>https://katalogsp.sk/wp-content/uploads/2022/06/KomPaS-banner-KatalogSP-3.jpg</t>
  </si>
  <si>
    <t>https://katalogsp.sk/kompas-s-r-o-r-s-p/</t>
  </si>
  <si>
    <t>+421 911 202 113</t>
  </si>
  <si>
    <t>kompasjesenske@azet.sk</t>
  </si>
  <si>
    <t>KomPaS, s.r.o., r.s.p.</t>
  </si>
  <si>
    <t>Naša firma ponúka služby v oblasti domácnosti -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</si>
  <si>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oranie, zemné práce, kosenie, rotavátorovanie, opravy, maľovanie, drobné stavebné práce, výkopové práce, výruby stromov, preprava materiálov menších rozmerov, doprava, </t>
  </si>
  <si>
    <t>DUO WORK, s.r.o.</t>
  </si>
  <si>
    <t>Tamaškovičova 2742/17, 917 01 Trnava</t>
  </si>
  <si>
    <t>Sme záhradnícka spoločnosť, ktorá sa zaoberá realizáciou verejnej a súkromnej zelene. Riešime drobné záhradné práce ako strihanie a orezávanie stromov a kríkov v záhradách, výsadba, drvenie, čistiace a upratovacie práce v exteriéroch, nosenie ťažších bremien na dvoroch, v interiéri a drobné stavebné práce ako osádzanie lavičiek, fontán, oplotenia, altánky, pergoly, obrubníky, chodníky, závlahy, rekonštrukcia čerpacej techniky, čerpadlá.
Prioritne reagujeme na potreby klientov predovšetkým v obciach, a to konkrétne občanov ZŤP, seniorov, osamelých rodičov s malými deťmi či občanov, ktorí nemajú potrebné vybavenie a skúsenosti s údržbou záhrad či už sezónne alebo počas celého roka. Nakoľko každá služba a každý klient je iný, prispôsobujeme svoj prístup individuálnym požiadavkám klientov s ohľadom na typ služby.</t>
  </si>
  <si>
    <t>Naším cieľom je vytváranie a udržanie pracovných pozícií pre znevýhodnené a zraniteľné osoby a ich integrácia do pracovného procesu v oblasti pôsobenia spoločnosti.
Zamestnávame zdravotne znevýhodnené osoby.</t>
  </si>
  <si>
    <t>https://katalogsp.sk/wp-content/uploads/2022/06/DUO-WORK-zahradnictvo-KatalogSP.jpg</t>
  </si>
  <si>
    <t>https://katalogsp.sk/duo-work-s-r-o/</t>
  </si>
  <si>
    <t>+421 902 787 375</t>
  </si>
  <si>
    <t>duowork@duowork.sk</t>
  </si>
  <si>
    <t>Sme záhradnícka spoločnosť, ktorá sa zaoberá realizáciou verejnej a súkromnej zelene.</t>
  </si>
  <si>
    <t>záhradné služby, kosenie, výsadba, pílenie, závlaha, strihanie kríkov, orezávanie stromov, nosenie ťažších bremien, drobné stavebné práce, závlahy, čerpadlá</t>
  </si>
  <si>
    <t>DP-ZvarMont s.r.o.</t>
  </si>
  <si>
    <t>Ružová 576/33, 065 44 Plaveč</t>
  </si>
  <si>
    <t>Ponúkame pieskovanie, zváranie, výrobu železa, konštrukcií a montáž. Sme schopní pripraviť, zostaviť a spojiť širokú škálu kovov i kovových zliatin s využitím rôznych zváracích procesov. Vieme použiť to najvhodnejšie vybavenie, postup aj metodiku v závislosti od materiálu, ktorý je spájaný.</t>
  </si>
  <si>
    <t>Prispievame k dosahovaniu pozitívneho sociálneho vplyvu poskytovaním spoločensky prospešnej služby v oblasti zamestnanosti, a to zamestnávaním
znevýhodnených a/alebo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tieto osoby pozitívny sociálny vplyv, dôjde k ich začleneniu z okraja spoločnosti do reálneho života.</t>
  </si>
  <si>
    <t>https://katalogsp.sk/wp-content/uploads/2022/06/DP-ZvarMont-foto2-KatalogSP.jpg</t>
  </si>
  <si>
    <t>https://katalogsp.sk/dp-zvarmont-s-r-o-r-s-p/</t>
  </si>
  <si>
    <t>+421 903 480 668</t>
  </si>
  <si>
    <t>duchpavol@dp-zvarmont.sk</t>
  </si>
  <si>
    <t>DP-ZvarMont s.r.o., r.s.p.</t>
  </si>
  <si>
    <t xml:space="preserve">Zaoberáme sa strojárskou výrobou, kovovýrobou, zámočníckymi a zváračskými prácami, montážnymi a lakovníckymi prácami. </t>
  </si>
  <si>
    <t>kovovýroba, zváranie, výroba železa, výroba konštrukcií, montáž, konštrukcie, pieskovanie, povrchová úprava, železo</t>
  </si>
  <si>
    <t>CIBEKA s. r. o.</t>
  </si>
  <si>
    <t>Prakovce 298, 056 01 Prakovce</t>
  </si>
  <si>
    <t>Nakoľko sme mladý integračný sociálny podnik, ponúkame zatiaľ  služby ako realizácia drobných stavieb, rekonštrukcie, modernizácie, opravy a údržba interiérov a exteriérov, kosenie a starostlivosť o domácnosť.
Hlavnou podnikateľskou aktivitou bude práčovňa s výkonom stredne veľkej priemyselnej práčovne t. j. dennou kapacitou v rozmedzí cca 250 - 1000 kg.</t>
  </si>
  <si>
    <t xml:space="preserve">Snažíme sa o dosahovanie prosociálnych cieľov snášho podnikania, o napĺňanie pozitívneho sociálneho vplyvu, najmä stimuláciou a aktívnou pomocou ľuďom, ktorí to majú v živote ťažšie. Podporujeme zamestnanosť/zamestnateľnosť osôb z okruhu vhodných recipientov – znevýhodnených a zraniteľných osôb, žijúcich v spádovej oblasti mikroregiónu Gelnice, a to s optimalizáciou využitia nástrojov tzv. aktívnych opatrení na trhu práce. 
</t>
  </si>
  <si>
    <t>https://katalogsp.sk/cibeka-s-r-o/</t>
  </si>
  <si>
    <t>+421 948 421 960, +421 911 298 432</t>
  </si>
  <si>
    <t>rene.pisko@gmail.com</t>
  </si>
  <si>
    <t>CIBEKA s.r.o.</t>
  </si>
  <si>
    <t>Zatiaľ ponúkame služby ako realizácia drobných stavieb, rekonštrukcie, modernizácie, opravy a údržba interiérov a exteriérov, kosenie a starostlivosť o domácnosť.
Našou  hlavnou podnikateľskou aktivitou bude  práčovňa s výkonom stredne veľkej priemyselnej práčovne t. j. dennou kapacitou v rozmedzí cca 250 - 1000 kg.</t>
  </si>
  <si>
    <t>stavebné práce, kosenie, práčovňa, žehlenie, drobné stavby, rekonštrukcie, modernizácie interiérov, opravy a údržba interiérov a exteriérov, starostlivosť o domácnosť</t>
  </si>
  <si>
    <t>OCTAN plus s.r.o.</t>
  </si>
  <si>
    <t>ochrana a bezpečnosť, odevy a obuv</t>
  </si>
  <si>
    <t>Hlavná 249, 925 03 Horné Saliby</t>
  </si>
  <si>
    <t xml:space="preserve">Na základe dlhoročných skúseností a odborných znalostí sme schopní našim zákazníkom poskytnúť komplexné riešenie v oblasti OOPP, čo zahŕňa aj šitie pracovných odevov na mieru - rôzne strihové a farebné riešenia, označenie firemným logom; ponúkame odevné doplnky a ostatné OOPP + reklamné predmety. Používame rôzne strihy a veľa druhov materiálu.  V oblasti ochrany pri práci pôsobíme už od roku 1992. Používaním kvalitných materiálov, pohodlných strihov a kvalitných doplnkov uspokojujeme požiadavky odberateľov. Používame rôzne strihy a veľa druhov materiálu.  </t>
  </si>
  <si>
    <t xml:space="preserve">Spoločnosti Octan plus s.r.o. bol v júni 2021 priznaný štatút registrovaného sociálneho podniku.
Znamená to, že v Octane podporujeme zamestnanosť zdravotne znevýhodnených a zraniteľných osôb. </t>
  </si>
  <si>
    <t>https://katalogsp.sk/octan-plus-s-r-o/</t>
  </si>
  <si>
    <t>+421 915 976 533</t>
  </si>
  <si>
    <t>obchod@octan.sk</t>
  </si>
  <si>
    <t>Výroba pracovných odevov a doplnkov na mieru.</t>
  </si>
  <si>
    <t>pracovné odevy, špeciálne odevy, potlač, výšivka, OOPP, šitie,</t>
  </si>
  <si>
    <t>Centrála s. r. o.</t>
  </si>
  <si>
    <t>ubytovacie a stravovacie služby, účtovníctvo a poradenstvo</t>
  </si>
  <si>
    <t>Narcisová 410/5/A, 040 11 Košice</t>
  </si>
  <si>
    <t>Ponúkame účtovné a administratívne služby, spracovanie a vedenie projektov, konzultačnú činnosť, prenájom apartmánového ubytovania, náhradné plnenie.</t>
  </si>
  <si>
    <t>Pozitívny sociálny vplyv dosahujeme percentom zamestnávania znevýhodnených a zraniteľných zamestnancov.</t>
  </si>
  <si>
    <t>https://katalogsp.sk/centrala-s-r-o/</t>
  </si>
  <si>
    <t>+421 911 749 291</t>
  </si>
  <si>
    <t>centrala.rsp.ip@gmail.com</t>
  </si>
  <si>
    <t>Centrála s.r.o.</t>
  </si>
  <si>
    <t>Spracovanie účtovníctva, miezd, daní, dph, spracovanie a vedenie projektov, konzultačná činnosť, ubytovacie služby.</t>
  </si>
  <si>
    <t xml:space="preserve">účtovníctvo, dane, projekty, ubytovanie, administratívne služby, náhradné plnenie, </t>
  </si>
  <si>
    <t>Autodiely OMEGA, s.r.o.</t>
  </si>
  <si>
    <t>Morovnianska cesta 1723/2, 972 51 Handlová</t>
  </si>
  <si>
    <t>Maloobchod a veľkoobchod s náhradnými dielmi a doplnkovým tovarom na motorové vozidlá pre firmy a koncových zákazníkov.</t>
  </si>
  <si>
    <t>Ako pozitívny spoločenský dopad vnímame možnosť dať prácu zdravotne znevýhodneným zamestnancom. V prípade dosahovania zisku tento chceme v plnej miere využiť na zlepšenie pracovného prostredia, na regeneráciu pracovnej sily, na nákup nových technických zariadení, ktoré uľahčia zamestnancom prácu a zvýšia jej produktivitu.</t>
  </si>
  <si>
    <t>https://katalogsp.sk/autodiely-omega-s-r-o/</t>
  </si>
  <si>
    <t>+421 908 757 737</t>
  </si>
  <si>
    <t>info@autodielyomega.sk</t>
  </si>
  <si>
    <t>Náhradné diely a doplnkový tovar na motorové vozidlá.</t>
  </si>
  <si>
    <t>náhradné diely, doplnkový tovar na motorové vozidlá, auto-moto</t>
  </si>
  <si>
    <t>Dvakrát dobre, oz, r.s.p.</t>
  </si>
  <si>
    <t>odevy a obuv, galantéria, bižutéria a darčekové predmety</t>
  </si>
  <si>
    <t>Pribišova 286/7, 053 02 Spišský Hrhov</t>
  </si>
  <si>
    <t>Naše občianske združenie sa venuje šitiu, krajčírstvu, oprave odevov; šijeme rôznych druhov výrobkov. Naše služby sú určené pre fyzické osoby aj firmy.</t>
  </si>
  <si>
    <t>Zamestnávaním znevýhodnených osôb, najmä žien po 50-ke a zdravotne znevýhodnených.</t>
  </si>
  <si>
    <t>https://katalogsp.sk/wp-content/uploads/2022/06/DvaKratDobre-RSP-1-KatalogSP.jpg</t>
  </si>
  <si>
    <t>https://katalogsp.sk/dvakrat-dobre-oz-r-s-p/</t>
  </si>
  <si>
    <t>+421 908 383 782</t>
  </si>
  <si>
    <t>dvakratdobreoz@gmail.com</t>
  </si>
  <si>
    <t>Šitie, krajčírstvo rôznych druhov produktov podľa potreby zákazníka.</t>
  </si>
  <si>
    <t>šitie, krajčírstvo, oprava odevov, bazar odevov</t>
  </si>
  <si>
    <t>FEBA-ECO s. r. o., r. s. p.</t>
  </si>
  <si>
    <t>Hollého 12, 083 01 Sabinov</t>
  </si>
  <si>
    <t xml:space="preserve">Čistenie a pranie textílií, pranie, čistenie a tepovanie kobercov, upratovacie služby,
stavebná činnosť.
</t>
  </si>
  <si>
    <t>Naša firma prednostne zamestnáva znevyhodnené osoby na trhu práce, ďalej vzdeláva a pripravuje osoby na získanie trvalého zamestnania.</t>
  </si>
  <si>
    <t>https://katalogsp.sk/wp-content/uploads/2022/06/Feba-RSP2-KatalogSP.jpg</t>
  </si>
  <si>
    <t>https://katalogsp.sk/feba-eco-s-r-o-r-s-p/</t>
  </si>
  <si>
    <t>+421 945 025 196</t>
  </si>
  <si>
    <t>febaeco@gmail.com</t>
  </si>
  <si>
    <t>Čistiareň, práčovňa Feba - eco</t>
  </si>
  <si>
    <t>Čistenie a pranie textílií, upratovacie služby, čistenie a pranie kobercov.</t>
  </si>
  <si>
    <t>pranie, čistenie, tepovanie, stavebná činnosť</t>
  </si>
  <si>
    <t>Projman s.r.o.</t>
  </si>
  <si>
    <t>Trnavská 1355/7, 010 08 Žilina</t>
  </si>
  <si>
    <t xml:space="preserve">Sme spoločnosť, ktorá poskytuje služby v oblasti získavania grantov a dotácií, prípravy a riadenia projektov, poskytovania administratívnych služieb a tvorby strategických dokumentov. Našimi zákazníkmi sú spoločnosti, ktoré chcú získať grant, potrebujú pomôcť s realizáciou projektu alebo nemajú dostatočné administratívne kapacity. </t>
  </si>
  <si>
    <t>Cieľom nášho podnikania nie je maximalizácia zisku, ktorý sa rozdeľuje medzi individuálnych vlastníkov, ale poskytovanie spoločensky prospešných služieb.
Znevýhodneným zamestnancom dávame možnosť na sebarealizáciu. Vďaka tomu sa popri zamestnaní zapájajú do bežného života.</t>
  </si>
  <si>
    <t>https://katalogsp.sk/projman-s-r-o/</t>
  </si>
  <si>
    <t>+421 903 709 825</t>
  </si>
  <si>
    <t>projman@projman.sk</t>
  </si>
  <si>
    <t>Poskytujeme poradenské a administratívne služby</t>
  </si>
  <si>
    <t>dotácie, granty, administratívne služby, poradenstvo,</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</si>
  <si>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</si>
  <si>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</si>
  <si>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</si>
  <si>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</si>
  <si>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</si>
  <si>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
  opacity: 0;
}
/* Pre prípad prelínania filtrov */
#controlers1{
  z-index: 4;
}
#controlers2{
  z-index: 3;
}
#controlers3{
  z-index: 2;
}
#controlers4{
  z-index: 1;
}</t>
  </si>
  <si>
    <t>init();
function init() {
   // Timeout nastavený , kedže DOMLoad alebo load nechcel ísť
   setTimeout(()=&gt; {
      renameFilterTitleAtr();
      moveSearch();
      replaceNoResultText();
      addListenerToSearchButton();
      renameFilterOptions();
      moveClearFilter();
      addGlobalListeners();
      //moveSearchFilter();
   },150)
   // Z nejakého dôvodu sa stránka niekedy refresne a stránka sa vráti do pôvodného stavu
   // JS sa ale znova nevykoná.
   setInterval(moveSearch, 200);
   setInterval(moveClearFilter, 200);
   setInterval(replaceNoResultText, 400);
   setInterval(renameFilterTitleAtr, 1000);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replaceNoResultText() {
   let noResultTextElem = document.querySelector('.at-noData .at-noData-message');
   if (!noResultTextElem) return;
   if (noResultTextElem.classList.contains('translated')) return;
   noResultTextElem.classList.add('translated');
   let noResultText = 'Ľutujeme, zadaným kritériám nevyhovuje žiadny sociálny podnik. Skúste spresniť svoje vyhľadávanie.';
   noResultTextElem.innerHTML = noResultText;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
// NEW 
////////////////////
function addGlobalListeners() {
   //const filterElems = document.querySelectorAll('.at-filter-panel .awt-csvFilter');
   document.addEventListener('click', renameElementText)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const filterItems = document.querySelectorAll('.csvFilter-item .csvFilter-itemText');
   filterItems.forEach(item =&gt; {
      const orgTitle = item.title;
      let replacedTitle = orgTitle.replace("Remove","Vybrať:");
      replacedTitle = replacedTitle.replace(/from.*$/i, "");
      item.title = replacedTitle;
   });
}</t>
  </si>
  <si>
    <t xml:space="preserve">&lt;link rel="preconnect" href="https://fonts.googleapis.com"&gt;
&lt;link rel="preconnect" href="https://fonts.gstatic.com" crossorigin&gt;
&lt;link href="https://fonts.googleapis.com/css2?family=Open+Sans:wght@300;400;700&amp;display=swap" rel="stylesheet"&gt;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</si>
  <si>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 a môžete na to využiť aj &lt;a target="_blank" href="https://socialnaekonomika.sk/vynimky-zo-zakona-o-verejnom-obstaravani/"&gt;výnimky z verejného obstarávania&lt;/a&gt;&lt;/p&gt;
        &lt;div class="sp-catalog-search-wrapper"&gt;
            &lt;div class="sp-catalog-search-init"&gt;&lt;/div&gt;
            &lt;a class="sp-catalog-search-btn"&gt;Vyhľadať&lt;/a&gt;
        &lt;/div&gt;
        &lt;div class="clear-filter-wrapper"&gt;&lt;/div&gt;
    &lt;/div&gt;
    &lt;div class="sp-catalog-bcg"&gt;&lt;/div&gt;
&lt;/div&gt;
&lt;!--
&lt;img class="banner-logos" style="width: 300px;" src="https://katalogsp.sk/wp-content/uploads/2022/02/mpsvr_ia_logos.png" alt="Logá MPSVR a IA MPSVR"&gt;
--&gt;
&lt;style&gt;
    @import url('https://fonts.googleapis.com/css2?family=Amatic+SC:wght@700&amp;display=swap');
    .sp-catalog-hero-section a{
        text-decoration: none;
        color: white;
        font-weight: bold;
    }
    .sp-catalog-hero-section a:hover{
        text-decoration: underline;
    }
    .sp-catalog-content-section .quote-text{
        margin-top: 42px;
        font-size: 22px;
        padding-left: 90px;
        padding-right: 90px;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.sp-catalog-content-section .quote-text{
            padding-left: 0px;
            padding-right: 0px;
        }
      }
&lt;/style&gt;</t>
  </si>
  <si>
    <r>
      <rPr/>
      <t>&lt;div class="sp-map-content"&gt;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</si>
  <si>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 FONT SETTINGS - end*/
#at-global-template, #dashboard{
  font-family: 'Open Sans', sans-serif;
}
/* FONT SETTINGS - start*/
.unselectable {
  -webkit-user-select: none;
  -webkit-touch-callout: none;
  -moz-user-select: none;
  -ms-user-select: none;
  user-select: none;
}
/****** NO RESULT - TEXT ARE - start *******/
.at-count .at-nb-results{
  font-size: 16px;
  color: #303133;
  line-height: 1.4em;
  padding-top: 16px;
  padding-bottom: 16px;
  font-weight: normal;
}
.at-count .at-icon-results{
  width: 36px;
  height: 36px;
  margin-right: 20px;
  margin-left: 20px;
}
.at-count .at-icon-results .at-svg-icon{
  fill: #303133 !important;
}
#dashboard .at-nb-results::before{
  content: 'Ľutujeme, zadaným kritériám nevyhovuje žiadny sociálny podnik. Skúste spresniť svoje vyhľadávanie.';
}
#dashboard .at-nb-results b{
  display: none;
}
/****** NO RESULT - TEXT ARE - end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opacity: 0;
}
/* Pre prípad prelínania filtrov */
#controlers1{
  z-index: 4;
}
#controlers2{
  z-index: 3;
}
#controlers3{
  z-index: 2;
}
#controlers4{
  z-index: 1;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</si>
  <si>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</si>
  <si>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</si>
  <si>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function init() {
   // Timeout nastavený , kedže DOMLoad alebo load nechcel ísť
   setTimeout(()=&gt; {
      renameFilterTitleAtr();
      moveSearch();
      //replaceNoResultText();
      addListenerToSearchButton();
      renameFilterOptions();
      moveClearFilter();
      addGlobalListeners();
      //moveSearchFilter();
   },150)
   // Z nejakého dôvodu sa stránka niekedy refresne a stránka sa vráti do pôvodného stavu
   // JS sa ale znova nevykoná.
   setInterval(moveSearch, 200);
   setInterval(renameFilterTitleAtr, 1000);
   setInterval(moveClearFilter, 200);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
// NEW 
////////////////////
function addGlobalListeners() {
   //const filterElems = document.querySelectorAll('.at-filter-panel .awt-csvFilter');
   document.addEventListener('click', renameElementText)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const filterItems = document.querySelectorAll('.csvFilter-item .csvFilter-itemText');
   filterItems.forEach(item =&gt; {
      const orgTitle = item.title;
      let replacedTitle = orgTitle.replace("Remove","Vybrať:");
      replacedTitle = replacedTitle.replace(/from.*$/i, "");
      item.title = replacedTitle;
   });
}</t>
  </si>
  <si>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</si>
  <si>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</si>
  <si>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</si>
  <si>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</si>
  <si>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</si>
  <si>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</si>
  <si>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30.5.2022</t>
  </si>
  <si>
    <t>OBLÁTKY s.r.o.</t>
  </si>
  <si>
    <t>Tužina 537 , 972 14 Tužina</t>
  </si>
  <si>
    <t>nie</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</si>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</sst>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scheme val="minor"/>
    </font>
    <font>
      <b/>
      <color rgb="FFFFFFFF"/>
      <name val="Arial"/>
    </font>
    <font>
      <b/>
      <sz val="12.0"/>
      <color theme="1"/>
      <name val="Arial"/>
    </font>
    <font>
      <b/>
      <color theme="1"/>
      <name val="Arial"/>
    </font>
    <font>
      <color theme="1"/>
      <name val="Arial"/>
    </font>
    <font>
      <b/>
      <sz val="9.0"/>
      <color rgb="FFFFFFFF"/>
      <name val="Arial"/>
    </font>
    <font>
      <sz val="9.0"/>
      <color rgb="FFFFFFFF"/>
      <name val="Arial"/>
    </font>
    <font>
      <b/>
      <color rgb="FF000000"/>
      <name val="Arial"/>
    </font>
    <font>
      <sz val="11.0"/>
      <color theme="1"/>
      <name val="Calibri"/>
    </font>
    <font>
      <u/>
      <sz val="11.0"/>
      <color rgb="FF0000FF"/>
      <name val="Calibri"/>
    </font>
    <font>
      <color rgb="FF000000"/>
      <name val="Arial"/>
    </font>
    <font>
      <u/>
      <sz val="11.0"/>
      <color rgb="FF1155CC"/>
      <name val="Calibri"/>
    </font>
    <font>
      <u/>
      <sz val="11.0"/>
      <color rgb="FF0000FF"/>
      <name val="Calibri"/>
    </font>
    <font>
      <u/>
      <sz val="11.0"/>
      <color rgb="FF0000FF"/>
      <name val="Calibri"/>
    </font>
    <font>
      <u/>
      <sz val="11.0"/>
      <color rgb="FF0000FF"/>
      <name val="Calibri"/>
    </font>
    <font>
      <u/>
      <sz val="11.0"/>
      <color rgb="FF0563C1"/>
      <name val="Calibri"/>
    </font>
    <font>
      <b/>
      <sz val="12.0"/>
      <color theme="1"/>
      <name val="&quot;Times New Roman&quot;"/>
    </font>
    <font>
      <u/>
      <sz val="11.0"/>
      <color rgb="FF1155CC"/>
      <name val="Calibri"/>
    </font>
    <font>
      <sz val="11.0"/>
      <color rgb="FF000000"/>
      <name val="Calibri"/>
    </font>
    <font>
      <b/>
      <sz val="11.0"/>
      <color theme="1"/>
      <name val="Calibri"/>
    </font>
    <font>
      <u/>
      <color rgb="FF0000FF"/>
      <name val="Arial"/>
    </font>
    <font>
      <u/>
      <sz val="11.0"/>
      <color rgb="FF0000FF"/>
      <name val="Calibri"/>
    </font>
    <font>
      <u/>
      <color rgb="FF0000FF"/>
      <name val="Arial"/>
    </font>
    <font>
      <u/>
      <color rgb="FF0000FF"/>
      <name val="Roboto"/>
    </font>
    <font>
      <u/>
      <sz val="11.0"/>
      <color rgb="FF0563C1"/>
      <name val="Calibri"/>
    </font>
    <font>
      <u/>
      <sz val="11.0"/>
      <color rgb="FF0000FF"/>
      <name val="Calibri"/>
    </font>
    <font>
      <u/>
      <sz val="11.0"/>
      <color rgb="FF1155CC"/>
      <name val="Calibri"/>
    </font>
    <font>
      <color theme="1"/>
      <name val="Helvetica"/>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color rgb="FF1155CC"/>
      <name val="Arial"/>
    </font>
    <font>
      <u/>
      <color rgb="FF1155CC"/>
      <name val="Arial"/>
    </font>
    <font>
      <b/>
      <sz val="10.0"/>
      <color rgb="FFFFFFFF"/>
      <name val="Arial"/>
      <scheme val="minor"/>
    </font>
    <font>
      <u/>
      <color rgb="FF0000FF"/>
    </font>
    <font>
      <color theme="1"/>
      <name val="Arial"/>
      <scheme val="minor"/>
    </font>
    <font>
      <color rgb="FFCC0000"/>
      <name val="Arial"/>
      <scheme val="minor"/>
    </font>
    <font/>
    <font>
      <sz val="11.0"/>
      <color rgb="FF008000"/>
      <name val="Inconsolata"/>
    </font>
  </fonts>
  <fills count="30">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E2EFDA"/>
        <bgColor rgb="FFE2EFDA"/>
      </patternFill>
    </fill>
    <fill>
      <patternFill patternType="solid">
        <fgColor rgb="FFFFFFFF"/>
        <bgColor rgb="FFFFFFFF"/>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999999"/>
        <bgColor rgb="FF999999"/>
      </patternFill>
    </fill>
    <fill>
      <patternFill patternType="solid">
        <fgColor rgb="FF38761D"/>
        <bgColor rgb="FF38761D"/>
      </patternFill>
    </fill>
    <fill>
      <patternFill patternType="solid">
        <fgColor theme="0"/>
        <bgColor theme="0"/>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E2EDFE"/>
        <bgColor rgb="FFE2EDFE"/>
      </patternFill>
    </fill>
    <fill>
      <patternFill patternType="solid">
        <fgColor rgb="FFFFFFAB"/>
        <bgColor rgb="FFFFFFAB"/>
      </patternFill>
    </fill>
    <fill>
      <patternFill patternType="solid">
        <fgColor rgb="FFF4C7C3"/>
        <bgColor rgb="FFF4C7C3"/>
      </patternFill>
    </fill>
    <fill>
      <patternFill patternType="solid">
        <fgColor rgb="FFFFC000"/>
        <bgColor rgb="FFFFC000"/>
      </patternFill>
    </fill>
    <fill>
      <patternFill patternType="solid">
        <fgColor rgb="FFB7E1CD"/>
        <bgColor rgb="FFB7E1CD"/>
      </patternFill>
    </fill>
    <fill>
      <patternFill patternType="solid">
        <fgColor rgb="FF3047A3"/>
        <bgColor rgb="FF3047A3"/>
      </patternFill>
    </fill>
    <fill>
      <patternFill patternType="solid">
        <fgColor rgb="FF6AA84F"/>
        <bgColor rgb="FF6AA84F"/>
      </patternFill>
    </fill>
    <fill>
      <patternFill patternType="solid">
        <fgColor rgb="FFB4A7D6"/>
        <bgColor rgb="FFB4A7D6"/>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2" numFmtId="0" xfId="0" applyAlignment="1" applyBorder="1" applyFill="1" applyFont="1">
      <alignment horizontal="center" shrinkToFit="0" vertical="bottom" wrapText="1"/>
    </xf>
    <xf borderId="1" fillId="3" fontId="3" numFmtId="0" xfId="0" applyAlignment="1" applyBorder="1" applyFont="1">
      <alignment horizontal="center" shrinkToFit="0" vertical="bottom" wrapText="1"/>
    </xf>
    <xf borderId="1" fillId="4" fontId="3" numFmtId="0" xfId="0" applyAlignment="1" applyBorder="1" applyFill="1" applyFont="1">
      <alignment horizontal="center" shrinkToFit="0" vertical="bottom" wrapText="1"/>
    </xf>
    <xf borderId="1" fillId="5" fontId="3" numFmtId="0" xfId="0" applyAlignment="1" applyBorder="1" applyFill="1" applyFont="1">
      <alignment horizontal="center" shrinkToFit="0" vertical="bottom" wrapText="1"/>
    </xf>
    <xf borderId="1" fillId="5" fontId="3" numFmtId="0" xfId="0" applyAlignment="1" applyBorder="1" applyFont="1">
      <alignment horizontal="center" shrinkToFit="0" vertical="bottom" wrapText="1"/>
    </xf>
    <xf borderId="1" fillId="3" fontId="3" numFmtId="0" xfId="0" applyAlignment="1" applyBorder="1" applyFont="1">
      <alignment horizontal="center" shrinkToFit="0" vertical="bottom" wrapText="1"/>
    </xf>
    <xf borderId="1" fillId="3" fontId="3" numFmtId="0" xfId="0" applyAlignment="1" applyBorder="1" applyFont="1">
      <alignment horizontal="center" vertical="bottom"/>
    </xf>
    <xf borderId="1" fillId="6" fontId="3" numFmtId="0" xfId="0" applyAlignment="1" applyBorder="1" applyFill="1" applyFont="1">
      <alignment horizontal="center" shrinkToFit="0" vertical="bottom" wrapText="1"/>
    </xf>
    <xf borderId="1" fillId="6" fontId="3" numFmtId="0" xfId="0" applyAlignment="1" applyBorder="1" applyFont="1">
      <alignment horizontal="center" shrinkToFit="0" vertical="bottom" wrapText="1"/>
    </xf>
    <xf borderId="1" fillId="7" fontId="3" numFmtId="0" xfId="0" applyAlignment="1" applyBorder="1" applyFill="1" applyFont="1">
      <alignment horizontal="center" shrinkToFit="0" vertical="bottom" wrapText="1"/>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shrinkToFit="0" vertical="bottom" wrapText="1"/>
    </xf>
    <xf borderId="1" fillId="8" fontId="3" numFmtId="0" xfId="0" applyAlignment="1" applyBorder="1" applyFont="1">
      <alignment horizontal="center" shrinkToFit="0" vertical="bottom" wrapText="1"/>
    </xf>
    <xf borderId="1" fillId="9" fontId="3" numFmtId="0" xfId="0" applyAlignment="1" applyBorder="1" applyFill="1" applyFont="1">
      <alignment horizontal="center" shrinkToFit="0" vertical="bottom" wrapText="1"/>
    </xf>
    <xf borderId="1" fillId="9" fontId="3" numFmtId="0" xfId="0" applyAlignment="1" applyBorder="1" applyFont="1">
      <alignment horizontal="center" shrinkToFit="0" vertical="bottom" wrapText="1"/>
    </xf>
    <xf borderId="1" fillId="10" fontId="4" numFmtId="0" xfId="0" applyAlignment="1" applyBorder="1" applyFill="1" applyFont="1">
      <alignment shrinkToFit="0" vertical="bottom" wrapText="1"/>
    </xf>
    <xf borderId="1" fillId="2" fontId="1" numFmtId="0" xfId="0" applyAlignment="1" applyBorder="1" applyFont="1">
      <alignment horizontal="center" shrinkToFit="0" vertical="bottom" wrapText="1"/>
    </xf>
    <xf borderId="0" fillId="11" fontId="4" numFmtId="0" xfId="0" applyAlignment="1" applyFill="1" applyFont="1">
      <alignment horizontal="center" readingOrder="0" vertical="bottom"/>
    </xf>
    <xf borderId="1" fillId="12" fontId="4" numFmtId="0" xfId="0" applyAlignment="1" applyBorder="1" applyFill="1" applyFont="1">
      <alignment vertical="bottom"/>
    </xf>
    <xf borderId="1" fillId="13" fontId="5" numFmtId="0" xfId="0" applyAlignment="1" applyBorder="1" applyFill="1" applyFont="1">
      <alignment vertical="bottom"/>
    </xf>
    <xf borderId="1" fillId="14" fontId="4" numFmtId="0" xfId="0" applyAlignment="1" applyBorder="1" applyFill="1" applyFont="1">
      <alignment vertical="bottom"/>
    </xf>
    <xf borderId="1" fillId="12" fontId="6" numFmtId="0" xfId="0" applyAlignment="1" applyBorder="1" applyFont="1">
      <alignment shrinkToFit="0" vertical="bottom" wrapText="1"/>
    </xf>
    <xf borderId="1" fillId="14" fontId="6" numFmtId="0" xfId="0" applyAlignment="1" applyBorder="1" applyFont="1">
      <alignment vertical="bottom"/>
    </xf>
    <xf borderId="1" fillId="12" fontId="6" numFmtId="0" xfId="0" applyAlignment="1" applyBorder="1" applyFont="1">
      <alignment vertical="bottom"/>
    </xf>
    <xf borderId="1" fillId="15" fontId="4" numFmtId="0" xfId="0" applyAlignment="1" applyBorder="1" applyFill="1" applyFont="1">
      <alignment vertical="bottom"/>
    </xf>
    <xf borderId="1" fillId="15" fontId="4" numFmtId="0" xfId="0" applyAlignment="1" applyBorder="1" applyFont="1">
      <alignment vertical="bottom"/>
    </xf>
    <xf borderId="1" fillId="15" fontId="6" numFmtId="0" xfId="0" applyAlignment="1" applyBorder="1" applyFont="1">
      <alignment vertical="bottom"/>
    </xf>
    <xf borderId="1" fillId="13" fontId="6" numFmtId="0" xfId="0" applyAlignment="1" applyBorder="1" applyFont="1">
      <alignment shrinkToFit="0" vertical="bottom" wrapText="1"/>
    </xf>
    <xf borderId="1" fillId="13" fontId="6" numFmtId="0" xfId="0" applyAlignment="1" applyBorder="1" applyFont="1">
      <alignment vertical="bottom"/>
    </xf>
    <xf borderId="1" fillId="13" fontId="6" numFmtId="0" xfId="0" applyAlignment="1" applyBorder="1" applyFont="1">
      <alignment vertical="bottom"/>
    </xf>
    <xf borderId="1" fillId="16" fontId="4" numFmtId="0" xfId="0" applyAlignment="1" applyBorder="1" applyFill="1" applyFont="1">
      <alignment vertical="bottom"/>
    </xf>
    <xf borderId="1" fillId="16" fontId="4" numFmtId="0" xfId="0" applyAlignment="1" applyBorder="1" applyFont="1">
      <alignment vertical="bottom"/>
    </xf>
    <xf borderId="1" fillId="17" fontId="4" numFmtId="0" xfId="0" applyAlignment="1" applyBorder="1" applyFill="1" applyFont="1">
      <alignment vertical="bottom"/>
    </xf>
    <xf borderId="1" fillId="17" fontId="4" numFmtId="0" xfId="0" applyAlignment="1" applyBorder="1" applyFont="1">
      <alignment vertical="bottom"/>
    </xf>
    <xf borderId="1" fillId="11" fontId="4" numFmtId="0" xfId="0" applyAlignment="1" applyBorder="1" applyFont="1">
      <alignment vertical="bottom"/>
    </xf>
    <xf borderId="0" fillId="12" fontId="4" numFmtId="0" xfId="0" applyAlignment="1" applyFont="1">
      <alignment vertical="bottom"/>
    </xf>
    <xf borderId="1" fillId="18" fontId="7" numFmtId="0" xfId="0" applyAlignment="1" applyBorder="1" applyFill="1" applyFont="1">
      <alignment horizontal="center" readingOrder="0"/>
    </xf>
    <xf borderId="1" fillId="19" fontId="4" numFmtId="0" xfId="0" applyAlignment="1" applyBorder="1" applyFill="1" applyFont="1">
      <alignment vertical="bottom"/>
    </xf>
    <xf borderId="1" fillId="0" fontId="2" numFmtId="0" xfId="0" applyAlignment="1" applyBorder="1" applyFont="1">
      <alignment horizontal="center" shrinkToFit="0" vertical="bottom" wrapText="1"/>
    </xf>
    <xf borderId="1" fillId="11" fontId="3" numFmtId="0" xfId="0" applyAlignment="1" applyBorder="1" applyFont="1">
      <alignment shrinkToFit="0" vertical="bottom" wrapText="1"/>
    </xf>
    <xf borderId="1" fillId="20" fontId="4" numFmtId="0" xfId="0" applyAlignment="1" applyBorder="1" applyFill="1" applyFont="1">
      <alignment shrinkToFit="0" vertical="bottom" wrapText="1"/>
    </xf>
    <xf borderId="1" fillId="19" fontId="4" numFmtId="0" xfId="0" applyAlignment="1" applyBorder="1" applyFont="1">
      <alignment shrinkToFit="0" vertical="bottom" wrapText="1"/>
    </xf>
    <xf borderId="1" fillId="20" fontId="4" numFmtId="0" xfId="0" applyAlignment="1" applyBorder="1" applyFont="1">
      <alignment vertical="bottom"/>
    </xf>
    <xf borderId="1" fillId="19" fontId="4" numFmtId="0" xfId="0" applyAlignment="1" applyBorder="1" applyFont="1">
      <alignment vertical="bottom"/>
    </xf>
    <xf borderId="1" fillId="19" fontId="4" numFmtId="2" xfId="0" applyAlignment="1" applyBorder="1" applyFont="1" applyNumberFormat="1">
      <alignment vertical="bottom"/>
    </xf>
    <xf borderId="1" fillId="19" fontId="4" numFmtId="2" xfId="0" applyAlignment="1" applyBorder="1" applyFont="1" applyNumberFormat="1">
      <alignment horizontal="right" vertical="bottom"/>
    </xf>
    <xf borderId="1" fillId="21" fontId="4" numFmtId="0" xfId="0" applyAlignment="1" applyBorder="1" applyFill="1" applyFont="1">
      <alignment vertical="bottom"/>
    </xf>
    <xf borderId="1" fillId="21" fontId="4" numFmtId="0" xfId="0" applyAlignment="1" applyBorder="1" applyFont="1">
      <alignment vertical="bottom"/>
    </xf>
    <xf borderId="1" fillId="21" fontId="4" numFmtId="0" xfId="0" applyAlignment="1" applyBorder="1" applyFont="1">
      <alignment horizontal="right" vertical="bottom"/>
    </xf>
    <xf borderId="1" fillId="22" fontId="4" numFmtId="0" xfId="0" applyAlignment="1" applyBorder="1" applyFill="1" applyFont="1">
      <alignment shrinkToFit="0" vertical="bottom" wrapText="1"/>
    </xf>
    <xf borderId="1" fillId="11" fontId="4" numFmtId="0" xfId="0" applyAlignment="1" applyBorder="1" applyFont="1">
      <alignment vertical="bottom"/>
    </xf>
    <xf borderId="1" fillId="11" fontId="8" numFmtId="0" xfId="0" applyAlignment="1" applyBorder="1" applyFont="1">
      <alignment vertical="bottom"/>
    </xf>
    <xf borderId="1" fillId="11" fontId="9" numFmtId="49" xfId="0" applyAlignment="1" applyBorder="1" applyFont="1" applyNumberFormat="1">
      <alignment vertical="bottom"/>
    </xf>
    <xf borderId="1" fillId="0" fontId="4" numFmtId="49" xfId="0" applyAlignment="1" applyBorder="1" applyFont="1" applyNumberFormat="1">
      <alignment horizontal="right" shrinkToFit="0" vertical="bottom" wrapText="1"/>
    </xf>
    <xf borderId="1" fillId="0" fontId="4" numFmtId="9" xfId="0" applyAlignment="1" applyBorder="1" applyFont="1" applyNumberFormat="1">
      <alignment shrinkToFit="0" vertical="bottom" wrapText="1"/>
    </xf>
    <xf borderId="1" fillId="0" fontId="4" numFmtId="49" xfId="0" applyAlignment="1" applyBorder="1" applyFont="1" applyNumberFormat="1">
      <alignment shrinkToFit="0" vertical="bottom" wrapText="1"/>
    </xf>
    <xf borderId="1" fillId="22" fontId="4" numFmtId="49" xfId="0" applyAlignment="1" applyBorder="1" applyFont="1" applyNumberFormat="1">
      <alignment shrinkToFit="0" vertical="bottom" wrapText="1"/>
    </xf>
    <xf borderId="1" fillId="23" fontId="4" numFmtId="49" xfId="0" applyAlignment="1" applyBorder="1" applyFill="1" applyFont="1" applyNumberFormat="1">
      <alignment shrinkToFit="0" vertical="bottom" wrapText="1"/>
    </xf>
    <xf borderId="1" fillId="0" fontId="4" numFmtId="49" xfId="0" applyAlignment="1" applyBorder="1" applyFont="1" applyNumberFormat="1">
      <alignment horizontal="center" shrinkToFit="0" vertical="bottom" wrapText="1"/>
    </xf>
    <xf borderId="1" fillId="0" fontId="4" numFmtId="9" xfId="0" applyAlignment="1" applyBorder="1" applyFont="1" applyNumberFormat="1">
      <alignment vertical="bottom"/>
    </xf>
    <xf borderId="1" fillId="22" fontId="4" numFmtId="49" xfId="0" applyAlignment="1" applyBorder="1" applyFont="1" applyNumberFormat="1">
      <alignment vertical="bottom"/>
    </xf>
    <xf borderId="1" fillId="23" fontId="4" numFmtId="49" xfId="0" applyAlignment="1" applyBorder="1" applyFont="1" applyNumberFormat="1">
      <alignment vertical="bottom"/>
    </xf>
    <xf borderId="1" fillId="0" fontId="4" numFmtId="0" xfId="0" applyAlignment="1" applyBorder="1" applyFont="1">
      <alignment vertical="bottom"/>
    </xf>
    <xf borderId="1" fillId="0" fontId="4" numFmtId="0" xfId="0" applyAlignment="1" applyBorder="1" applyFont="1">
      <alignment vertical="bottom"/>
    </xf>
    <xf borderId="1" fillId="22" fontId="4" numFmtId="0" xfId="0" applyAlignment="1" applyBorder="1" applyFont="1">
      <alignment vertical="bottom"/>
    </xf>
    <xf borderId="1" fillId="23" fontId="4" numFmtId="0" xfId="0" applyAlignment="1" applyBorder="1" applyFont="1">
      <alignment vertical="bottom"/>
    </xf>
    <xf borderId="0" fillId="19" fontId="4" numFmtId="0" xfId="0" applyAlignment="1" applyFont="1">
      <alignment shrinkToFit="0" vertical="bottom" wrapText="1"/>
    </xf>
    <xf borderId="2" fillId="0" fontId="10" numFmtId="0" xfId="0" applyAlignment="1" applyBorder="1" applyFont="1">
      <alignment horizontal="center" readingOrder="0"/>
    </xf>
    <xf borderId="1" fillId="0" fontId="2" numFmtId="0" xfId="0" applyAlignment="1" applyBorder="1" applyFont="1">
      <alignment horizontal="center" shrinkToFit="0" vertical="bottom" wrapText="1"/>
    </xf>
    <xf borderId="1" fillId="20" fontId="4" numFmtId="0" xfId="0" applyAlignment="1" applyBorder="1" applyFont="1">
      <alignment shrinkToFit="0" vertical="bottom" wrapText="1"/>
    </xf>
    <xf borderId="1" fillId="20" fontId="4" numFmtId="0" xfId="0" applyAlignment="1" applyBorder="1" applyFont="1">
      <alignment vertical="bottom"/>
    </xf>
    <xf borderId="1" fillId="24" fontId="4" numFmtId="0" xfId="0" applyAlignment="1" applyBorder="1" applyFill="1" applyFont="1">
      <alignment vertical="bottom"/>
    </xf>
    <xf borderId="1" fillId="0" fontId="11" numFmtId="0" xfId="0" applyAlignment="1" applyBorder="1" applyFont="1">
      <alignment vertical="bottom"/>
    </xf>
    <xf borderId="1" fillId="0" fontId="12" numFmtId="49" xfId="0" applyAlignment="1" applyBorder="1" applyFont="1" applyNumberFormat="1">
      <alignment vertical="bottom"/>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1" fillId="22" fontId="4" numFmtId="0" xfId="0" applyAlignment="1" applyBorder="1" applyFont="1">
      <alignment vertical="bottom"/>
    </xf>
    <xf borderId="1" fillId="0" fontId="4" numFmtId="49" xfId="0" applyAlignment="1" applyBorder="1" applyFont="1" applyNumberFormat="1">
      <alignment vertical="bottom"/>
    </xf>
    <xf borderId="1" fillId="10" fontId="8" numFmtId="0" xfId="0" applyAlignment="1" applyBorder="1" applyFont="1">
      <alignment horizontal="center" shrinkToFit="0" vertical="bottom" wrapText="1"/>
    </xf>
    <xf borderId="1" fillId="0" fontId="13" numFmtId="0" xfId="0" applyAlignment="1" applyBorder="1" applyFont="1">
      <alignment vertical="bottom"/>
    </xf>
    <xf borderId="2" fillId="0" fontId="10" numFmtId="0" xfId="0" applyAlignment="1" applyBorder="1" applyFont="1">
      <alignment horizontal="center"/>
    </xf>
    <xf borderId="1" fillId="22" fontId="4" numFmtId="0" xfId="0" applyAlignment="1" applyBorder="1" applyFont="1">
      <alignment horizontal="right" shrinkToFit="0" vertical="bottom" wrapText="1"/>
    </xf>
    <xf quotePrefix="1" borderId="1" fillId="0" fontId="4" numFmtId="49" xfId="0" applyAlignment="1" applyBorder="1" applyFont="1" applyNumberFormat="1">
      <alignment horizontal="right" shrinkToFit="0" vertical="bottom" wrapText="1"/>
    </xf>
    <xf borderId="1" fillId="7" fontId="4" numFmtId="49" xfId="0" applyAlignment="1" applyBorder="1" applyFont="1" applyNumberFormat="1">
      <alignment horizontal="center" shrinkToFit="0" vertical="bottom" wrapText="1"/>
    </xf>
    <xf borderId="1" fillId="11" fontId="4" numFmtId="2" xfId="0" applyAlignment="1" applyBorder="1" applyFont="1" applyNumberFormat="1">
      <alignment vertical="bottom"/>
    </xf>
    <xf borderId="1" fillId="0" fontId="14" numFmtId="2" xfId="0" applyAlignment="1" applyBorder="1" applyFont="1" applyNumberFormat="1">
      <alignment vertical="bottom"/>
    </xf>
    <xf borderId="1" fillId="0" fontId="4" numFmtId="2" xfId="0" applyAlignment="1" applyBorder="1" applyFont="1" applyNumberFormat="1">
      <alignment shrinkToFit="0" vertical="bottom" wrapText="1"/>
    </xf>
    <xf borderId="1" fillId="22" fontId="4" numFmtId="2" xfId="0" applyAlignment="1" applyBorder="1" applyFont="1" applyNumberFormat="1">
      <alignment vertical="bottom"/>
    </xf>
    <xf borderId="1" fillId="8" fontId="4" numFmtId="0" xfId="0" applyAlignment="1" applyBorder="1" applyFont="1">
      <alignment horizontal="center" shrinkToFit="0" vertical="bottom" wrapText="1"/>
    </xf>
    <xf borderId="1" fillId="25" fontId="4" numFmtId="0" xfId="0" applyAlignment="1" applyBorder="1" applyFill="1" applyFont="1">
      <alignment horizontal="center" shrinkToFit="0" vertical="bottom" wrapText="1"/>
    </xf>
    <xf borderId="1" fillId="23" fontId="4" numFmtId="0" xfId="0" applyAlignment="1" applyBorder="1" applyFont="1">
      <alignment shrinkToFit="0" vertical="bottom" wrapText="1"/>
    </xf>
    <xf borderId="1" fillId="24" fontId="4" numFmtId="0" xfId="0" applyAlignment="1" applyBorder="1" applyFont="1">
      <alignment shrinkToFit="0" vertical="bottom" wrapText="1"/>
    </xf>
    <xf borderId="1" fillId="0" fontId="3" numFmtId="0" xfId="0" applyAlignment="1" applyBorder="1" applyFont="1">
      <alignment shrinkToFit="0" vertical="bottom" wrapText="1"/>
    </xf>
    <xf borderId="1" fillId="0" fontId="15" numFmtId="0" xfId="0" applyAlignment="1" applyBorder="1" applyFont="1">
      <alignment shrinkToFit="0" vertical="bottom" wrapText="1"/>
    </xf>
    <xf borderId="1" fillId="10" fontId="4" numFmtId="0" xfId="0" applyAlignment="1" applyBorder="1" applyFont="1">
      <alignment shrinkToFit="0" vertical="bottom" wrapText="1"/>
    </xf>
    <xf borderId="1" fillId="23" fontId="4" numFmtId="0" xfId="0" applyAlignment="1" applyBorder="1" applyFont="1">
      <alignment vertical="bottom"/>
    </xf>
    <xf borderId="1" fillId="0" fontId="3" numFmtId="0" xfId="0" applyAlignment="1" applyBorder="1" applyFont="1">
      <alignment shrinkToFit="0" vertical="bottom" wrapText="1"/>
    </xf>
    <xf borderId="1" fillId="11" fontId="3" numFmtId="0" xfId="0" applyAlignment="1" applyBorder="1" applyFont="1">
      <alignment shrinkToFit="0" vertical="bottom" wrapText="1"/>
    </xf>
    <xf borderId="1" fillId="25" fontId="4" numFmtId="0" xfId="0" applyAlignment="1" applyBorder="1" applyFont="1">
      <alignment vertical="bottom"/>
    </xf>
    <xf borderId="1" fillId="0" fontId="16" numFmtId="0" xfId="0" applyAlignment="1" applyBorder="1" applyFont="1">
      <alignment shrinkToFit="0" vertical="bottom" wrapText="1"/>
    </xf>
    <xf borderId="1" fillId="22" fontId="4" numFmtId="0" xfId="0" applyAlignment="1" applyBorder="1" applyFont="1">
      <alignment shrinkToFit="0" vertical="bottom" wrapText="1"/>
    </xf>
    <xf borderId="1" fillId="24" fontId="4" numFmtId="0" xfId="0" applyAlignment="1" applyBorder="1" applyFont="1">
      <alignment vertical="bottom"/>
    </xf>
    <xf borderId="1" fillId="0" fontId="17" numFmtId="2" xfId="0" applyAlignment="1" applyBorder="1" applyFont="1" applyNumberFormat="1">
      <alignment vertical="bottom"/>
    </xf>
    <xf borderId="1" fillId="0" fontId="18" numFmtId="2" xfId="0" applyAlignment="1" applyBorder="1" applyFont="1" applyNumberFormat="1">
      <alignment readingOrder="0" vertical="bottom"/>
    </xf>
    <xf borderId="1" fillId="0" fontId="19" numFmtId="0" xfId="0" applyAlignment="1" applyBorder="1" applyFont="1">
      <alignment shrinkToFit="0" vertical="bottom" wrapText="1"/>
    </xf>
    <xf borderId="1" fillId="0" fontId="20" numFmtId="2" xfId="0" applyAlignment="1" applyBorder="1" applyFont="1" applyNumberFormat="1">
      <alignment vertical="bottom"/>
    </xf>
    <xf borderId="1" fillId="0" fontId="19" numFmtId="0" xfId="0" applyAlignment="1" applyBorder="1" applyFont="1">
      <alignment vertical="bottom"/>
    </xf>
    <xf borderId="1" fillId="21" fontId="4" numFmtId="0" xfId="0" applyAlignment="1" applyBorder="1" applyFont="1">
      <alignment horizontal="right" vertical="bottom"/>
    </xf>
    <xf borderId="1" fillId="0" fontId="21" numFmtId="0" xfId="0" applyAlignment="1" applyBorder="1" applyFont="1">
      <alignment vertical="bottom"/>
    </xf>
    <xf borderId="1" fillId="21" fontId="4" numFmtId="0" xfId="0" applyAlignment="1" applyBorder="1" applyFont="1">
      <alignment shrinkToFit="0" vertical="bottom" wrapText="0"/>
    </xf>
    <xf borderId="1" fillId="0" fontId="22" numFmtId="0" xfId="0" applyAlignment="1" applyBorder="1" applyFont="1">
      <alignment vertical="bottom"/>
    </xf>
    <xf borderId="1" fillId="11" fontId="23" numFmtId="49" xfId="0" applyAlignment="1" applyBorder="1" applyFont="1" applyNumberFormat="1">
      <alignment vertical="bottom"/>
    </xf>
    <xf borderId="1" fillId="21" fontId="4" numFmtId="0" xfId="0" applyAlignment="1" applyBorder="1" applyFont="1">
      <alignment horizontal="center" vertical="bottom"/>
    </xf>
    <xf borderId="1" fillId="0" fontId="4" numFmtId="0" xfId="0" applyAlignment="1" applyBorder="1" applyFont="1">
      <alignment readingOrder="0" vertical="bottom"/>
    </xf>
    <xf borderId="1" fillId="0" fontId="3" numFmtId="0" xfId="0" applyAlignment="1" applyBorder="1" applyFont="1">
      <alignment vertical="bottom"/>
    </xf>
    <xf borderId="1" fillId="0" fontId="24" numFmtId="49" xfId="0" applyAlignment="1" applyBorder="1" applyFont="1" applyNumberFormat="1">
      <alignment vertical="bottom"/>
    </xf>
    <xf borderId="1" fillId="22" fontId="8" numFmtId="2" xfId="0" applyAlignment="1" applyBorder="1" applyFont="1" applyNumberFormat="1">
      <alignment shrinkToFit="0" vertical="bottom" wrapText="1"/>
    </xf>
    <xf borderId="1" fillId="23" fontId="8" numFmtId="49" xfId="0" applyAlignment="1" applyBorder="1" applyFont="1" applyNumberFormat="1">
      <alignment shrinkToFit="0" vertical="bottom" wrapText="1"/>
    </xf>
    <xf borderId="1" fillId="0" fontId="8" numFmtId="49" xfId="0" applyAlignment="1" applyBorder="1" applyFont="1" applyNumberFormat="1">
      <alignment shrinkToFit="0" vertical="bottom" wrapText="1"/>
    </xf>
    <xf borderId="1" fillId="22" fontId="8" numFmtId="0" xfId="0" applyAlignment="1" applyBorder="1" applyFont="1">
      <alignment shrinkToFit="0" vertical="bottom" wrapText="1"/>
    </xf>
    <xf borderId="1" fillId="11" fontId="4" numFmtId="0" xfId="0" applyAlignment="1" applyBorder="1" applyFont="1">
      <alignment shrinkToFit="0" vertical="bottom" wrapText="1"/>
    </xf>
    <xf borderId="1" fillId="24" fontId="4" numFmtId="0" xfId="0" applyAlignment="1" applyBorder="1" applyFont="1">
      <alignment shrinkToFit="0" vertical="bottom" wrapText="1"/>
    </xf>
    <xf borderId="1" fillId="11" fontId="25" numFmtId="0" xfId="0" applyAlignment="1" applyBorder="1" applyFont="1">
      <alignment vertical="bottom"/>
    </xf>
    <xf borderId="1" fillId="0" fontId="8" numFmtId="49" xfId="0" applyAlignment="1" applyBorder="1" applyFont="1" applyNumberFormat="1">
      <alignment vertical="bottom"/>
    </xf>
    <xf borderId="1" fillId="26" fontId="4" numFmtId="49" xfId="0" applyAlignment="1" applyBorder="1" applyFill="1" applyFont="1" applyNumberFormat="1">
      <alignment vertical="bottom"/>
    </xf>
    <xf borderId="1" fillId="8" fontId="8" numFmtId="0" xfId="0" applyAlignment="1" applyBorder="1" applyFont="1">
      <alignment vertical="bottom"/>
    </xf>
    <xf borderId="1" fillId="0" fontId="8" numFmtId="0" xfId="0" applyAlignment="1" applyBorder="1" applyFont="1">
      <alignment shrinkToFit="0" vertical="bottom" wrapText="1"/>
    </xf>
    <xf borderId="1" fillId="8" fontId="4" numFmtId="0" xfId="0" applyAlignment="1" applyBorder="1" applyFont="1">
      <alignment vertical="bottom"/>
    </xf>
    <xf borderId="1" fillId="25" fontId="4" numFmtId="0" xfId="0" applyAlignment="1" applyBorder="1" applyFont="1">
      <alignment horizontal="center" vertical="bottom"/>
    </xf>
    <xf borderId="1" fillId="11" fontId="8" numFmtId="0" xfId="0" applyAlignment="1" applyBorder="1" applyFont="1">
      <alignment vertical="bottom"/>
    </xf>
    <xf borderId="1" fillId="11" fontId="4" numFmtId="0" xfId="0" applyAlignment="1" applyBorder="1" applyFont="1">
      <alignment horizontal="right" vertical="bottom"/>
    </xf>
    <xf borderId="1" fillId="11" fontId="4" numFmtId="0" xfId="0" applyAlignment="1" applyBorder="1" applyFont="1">
      <alignment horizontal="right" vertical="bottom"/>
    </xf>
    <xf borderId="1" fillId="11" fontId="8" numFmtId="49" xfId="0" applyAlignment="1" applyBorder="1" applyFont="1" applyNumberFormat="1">
      <alignment vertical="bottom"/>
    </xf>
    <xf quotePrefix="1" borderId="1" fillId="0" fontId="4" numFmtId="49" xfId="0" applyAlignment="1" applyBorder="1" applyFont="1" applyNumberFormat="1">
      <alignment shrinkToFit="0" vertical="bottom" wrapText="1"/>
    </xf>
    <xf borderId="1" fillId="26" fontId="8" numFmtId="49" xfId="0" applyAlignment="1" applyBorder="1" applyFont="1" applyNumberFormat="1">
      <alignment vertical="bottom"/>
    </xf>
    <xf borderId="1" fillId="25" fontId="8" numFmtId="0" xfId="0" applyAlignment="1" applyBorder="1" applyFont="1">
      <alignment horizontal="center" vertical="bottom"/>
    </xf>
    <xf borderId="2" fillId="0" fontId="4" numFmtId="0" xfId="0" applyAlignment="1" applyBorder="1" applyFont="1">
      <alignment horizontal="center"/>
    </xf>
    <xf borderId="2" fillId="0" fontId="4" numFmtId="0" xfId="0" applyAlignment="1" applyBorder="1" applyFont="1">
      <alignment horizontal="center" readingOrder="0"/>
    </xf>
    <xf borderId="1" fillId="11" fontId="26" numFmtId="0" xfId="0" applyAlignment="1" applyBorder="1" applyFont="1">
      <alignment vertical="bottom"/>
    </xf>
    <xf borderId="3" fillId="0" fontId="4" numFmtId="0" xfId="0" applyAlignment="1" applyBorder="1" applyFont="1">
      <alignment horizontal="center"/>
    </xf>
    <xf borderId="3" fillId="0" fontId="10" numFmtId="0" xfId="0" applyAlignment="1" applyBorder="1" applyFont="1">
      <alignment horizontal="center"/>
    </xf>
    <xf quotePrefix="1" borderId="1" fillId="11" fontId="4" numFmtId="49" xfId="0" applyAlignment="1" applyBorder="1" applyFont="1" applyNumberFormat="1">
      <alignment vertical="bottom"/>
    </xf>
    <xf borderId="0" fillId="0" fontId="10" numFmtId="0" xfId="0" applyAlignment="1" applyFont="1">
      <alignment horizontal="center"/>
    </xf>
    <xf borderId="0" fillId="0" fontId="10" numFmtId="0" xfId="0" applyAlignment="1" applyFont="1">
      <alignment horizontal="center" readingOrder="0"/>
    </xf>
    <xf borderId="1" fillId="11" fontId="27" numFmtId="0" xfId="0" applyAlignment="1" applyBorder="1" applyFont="1">
      <alignment vertical="bottom"/>
    </xf>
    <xf borderId="1" fillId="11" fontId="8" numFmtId="49" xfId="0" applyAlignment="1" applyBorder="1" applyFont="1" applyNumberFormat="1">
      <alignment shrinkToFit="0" vertical="bottom" wrapText="1"/>
    </xf>
    <xf borderId="1" fillId="11" fontId="4" numFmtId="0" xfId="0" applyAlignment="1" applyBorder="1" applyFont="1">
      <alignment shrinkToFit="0" vertical="bottom" wrapText="1"/>
    </xf>
    <xf borderId="1" fillId="11" fontId="4" numFmtId="49" xfId="0" applyAlignment="1" applyBorder="1" applyFont="1" applyNumberFormat="1">
      <alignment vertical="bottom"/>
    </xf>
    <xf borderId="1" fillId="11" fontId="28" numFmtId="49" xfId="0" applyAlignment="1" applyBorder="1" applyFont="1" applyNumberFormat="1">
      <alignment vertical="bottom"/>
    </xf>
    <xf borderId="1" fillId="11" fontId="29" numFmtId="0" xfId="0" applyAlignment="1" applyBorder="1" applyFont="1">
      <alignment vertical="bottom"/>
    </xf>
    <xf borderId="1" fillId="11" fontId="30" numFmtId="49" xfId="0" applyAlignment="1" applyBorder="1" applyFont="1" applyNumberFormat="1">
      <alignment shrinkToFit="0" vertical="bottom" wrapText="1"/>
    </xf>
    <xf quotePrefix="1" borderId="1" fillId="0" fontId="4" numFmtId="49" xfId="0" applyAlignment="1" applyBorder="1" applyFont="1" applyNumberFormat="1">
      <alignment vertical="bottom"/>
    </xf>
    <xf borderId="1" fillId="11" fontId="31" numFmtId="0" xfId="0" applyAlignment="1" applyBorder="1" applyFont="1">
      <alignment shrinkToFit="0" vertical="bottom" wrapText="1"/>
    </xf>
    <xf borderId="1" fillId="11" fontId="32" numFmtId="0" xfId="0" applyAlignment="1" applyBorder="1" applyFont="1">
      <alignment shrinkToFit="0" vertical="bottom" wrapText="1"/>
    </xf>
    <xf borderId="1" fillId="0" fontId="4" numFmtId="0" xfId="0" applyAlignment="1" applyBorder="1" applyFont="1">
      <alignment horizontal="right" vertical="bottom"/>
    </xf>
    <xf borderId="1" fillId="0" fontId="4" numFmtId="49" xfId="0" applyAlignment="1" applyBorder="1" applyFont="1" applyNumberFormat="1">
      <alignment horizontal="right" vertical="bottom"/>
    </xf>
    <xf borderId="1" fillId="11" fontId="4" numFmtId="49" xfId="0" applyAlignment="1" applyBorder="1" applyFont="1" applyNumberFormat="1">
      <alignment shrinkToFit="0" vertical="bottom" wrapText="1"/>
    </xf>
    <xf borderId="1" fillId="11" fontId="33" numFmtId="49" xfId="0" applyAlignment="1" applyBorder="1" applyFont="1" applyNumberFormat="1">
      <alignment shrinkToFit="0" vertical="bottom" wrapText="1"/>
    </xf>
    <xf borderId="1" fillId="0" fontId="34" numFmtId="49" xfId="0" applyAlignment="1" applyBorder="1" applyFont="1" applyNumberFormat="1">
      <alignment shrinkToFit="0" vertical="bottom" wrapText="1"/>
    </xf>
    <xf borderId="0" fillId="0" fontId="4" numFmtId="0" xfId="0" applyAlignment="1" applyFont="1">
      <alignment vertical="bottom"/>
    </xf>
    <xf borderId="0" fillId="0" fontId="4" numFmtId="49" xfId="0" applyAlignment="1" applyFont="1" applyNumberFormat="1">
      <alignment vertical="bottom"/>
    </xf>
    <xf borderId="0" fillId="11" fontId="4" numFmtId="0" xfId="0" applyAlignment="1" applyFont="1">
      <alignment vertical="bottom"/>
    </xf>
    <xf borderId="0" fillId="0" fontId="4" numFmtId="0" xfId="0" applyAlignment="1" applyFont="1">
      <alignment horizontal="center" vertical="bottom"/>
    </xf>
    <xf borderId="0" fillId="0" fontId="4" numFmtId="0" xfId="0" applyAlignment="1" applyFont="1">
      <alignment vertical="bottom"/>
    </xf>
    <xf borderId="0" fillId="27" fontId="35" numFmtId="0" xfId="0" applyAlignment="1" applyFill="1" applyFont="1">
      <alignment readingOrder="0" shrinkToFit="0" vertical="top" wrapText="1"/>
    </xf>
    <xf borderId="0" fillId="27" fontId="1" numFmtId="0" xfId="0" applyAlignment="1" applyFont="1">
      <alignment vertical="top"/>
    </xf>
    <xf borderId="0" fillId="27" fontId="35" numFmtId="0" xfId="0" applyAlignment="1" applyFont="1">
      <alignment shrinkToFit="0" vertical="top" wrapText="0"/>
    </xf>
    <xf borderId="0" fillId="27" fontId="35" numFmtId="0" xfId="0" applyAlignment="1" applyFont="1">
      <alignment shrinkToFit="0" vertical="top" wrapText="1"/>
    </xf>
    <xf borderId="0" fillId="0" fontId="36" numFmtId="0" xfId="0" applyAlignment="1" applyFont="1">
      <alignment readingOrder="0" shrinkToFit="0" vertical="top" wrapText="1"/>
    </xf>
    <xf borderId="0" fillId="0" fontId="4" numFmtId="0" xfId="0" applyAlignment="1" applyFont="1">
      <alignment shrinkToFit="0" vertical="top" wrapText="1"/>
    </xf>
    <xf borderId="0" fillId="0" fontId="37" numFmtId="0" xfId="0" applyAlignment="1" applyFont="1">
      <alignment readingOrder="0" vertical="top"/>
    </xf>
    <xf borderId="0" fillId="0" fontId="37" numFmtId="0" xfId="0" applyAlignment="1" applyFont="1">
      <alignment readingOrder="0" shrinkToFit="0" vertical="top" wrapText="1"/>
    </xf>
    <xf borderId="0" fillId="0" fontId="37" numFmtId="0" xfId="0" applyAlignment="1" applyFont="1">
      <alignment readingOrder="0" shrinkToFit="0" vertical="top" wrapText="1"/>
    </xf>
    <xf borderId="0" fillId="27" fontId="35" numFmtId="0" xfId="0" applyAlignment="1" applyFont="1">
      <alignment readingOrder="0" shrinkToFit="0" vertical="top" wrapText="0"/>
    </xf>
    <xf borderId="0" fillId="27" fontId="1" numFmtId="0" xfId="0" applyAlignment="1" applyFont="1">
      <alignment shrinkToFit="0" vertical="top" wrapText="1"/>
    </xf>
    <xf borderId="0" fillId="27" fontId="4" numFmtId="0" xfId="0" applyAlignment="1" applyFont="1">
      <alignment vertical="top"/>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0" fillId="0" fontId="37" numFmtId="0" xfId="0" applyAlignment="1" applyFont="1">
      <alignment readingOrder="0" shrinkToFit="0" vertical="top" wrapText="1"/>
    </xf>
    <xf borderId="0" fillId="18" fontId="38" numFmtId="0" xfId="0" applyFont="1"/>
    <xf borderId="4" fillId="2" fontId="37" numFmtId="0" xfId="0" applyBorder="1" applyFont="1"/>
    <xf borderId="5" fillId="0" fontId="37" numFmtId="0" xfId="0" applyAlignment="1" applyBorder="1" applyFont="1">
      <alignment readingOrder="0" shrinkToFit="0" vertical="center" wrapText="1"/>
    </xf>
    <xf borderId="6" fillId="0" fontId="39" numFmtId="0" xfId="0" applyBorder="1" applyFont="1"/>
    <xf borderId="7" fillId="0" fontId="39" numFmtId="0" xfId="0" applyBorder="1" applyFont="1"/>
    <xf borderId="0" fillId="11" fontId="40" numFmtId="0" xfId="0" applyAlignment="1" applyFont="1">
      <alignment readingOrder="0"/>
    </xf>
    <xf borderId="4" fillId="14" fontId="37" numFmtId="0" xfId="0" applyBorder="1" applyFont="1"/>
    <xf borderId="4" fillId="13" fontId="37" numFmtId="0" xfId="0" applyBorder="1" applyFont="1"/>
    <xf borderId="4" fillId="28" fontId="37" numFmtId="0" xfId="0" applyBorder="1" applyFill="1" applyFont="1"/>
    <xf borderId="5" fillId="0" fontId="37" numFmtId="0" xfId="0" applyAlignment="1" applyBorder="1" applyFont="1">
      <alignment readingOrder="0" vertical="center"/>
    </xf>
    <xf borderId="0" fillId="18" fontId="4" numFmtId="0" xfId="0" applyAlignment="1" applyFont="1">
      <alignment readingOrder="0" vertical="bottom"/>
    </xf>
    <xf borderId="1" fillId="0" fontId="2" numFmtId="0" xfId="0" applyAlignment="1" applyBorder="1" applyFont="1">
      <alignment horizontal="center" shrinkToFit="0" wrapText="1"/>
    </xf>
    <xf borderId="1" fillId="0" fontId="3" numFmtId="0" xfId="0" applyAlignment="1" applyBorder="1" applyFont="1">
      <alignment shrinkToFit="0" wrapText="1"/>
    </xf>
    <xf borderId="1" fillId="19" fontId="4" numFmtId="0" xfId="0" applyAlignment="1" applyBorder="1" applyFont="1">
      <alignment readingOrder="0" shrinkToFit="0" vertical="bottom" wrapText="1"/>
    </xf>
    <xf borderId="1" fillId="19" fontId="4" numFmtId="0" xfId="0" applyAlignment="1" applyBorder="1" applyFont="1">
      <alignment shrinkToFit="0" wrapText="0"/>
    </xf>
    <xf borderId="1" fillId="19" fontId="4" numFmtId="2" xfId="0" applyAlignment="1" applyBorder="1" applyFont="1" applyNumberFormat="1">
      <alignment shrinkToFit="0" wrapText="0"/>
    </xf>
    <xf borderId="1" fillId="21" fontId="4" numFmtId="0" xfId="0" applyAlignment="1" applyBorder="1" applyFont="1">
      <alignment shrinkToFit="0" wrapText="0"/>
    </xf>
    <xf borderId="1" fillId="21" fontId="4" numFmtId="0" xfId="0" applyAlignment="1" applyBorder="1" applyFont="1">
      <alignment readingOrder="0" vertical="bottom"/>
    </xf>
    <xf borderId="1" fillId="29" fontId="4" numFmtId="0" xfId="0" applyAlignment="1" applyBorder="1" applyFill="1" applyFont="1">
      <alignment readingOrder="0" shrinkToFit="0" vertical="bottom" wrapText="0"/>
    </xf>
    <xf borderId="0" fillId="29" fontId="4" numFmtId="0" xfId="0" applyAlignment="1" applyFont="1">
      <alignment readingOrder="0" shrinkToFit="0" vertical="bottom" wrapText="0"/>
    </xf>
    <xf borderId="1" fillId="18" fontId="4" numFmtId="0" xfId="0" applyAlignment="1" applyBorder="1" applyFont="1">
      <alignment shrinkToFit="0" vertical="bottom" wrapText="1"/>
    </xf>
    <xf borderId="1" fillId="22" fontId="4" numFmtId="0" xfId="0" applyAlignment="1" applyBorder="1" applyFont="1">
      <alignment shrinkToFit="0" wrapText="1"/>
    </xf>
    <xf borderId="1" fillId="18" fontId="4" numFmtId="0" xfId="0" applyAlignment="1" applyBorder="1" applyFont="1">
      <alignment vertical="bottom"/>
    </xf>
    <xf borderId="0" fillId="0" fontId="18" numFmtId="0" xfId="0" applyAlignment="1" applyFont="1">
      <alignment readingOrder="0" shrinkToFit="0" wrapText="0"/>
    </xf>
    <xf borderId="0" fillId="0" fontId="18" numFmtId="0" xfId="0" applyAlignment="1" applyFont="1">
      <alignment readingOrder="0" shrinkToFit="0" vertical="bottom" wrapText="0"/>
    </xf>
    <xf borderId="1" fillId="0" fontId="4" numFmtId="0" xfId="0" applyAlignment="1" applyBorder="1" applyFont="1">
      <alignment shrinkToFit="0" wrapText="1"/>
    </xf>
    <xf borderId="1" fillId="23" fontId="4" numFmtId="0" xfId="0" applyAlignment="1" applyBorder="1" applyFont="1">
      <alignment shrinkToFit="0" wrapText="1"/>
    </xf>
    <xf borderId="1" fillId="0" fontId="4" numFmtId="0" xfId="0" applyAlignment="1" applyBorder="1" applyFont="1">
      <alignment horizontal="center" shrinkToFit="0" wrapText="1"/>
    </xf>
    <xf borderId="1" fillId="0" fontId="8" numFmtId="0" xfId="0" applyBorder="1" applyFont="1"/>
    <xf borderId="0" fillId="0" fontId="8" numFmtId="0" xfId="0" applyFont="1"/>
    <xf borderId="0" fillId="18" fontId="37" numFmtId="0" xfId="0" applyAlignment="1" applyFont="1">
      <alignment readingOrder="0" shrinkToFit="0" wrapText="0"/>
    </xf>
    <xf borderId="1" fillId="19" fontId="37" numFmtId="0" xfId="0" applyAlignment="1" applyBorder="1" applyFont="1">
      <alignment shrinkToFit="0" wrapText="0"/>
    </xf>
    <xf borderId="8" fillId="0" fontId="7" numFmtId="0" xfId="0" applyAlignment="1" applyBorder="1" applyFont="1">
      <alignment readingOrder="0"/>
    </xf>
    <xf borderId="1" fillId="18" fontId="10" numFmtId="0" xfId="0" applyAlignment="1" applyBorder="1" applyFont="1">
      <alignment readingOrder="0"/>
    </xf>
    <xf borderId="1" fillId="18" fontId="10" numFmtId="0" xfId="0" applyAlignment="1" applyBorder="1" applyFont="1">
      <alignment horizontal="left" readingOrder="0" shrinkToFit="0" wrapText="1"/>
    </xf>
    <xf borderId="1" fillId="0" fontId="10" numFmtId="0" xfId="0" applyAlignment="1" applyBorder="1" applyFont="1">
      <alignment readingOrder="0"/>
    </xf>
    <xf borderId="1" fillId="18" fontId="10" numFmtId="0" xfId="0" applyAlignment="1" applyBorder="1" applyFont="1">
      <alignment readingOrder="0" shrinkToFit="0" wrapText="1"/>
    </xf>
    <xf borderId="1" fillId="21" fontId="37" numFmtId="0" xfId="0" applyAlignment="1" applyBorder="1" applyFont="1">
      <alignment readingOrder="0" shrinkToFit="0" wrapText="0"/>
    </xf>
    <xf borderId="1" fillId="29" fontId="37" numFmtId="0" xfId="0" applyAlignment="1" applyBorder="1" applyFont="1">
      <alignment shrinkToFit="0" wrapText="0"/>
    </xf>
    <xf borderId="1" fillId="18" fontId="37" numFmtId="0" xfId="0" applyAlignment="1" applyBorder="1" applyFont="1">
      <alignment shrinkToFit="0" wrapText="1"/>
    </xf>
    <xf borderId="2" fillId="22" fontId="10" numFmtId="0" xfId="0" applyAlignment="1" applyBorder="1" applyFont="1">
      <alignment readingOrder="0" shrinkToFit="0" wrapText="1"/>
    </xf>
    <xf borderId="2" fillId="22" fontId="10" numFmtId="0" xfId="0" applyAlignment="1" applyBorder="1" applyFont="1">
      <alignment readingOrder="0"/>
    </xf>
    <xf borderId="1" fillId="10" fontId="18" numFmtId="0" xfId="0" applyAlignment="1" applyBorder="1" applyFont="1">
      <alignment readingOrder="0" vertical="bottom"/>
    </xf>
    <xf borderId="2" fillId="10" fontId="18" numFmtId="0" xfId="0" applyAlignment="1" applyBorder="1" applyFont="1">
      <alignment readingOrder="0" vertical="bottom"/>
    </xf>
    <xf borderId="1" fillId="0" fontId="4" numFmtId="0" xfId="0" applyAlignment="1" applyBorder="1" applyFont="1">
      <alignment readingOrder="0" shrinkToFit="0" vertical="bottom" wrapText="1"/>
    </xf>
    <xf borderId="3" fillId="0" fontId="10" numFmtId="0" xfId="0" applyAlignment="1" applyBorder="1" applyFont="1">
      <alignment readingOrder="0" shrinkToFit="0" wrapText="1"/>
    </xf>
    <xf borderId="2" fillId="22" fontId="18" numFmtId="0" xfId="0" applyAlignment="1" applyBorder="1" applyFont="1">
      <alignment readingOrder="0" shrinkToFit="0" wrapText="1"/>
    </xf>
    <xf borderId="3" fillId="23" fontId="18" numFmtId="0" xfId="0" applyAlignment="1" applyBorder="1" applyFont="1">
      <alignment readingOrder="0" shrinkToFit="0" wrapText="1"/>
    </xf>
    <xf borderId="1" fillId="0" fontId="18" numFmtId="0" xfId="0" applyAlignment="1" applyBorder="1" applyFont="1">
      <alignment readingOrder="0"/>
    </xf>
    <xf borderId="1" fillId="0" fontId="18" numFmtId="0" xfId="0" applyAlignment="1" applyBorder="1" applyFont="1">
      <alignment shrinkToFit="0" wrapText="1"/>
    </xf>
    <xf borderId="1" fillId="0" fontId="18" numFmtId="0" xfId="0" applyBorder="1" applyFont="1"/>
    <xf borderId="1" fillId="0" fontId="18" numFmtId="0" xfId="0" applyAlignment="1" applyBorder="1" applyFont="1">
      <alignment horizontal="center"/>
    </xf>
    <xf borderId="1" fillId="22" fontId="8" numFmtId="0" xfId="0" applyBorder="1" applyFont="1"/>
    <xf borderId="1" fillId="23" fontId="8" numFmtId="0" xfId="0" applyBorder="1" applyFont="1"/>
    <xf borderId="0" fillId="18" fontId="37" numFmtId="0" xfId="0" applyFont="1"/>
  </cellXfs>
  <cellStyles count="1">
    <cellStyle xfId="0" name="Normal" builtinId="0"/>
  </cellStyles>
  <dxfs count="5">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rgb="FFFFC000"/>
          <bgColor rgb="FFFFC000"/>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wp-content/uploads/2021/12/Tradicie-Kysuc-main1.jpg" TargetMode="External"/><Relationship Id="rId194" Type="http://schemas.openxmlformats.org/officeDocument/2006/relationships/hyperlink" Target="https://katalogsp.sk/wp-content/uploads/2022/01/ekatalog_podnikanie-so-srdcomRSP.jpg" TargetMode="External"/><Relationship Id="rId193" Type="http://schemas.openxmlformats.org/officeDocument/2006/relationships/hyperlink" Target="https://katalogsp.sk/abalstav-spol-s-r-o/" TargetMode="External"/><Relationship Id="rId192" Type="http://schemas.openxmlformats.org/officeDocument/2006/relationships/hyperlink" Target="https://katalogsp.sk/wp-content/uploads/2022/01/ekatalog_podnikanie-so-srdcomRSP.jpg" TargetMode="External"/><Relationship Id="rId191" Type="http://schemas.openxmlformats.org/officeDocument/2006/relationships/hyperlink" Target="https://katalogsp.sk/tradicie-kysuc-s-r-o/" TargetMode="External"/><Relationship Id="rId187" Type="http://schemas.openxmlformats.org/officeDocument/2006/relationships/hyperlink" Target="https://katalogsp.sk/craft-production-s-r-o/" TargetMode="External"/><Relationship Id="rId186" Type="http://schemas.openxmlformats.org/officeDocument/2006/relationships/hyperlink" Target="https://katalogsp.sk/wp-content/uploads/2021/12/kamenne-kvetinace-1.jpg" TargetMode="External"/><Relationship Id="rId185" Type="http://schemas.openxmlformats.org/officeDocument/2006/relationships/hyperlink" Target="https://katalogsp.sk/budimirske-sluzby-s-r-o-registrovany-socialny-podnik/" TargetMode="External"/><Relationship Id="rId184" Type="http://schemas.openxmlformats.org/officeDocument/2006/relationships/hyperlink" Target="https://katalogsp.sk/wp-content/uploads/2022/01/ekatalog_podnikanie-so-srdcomRSP.jpg" TargetMode="External"/><Relationship Id="rId189" Type="http://schemas.openxmlformats.org/officeDocument/2006/relationships/hyperlink" Target="https://katalogsp.sk/chdmi-s-r-o/" TargetMode="External"/><Relationship Id="rId188" Type="http://schemas.openxmlformats.org/officeDocument/2006/relationships/hyperlink" Target="https://katalogsp.sk/wp-content/uploads/2022/01/ekatalog_podnikanie-so-srdcomRSP.jpg" TargetMode="External"/><Relationship Id="rId183" Type="http://schemas.openxmlformats.org/officeDocument/2006/relationships/hyperlink" Target="https://katalogsp.sk/izones-s-r-o/" TargetMode="External"/><Relationship Id="rId182" Type="http://schemas.openxmlformats.org/officeDocument/2006/relationships/hyperlink" Target="https://katalogsp.sk/wp-content/uploads/2022/01/ekatalog_podnikanie-so-srdcomRSP.jpg" TargetMode="External"/><Relationship Id="rId181" Type="http://schemas.openxmlformats.org/officeDocument/2006/relationships/hyperlink" Target="https://katalogsp.sk/patricius-sk-s-r-o/" TargetMode="External"/><Relationship Id="rId180" Type="http://schemas.openxmlformats.org/officeDocument/2006/relationships/hyperlink" Target="https://katalogsp.sk/wp-content/uploads/2021/12/Patricius-main1.jpg" TargetMode="External"/><Relationship Id="rId176" Type="http://schemas.openxmlformats.org/officeDocument/2006/relationships/hyperlink" Target="https://katalogsp.sk/wp-content/uploads/2022/01/ekatalog_podnikanie-so-srdcomRSP.jpg" TargetMode="External"/><Relationship Id="rId297" Type="http://schemas.openxmlformats.org/officeDocument/2006/relationships/hyperlink" Target="https://katalogsp.sk/zzpobo-s-r-o/" TargetMode="External"/><Relationship Id="rId175" Type="http://schemas.openxmlformats.org/officeDocument/2006/relationships/hyperlink" Target="https://katalogsp.sk/doza-vyrobne-druzstvo/" TargetMode="External"/><Relationship Id="rId296" Type="http://schemas.openxmlformats.org/officeDocument/2006/relationships/hyperlink" Target="https://katalogsp.sk/wp-content/uploads/2021/12/ZZPOBO-Praca-pri-pasovom-dopravniku3.jpg" TargetMode="External"/><Relationship Id="rId174" Type="http://schemas.openxmlformats.org/officeDocument/2006/relationships/hyperlink" Target="https://katalogsp.sk/wp-content/uploads/2022/01/ekatalog_podnikanie-so-srdcomRSP.jpg" TargetMode="External"/><Relationship Id="rId295" Type="http://schemas.openxmlformats.org/officeDocument/2006/relationships/hyperlink" Target="https://katalogsp.sk/pekaren-u-boriakov-s-r-o/" TargetMode="External"/><Relationship Id="rId173" Type="http://schemas.openxmlformats.org/officeDocument/2006/relationships/hyperlink" Target="https://katalogsp.sk/pekna-zahrada-spol-s-r-o/" TargetMode="External"/><Relationship Id="rId294" Type="http://schemas.openxmlformats.org/officeDocument/2006/relationships/hyperlink" Target="https://katalogsp.sk/wp-content/uploads/2022/01/ekatalog_podnikanie-so-srdcomRSP.jpg" TargetMode="External"/><Relationship Id="rId179" Type="http://schemas.openxmlformats.org/officeDocument/2006/relationships/hyperlink" Target="https://katalogsp.sk/obecny-podnik-pribis-s-r-o/" TargetMode="External"/><Relationship Id="rId178" Type="http://schemas.openxmlformats.org/officeDocument/2006/relationships/hyperlink" Target="https://katalogsp.sk/wp-content/uploads/2021/12/Obecny-podnik-Pribis-banner1-E-katalog-RSP.jpg" TargetMode="External"/><Relationship Id="rId299" Type="http://schemas.openxmlformats.org/officeDocument/2006/relationships/hyperlink" Target="https://katalogsp.sk/bogo-bus-s-r-o/" TargetMode="External"/><Relationship Id="rId177" Type="http://schemas.openxmlformats.org/officeDocument/2006/relationships/hyperlink" Target="https://katalogsp.sk/jubasa-s-r-o/" TargetMode="External"/><Relationship Id="rId298" Type="http://schemas.openxmlformats.org/officeDocument/2006/relationships/hyperlink" Target="https://katalogsp.sk/wp-content/uploads/2021/12/BoGoBus-main1.jpg" TargetMode="External"/><Relationship Id="rId198" Type="http://schemas.openxmlformats.org/officeDocument/2006/relationships/hyperlink" Target="https://katalogsp.sk/wp-content/uploads/2022/01/ekatalog_podnikanie-so-srdcomRSP.jpg" TargetMode="External"/><Relationship Id="rId197" Type="http://schemas.openxmlformats.org/officeDocument/2006/relationships/hyperlink" Target="https://katalogsp.sk/rozkvitnes-s-r-o/" TargetMode="External"/><Relationship Id="rId196" Type="http://schemas.openxmlformats.org/officeDocument/2006/relationships/hyperlink" Target="https://katalogsp.sk/wp-content/uploads/2021/12/Rozkvitnes-5.jpg" TargetMode="External"/><Relationship Id="rId195" Type="http://schemas.openxmlformats.org/officeDocument/2006/relationships/hyperlink" Target="https://katalogsp.sk/obecne-sluzby-domanovce-s-r-o-r-s-p/" TargetMode="External"/><Relationship Id="rId199" Type="http://schemas.openxmlformats.org/officeDocument/2006/relationships/hyperlink" Target="https://katalogsp.sk/cernan-s-r-o/" TargetMode="External"/><Relationship Id="rId150" Type="http://schemas.openxmlformats.org/officeDocument/2006/relationships/hyperlink" Target="https://katalogsp.sk/wp-content/uploads/2022/01/ekatalog_podnikanie-so-srdcomRSP.jpg" TargetMode="External"/><Relationship Id="rId271" Type="http://schemas.openxmlformats.org/officeDocument/2006/relationships/hyperlink" Target="https://katalogsp.sk/gastrodom-spis-s-r-o/" TargetMode="External"/><Relationship Id="rId392" Type="http://schemas.openxmlformats.org/officeDocument/2006/relationships/hyperlink" Target="https://katalogsp.sk/wp-content/uploads/2022/01/ekatalog_podnikanie-so-srdcomRSP.jpg" TargetMode="External"/><Relationship Id="rId270" Type="http://schemas.openxmlformats.org/officeDocument/2006/relationships/hyperlink" Target="https://katalogsp.sk/wp-content/uploads/2021/12/Gastrodom-3.jpg" TargetMode="External"/><Relationship Id="rId391" Type="http://schemas.openxmlformats.org/officeDocument/2006/relationships/hyperlink" Target="https://katalogsp.sk/obecne-sluzby-kunerad-s-r-o/" TargetMode="External"/><Relationship Id="rId390" Type="http://schemas.openxmlformats.org/officeDocument/2006/relationships/hyperlink" Target="https://katalogsp.sk/wp-content/uploads/2021/12/Obecne-sluzby-Kunerad-2.jpg" TargetMode="External"/><Relationship Id="rId1" Type="http://schemas.openxmlformats.org/officeDocument/2006/relationships/hyperlink" Target="https://katalogsp.sk/pomahaj-a-chran-obcianske-zdruzenie/" TargetMode="External"/><Relationship Id="rId2" Type="http://schemas.openxmlformats.org/officeDocument/2006/relationships/hyperlink" Target="https://katalogsp.sk/wp-content/uploads/2022/06/KRASPLAST-3-KatalogSP.jpg" TargetMode="External"/><Relationship Id="rId3" Type="http://schemas.openxmlformats.org/officeDocument/2006/relationships/hyperlink" Target="https://katalogsp.sk/krasplast-spol-s-r-o/" TargetMode="External"/><Relationship Id="rId149" Type="http://schemas.openxmlformats.org/officeDocument/2006/relationships/hyperlink" Target="https://katalogsp.sk/obecny-socialny-podnik-kendy-s-r-o-r-s-p/" TargetMode="External"/><Relationship Id="rId4" Type="http://schemas.openxmlformats.org/officeDocument/2006/relationships/hyperlink" Target="https://katalogsp.sk/wp-content/uploads/2022/01/ekatalog_podnikanie-so-srdcomRSP.jpg" TargetMode="External"/><Relationship Id="rId148" Type="http://schemas.openxmlformats.org/officeDocument/2006/relationships/hyperlink" Target="https://katalogsp.sk/wp-content/uploads/2022/01/ekatalog_podnikanie-so-srdcomRSP.jpg" TargetMode="External"/><Relationship Id="rId269" Type="http://schemas.openxmlformats.org/officeDocument/2006/relationships/hyperlink" Target="https://katalogsp.sk/mydlaren-tamara/" TargetMode="External"/><Relationship Id="rId9" Type="http://schemas.openxmlformats.org/officeDocument/2006/relationships/hyperlink" Target="https://katalogsp.sk/lesnica-tradicia-pienin-s-r-o-r-s-p/" TargetMode="External"/><Relationship Id="rId143" Type="http://schemas.openxmlformats.org/officeDocument/2006/relationships/hyperlink" Target="https://katalogsp.sk/cshop-sk-s-r-o-r-s-p/" TargetMode="External"/><Relationship Id="rId264" Type="http://schemas.openxmlformats.org/officeDocument/2006/relationships/hyperlink" Target="https://katalogsp.sk/wp-content/uploads/2022/01/ekatalog_podnikanie-so-srdcomRSP.jpg" TargetMode="External"/><Relationship Id="rId385" Type="http://schemas.openxmlformats.org/officeDocument/2006/relationships/hyperlink" Target="https://katalogsp.sk/renop-spol-s-r-o/" TargetMode="External"/><Relationship Id="rId142" Type="http://schemas.openxmlformats.org/officeDocument/2006/relationships/hyperlink" Target="https://katalogsp.sk/wp-content/uploads/2022/01/ekatalog_podnikanie-so-srdcomRSP.jpg" TargetMode="External"/><Relationship Id="rId263" Type="http://schemas.openxmlformats.org/officeDocument/2006/relationships/hyperlink" Target="https://katalogsp.sk/octopus-sk-s-r-o/" TargetMode="External"/><Relationship Id="rId384" Type="http://schemas.openxmlformats.org/officeDocument/2006/relationships/hyperlink" Target="https://katalogsp.sk/wp-content/uploads/2021/12/RENOP-banner2.jpg" TargetMode="External"/><Relationship Id="rId141" Type="http://schemas.openxmlformats.org/officeDocument/2006/relationships/hyperlink" Target="https://katalogsp.sk/laboprofilak-rsp-s-r-o/" TargetMode="External"/><Relationship Id="rId262" Type="http://schemas.openxmlformats.org/officeDocument/2006/relationships/hyperlink" Target="https://katalogsp.sk/wp-content/uploads/2022/01/ekatalog_podnikanie-so-srdcomRSP.jpg" TargetMode="External"/><Relationship Id="rId383" Type="http://schemas.openxmlformats.org/officeDocument/2006/relationships/hyperlink" Target="https://katalogsp.sk/formickaren-sk-s-r-o/" TargetMode="External"/><Relationship Id="rId140" Type="http://schemas.openxmlformats.org/officeDocument/2006/relationships/hyperlink" Target="https://katalogsp.sk/wp-content/uploads/2021/12/Laboprofilak-banner2-E-katalog-RSP.jpg" TargetMode="External"/><Relationship Id="rId261" Type="http://schemas.openxmlformats.org/officeDocument/2006/relationships/hyperlink" Target="https://katalogsp.sk/sliacanske-obecne-sluzby-s-r-o/" TargetMode="External"/><Relationship Id="rId382" Type="http://schemas.openxmlformats.org/officeDocument/2006/relationships/hyperlink" Target="https://katalogsp.sk/wp-content/uploads/2021/12/Formickaren.sk-s.r.o.-banner1-E-katalog-RSP.jpg" TargetMode="External"/><Relationship Id="rId5" Type="http://schemas.openxmlformats.org/officeDocument/2006/relationships/hyperlink" Target="https://katalogsp.sk/cncteam-s-r-o/" TargetMode="External"/><Relationship Id="rId147" Type="http://schemas.openxmlformats.org/officeDocument/2006/relationships/hyperlink" Target="https://katalogsp.sk/js-engineering-s-r-o/" TargetMode="External"/><Relationship Id="rId268" Type="http://schemas.openxmlformats.org/officeDocument/2006/relationships/hyperlink" Target="https://katalogsp.sk/wp-content/uploads/2021/12/Mydlaren-TAMARA-2.jpg" TargetMode="External"/><Relationship Id="rId389" Type="http://schemas.openxmlformats.org/officeDocument/2006/relationships/hyperlink" Target="https://katalogsp.sk/technicke-sluzby-obce-novot-s-r-o/" TargetMode="External"/><Relationship Id="rId6" Type="http://schemas.openxmlformats.org/officeDocument/2006/relationships/hyperlink" Target="https://katalogsp.sk/wp-content/uploads/2021/12/LP-logo1-E-katalog-RSP.jpg" TargetMode="External"/><Relationship Id="rId146" Type="http://schemas.openxmlformats.org/officeDocument/2006/relationships/hyperlink" Target="https://katalogsp.sk/wp-content/uploads/2021/12/JS-ENGINEERING-banner1-E-katalog-RSP.jpg" TargetMode="External"/><Relationship Id="rId267" Type="http://schemas.openxmlformats.org/officeDocument/2006/relationships/hyperlink" Target="https://katalogsp.sk/oh-bacuch-s-r-o/" TargetMode="External"/><Relationship Id="rId388" Type="http://schemas.openxmlformats.org/officeDocument/2006/relationships/hyperlink" Target="https://katalogsp.sk/wp-content/uploads/2021/12/Technicke-sluzby-obce-Novot-banner1.jpg" TargetMode="External"/><Relationship Id="rId7" Type="http://schemas.openxmlformats.org/officeDocument/2006/relationships/hyperlink" Target="https://katalogsp.sk/law-political-science-agency-s-r-o-r-s-p-skratka-lp-s-r-o-r-s-p/" TargetMode="External"/><Relationship Id="rId145" Type="http://schemas.openxmlformats.org/officeDocument/2006/relationships/hyperlink" Target="https://katalogsp.sk/antal-shoes-s-r-o/" TargetMode="External"/><Relationship Id="rId266" Type="http://schemas.openxmlformats.org/officeDocument/2006/relationships/hyperlink" Target="https://katalogsp.sk/wp-content/uploads/2022/01/ekatalog_podnikanie-so-srdcomRSP.jpg" TargetMode="External"/><Relationship Id="rId387" Type="http://schemas.openxmlformats.org/officeDocument/2006/relationships/hyperlink" Target="https://katalogsp.sk/grania-rsp-s-r-o/" TargetMode="External"/><Relationship Id="rId8" Type="http://schemas.openxmlformats.org/officeDocument/2006/relationships/hyperlink" Target="https://katalogsp.sk/wp-content/uploads/2022/01/ekatalog_podnikanie-so-srdcomRSP.jpg" TargetMode="External"/><Relationship Id="rId144" Type="http://schemas.openxmlformats.org/officeDocument/2006/relationships/hyperlink" Target="https://katalogsp.sk/wp-content/uploads/2022/01/ekatalog_podnikanie-so-srdcomRSP.jpg" TargetMode="External"/><Relationship Id="rId265" Type="http://schemas.openxmlformats.org/officeDocument/2006/relationships/hyperlink" Target="https://katalogsp.sk/printmania-s-r-o/" TargetMode="External"/><Relationship Id="rId386" Type="http://schemas.openxmlformats.org/officeDocument/2006/relationships/hyperlink" Target="https://katalogsp.sk/wp-content/uploads/2022/01/ekatalog_podnikanie-so-srdcomRSP.jpg" TargetMode="External"/><Relationship Id="rId260" Type="http://schemas.openxmlformats.org/officeDocument/2006/relationships/hyperlink" Target="https://katalogsp.sk/wp-content/uploads/2021/12/Sliacanske-Obecne-Sluzby-2.jpg" TargetMode="External"/><Relationship Id="rId381" Type="http://schemas.openxmlformats.org/officeDocument/2006/relationships/hyperlink" Target="https://katalogsp.sk/sluzby-sucha-nad-parnou-s-r-o/" TargetMode="External"/><Relationship Id="rId380" Type="http://schemas.openxmlformats.org/officeDocument/2006/relationships/hyperlink" Target="https://katalogsp.sk/wp-content/uploads/2021/12/Sucha-nad-Parnou-banner1.jpg" TargetMode="External"/><Relationship Id="rId139" Type="http://schemas.openxmlformats.org/officeDocument/2006/relationships/hyperlink" Target="https://katalogsp.sk/sunrise-group-s-r-o/" TargetMode="External"/><Relationship Id="rId138" Type="http://schemas.openxmlformats.org/officeDocument/2006/relationships/hyperlink" Target="https://katalogsp.sk/wp-content/uploads/2022/01/ekatalog_podnikanie-so-srdcomRSP.jpg" TargetMode="External"/><Relationship Id="rId259" Type="http://schemas.openxmlformats.org/officeDocument/2006/relationships/hyperlink" Target="https://katalogsp.sk/murali-s-r-o/" TargetMode="External"/><Relationship Id="rId137" Type="http://schemas.openxmlformats.org/officeDocument/2006/relationships/hyperlink" Target="https://katalogsp.sk/pw-logistics-slovakia-s-r-o-r-s-p/" TargetMode="External"/><Relationship Id="rId258" Type="http://schemas.openxmlformats.org/officeDocument/2006/relationships/hyperlink" Target="https://katalogsp.sk/wp-content/uploads/2022/01/ekatalog_podnikanie-so-srdcomRSP.jpg" TargetMode="External"/><Relationship Id="rId379" Type="http://schemas.openxmlformats.org/officeDocument/2006/relationships/hyperlink" Target="https://katalogsp.sk/rozvoj-a-spolupraca-s-r-o/" TargetMode="External"/><Relationship Id="rId132" Type="http://schemas.openxmlformats.org/officeDocument/2006/relationships/hyperlink" Target="https://katalogsp.sk/wp-content/uploads/2021/12/SP-Zaskov-banner1-E-katalog-RSP.jpg" TargetMode="External"/><Relationship Id="rId253" Type="http://schemas.openxmlformats.org/officeDocument/2006/relationships/hyperlink" Target="https://katalogsp.sk/socialny-podnik-toporec-s-r-o/" TargetMode="External"/><Relationship Id="rId374" Type="http://schemas.openxmlformats.org/officeDocument/2006/relationships/hyperlink" Target="https://katalogsp.sk/wp-content/uploads/2021/12/Rimgal-spol.-s-r.o.-banner1.jpg" TargetMode="External"/><Relationship Id="rId495" Type="http://schemas.openxmlformats.org/officeDocument/2006/relationships/hyperlink" Target="https://katalogsp.sk/novo-health-s-r-o/" TargetMode="External"/><Relationship Id="rId131" Type="http://schemas.openxmlformats.org/officeDocument/2006/relationships/hyperlink" Target="https://katalogsp.sk/capica-s-r-o/" TargetMode="External"/><Relationship Id="rId252" Type="http://schemas.openxmlformats.org/officeDocument/2006/relationships/hyperlink" Target="https://katalogsp.sk/wp-content/uploads/2022/01/ekatalog_podnikanie-so-srdcomRSP.jpg" TargetMode="External"/><Relationship Id="rId373" Type="http://schemas.openxmlformats.org/officeDocument/2006/relationships/hyperlink" Target="https://katalogsp.sk/bisoa-society-s-r-o-r-s-p/" TargetMode="External"/><Relationship Id="rId494" Type="http://schemas.openxmlformats.org/officeDocument/2006/relationships/hyperlink" Target="https://katalogsp.sk/wp-content/uploads/2022/01/ekatalog_podnikanie-so-srdcomRSP.jpg" TargetMode="External"/><Relationship Id="rId130" Type="http://schemas.openxmlformats.org/officeDocument/2006/relationships/hyperlink" Target="https://katalogsp.sk/wp-content/uploads/2022/01/ekatalog_podnikanie-so-srdcomRSP.jpg" TargetMode="External"/><Relationship Id="rId251" Type="http://schemas.openxmlformats.org/officeDocument/2006/relationships/hyperlink" Target="https://katalogsp.sk/socialno-ekonomicky-podnik-zsk-s-r-o-r-s-p/" TargetMode="External"/><Relationship Id="rId372" Type="http://schemas.openxmlformats.org/officeDocument/2006/relationships/hyperlink" Target="https://katalogsp.sk/wp-content/uploads/2022/01/ekatalog_podnikanie-so-srdcomRSP.jpg" TargetMode="External"/><Relationship Id="rId493" Type="http://schemas.openxmlformats.org/officeDocument/2006/relationships/hyperlink" Target="https://katalogsp.sk/ramex-trade-s-r-o/" TargetMode="External"/><Relationship Id="rId250" Type="http://schemas.openxmlformats.org/officeDocument/2006/relationships/hyperlink" Target="https://katalogsp.sk/wp-content/uploads/2021/12/Socialno-ekonomicky-podnik-3.jpg" TargetMode="External"/><Relationship Id="rId371" Type="http://schemas.openxmlformats.org/officeDocument/2006/relationships/hyperlink" Target="https://katalogsp.sk/erwel-s-r-o/" TargetMode="External"/><Relationship Id="rId492" Type="http://schemas.openxmlformats.org/officeDocument/2006/relationships/hyperlink" Target="https://katalogsp.sk/wp-content/uploads/2022/01/ekatalog_podnikanie-so-srdcomRSP.jpg" TargetMode="External"/><Relationship Id="rId136" Type="http://schemas.openxmlformats.org/officeDocument/2006/relationships/hyperlink" Target="https://katalogsp.sk/wp-content/uploads/2021/12/PW-Logistics-logo1-E-katalog-RSP.jpg" TargetMode="External"/><Relationship Id="rId257" Type="http://schemas.openxmlformats.org/officeDocument/2006/relationships/hyperlink" Target="https://katalogsp.sk/jumbo-mojmirovce-spol-s-r-o/" TargetMode="External"/><Relationship Id="rId378" Type="http://schemas.openxmlformats.org/officeDocument/2006/relationships/hyperlink" Target="https://katalogsp.sk/wp-content/uploads/2021/12/Rozvoj-a-spolupraca-banner5.jpg" TargetMode="External"/><Relationship Id="rId499" Type="http://schemas.openxmlformats.org/officeDocument/2006/relationships/hyperlink" Target="https://katalogsp.sk/inziniering-mh-s-r-o/" TargetMode="External"/><Relationship Id="rId135" Type="http://schemas.openxmlformats.org/officeDocument/2006/relationships/hyperlink" Target="https://katalogsp.sk/kozak-s-r-o/" TargetMode="External"/><Relationship Id="rId256" Type="http://schemas.openxmlformats.org/officeDocument/2006/relationships/hyperlink" Target="https://katalogsp.sk/wp-content/uploads/2021/12/Jumbo-Mojmirovce.jpg" TargetMode="External"/><Relationship Id="rId377" Type="http://schemas.openxmlformats.org/officeDocument/2006/relationships/hyperlink" Target="https://katalogsp.sk/vyskum-a-inovacie-s-r-o/" TargetMode="External"/><Relationship Id="rId498" Type="http://schemas.openxmlformats.org/officeDocument/2006/relationships/hyperlink" Target="https://katalogsp.sk/wp-content/uploads/2022/01/ekatalog_podnikanie-so-srdcomRSP.jpg" TargetMode="External"/><Relationship Id="rId134" Type="http://schemas.openxmlformats.org/officeDocument/2006/relationships/hyperlink" Target="https://katalogsp.sk/wp-content/uploads/2021/12/Kozak-banner3-E-katalog-RSP.jpg" TargetMode="External"/><Relationship Id="rId255" Type="http://schemas.openxmlformats.org/officeDocument/2006/relationships/hyperlink" Target="https://katalogsp.sk/conti-eco-s-r-o/" TargetMode="External"/><Relationship Id="rId376" Type="http://schemas.openxmlformats.org/officeDocument/2006/relationships/hyperlink" Target="https://katalogsp.sk/wp-content/uploads/2022/01/ekatalog_podnikanie-so-srdcomRSP.jpg" TargetMode="External"/><Relationship Id="rId497" Type="http://schemas.openxmlformats.org/officeDocument/2006/relationships/hyperlink" Target="https://katalogsp.sk/gergis-s-r-o/" TargetMode="External"/><Relationship Id="rId133" Type="http://schemas.openxmlformats.org/officeDocument/2006/relationships/hyperlink" Target="https://katalogsp.sk/socialny-podnik-zaskov-s-r-o/" TargetMode="External"/><Relationship Id="rId254" Type="http://schemas.openxmlformats.org/officeDocument/2006/relationships/hyperlink" Target="https://katalogsp.sk/wp-content/uploads/2021/12/Conti-eco1.jpg" TargetMode="External"/><Relationship Id="rId375" Type="http://schemas.openxmlformats.org/officeDocument/2006/relationships/hyperlink" Target="https://katalogsp.sk/rimgal-spol-s-r-o/" TargetMode="External"/><Relationship Id="rId496" Type="http://schemas.openxmlformats.org/officeDocument/2006/relationships/hyperlink" Target="https://katalogsp.sk/wp-content/uploads/2022/01/Gergis-RSP-5.jpg" TargetMode="External"/><Relationship Id="rId172" Type="http://schemas.openxmlformats.org/officeDocument/2006/relationships/hyperlink" Target="https://katalogsp.sk/wp-content/uploads/2021/12/Pekna-zahrada-banner1-E-katalog-RSP.jpg" TargetMode="External"/><Relationship Id="rId293" Type="http://schemas.openxmlformats.org/officeDocument/2006/relationships/hyperlink" Target="https://katalogsp.sk/alfageo-s-r-o/" TargetMode="External"/><Relationship Id="rId171" Type="http://schemas.openxmlformats.org/officeDocument/2006/relationships/hyperlink" Target="https://katalogsp.sk/minoritas-s-r-o/" TargetMode="External"/><Relationship Id="rId292" Type="http://schemas.openxmlformats.org/officeDocument/2006/relationships/hyperlink" Target="https://katalogsp.sk/wp-content/uploads/2022/01/ekatalog_podnikanie-so-srdcomRSP.jpg" TargetMode="External"/><Relationship Id="rId170" Type="http://schemas.openxmlformats.org/officeDocument/2006/relationships/hyperlink" Target="http://test.socialnaekonomika.sk/wp-content/uploads/2022/07/logo-minoritas_karta.png" TargetMode="External"/><Relationship Id="rId291" Type="http://schemas.openxmlformats.org/officeDocument/2006/relationships/hyperlink" Target="https://katalogsp.sk/verejnoprospesne-sluzby-stara-lubovna-s-r-o/" TargetMode="External"/><Relationship Id="rId290" Type="http://schemas.openxmlformats.org/officeDocument/2006/relationships/hyperlink" Target="https://katalogsp.sk/wp-content/uploads/2021/12/VPP-Stara-Lubovna-2.jpg" TargetMode="External"/><Relationship Id="rId165" Type="http://schemas.openxmlformats.org/officeDocument/2006/relationships/hyperlink" Target="https://katalogsp.sk/obecny-podnik-jedlova-s-r-o/" TargetMode="External"/><Relationship Id="rId286" Type="http://schemas.openxmlformats.org/officeDocument/2006/relationships/hyperlink" Target="https://katalogsp.sk/wp-content/uploads/2022/01/ekatalog_podnikanie-so-srdcomRSP.jpg" TargetMode="External"/><Relationship Id="rId164" Type="http://schemas.openxmlformats.org/officeDocument/2006/relationships/hyperlink" Target="https://katalogsp.sk/wp-content/uploads/2022/01/ekatalog_podnikanie-so-srdcomRSP.jpg" TargetMode="External"/><Relationship Id="rId285" Type="http://schemas.openxmlformats.org/officeDocument/2006/relationships/hyperlink" Target="https://katalogsp.sk/tehlan-s-r-o/" TargetMode="External"/><Relationship Id="rId163" Type="http://schemas.openxmlformats.org/officeDocument/2006/relationships/hyperlink" Target="https://katalogsp.sk/peter-vernicek/" TargetMode="External"/><Relationship Id="rId284" Type="http://schemas.openxmlformats.org/officeDocument/2006/relationships/hyperlink" Target="https://katalogsp.sk/wp-content/uploads/2021/12/Tehlan-main1.jpg" TargetMode="External"/><Relationship Id="rId162" Type="http://schemas.openxmlformats.org/officeDocument/2006/relationships/hyperlink" Target="https://katalogsp.sk/wp-content/uploads/2022/01/ekatalog_podnikanie-so-srdcomRSP.jpg" TargetMode="External"/><Relationship Id="rId283" Type="http://schemas.openxmlformats.org/officeDocument/2006/relationships/hyperlink" Target="https://katalogsp.sk/integracia-s-r-o/" TargetMode="External"/><Relationship Id="rId169" Type="http://schemas.openxmlformats.org/officeDocument/2006/relationships/hyperlink" Target="https://katalogsp.sk/nestor-sluzby-s-r-o/" TargetMode="External"/><Relationship Id="rId168" Type="http://schemas.openxmlformats.org/officeDocument/2006/relationships/hyperlink" Target="https://katalogsp.sk/wp-content/uploads/2022/01/ekatalog_podnikanie-so-srdcomRSP.jpg" TargetMode="External"/><Relationship Id="rId289" Type="http://schemas.openxmlformats.org/officeDocument/2006/relationships/hyperlink" Target="https://katalogsp.sk/rejdovka-s-r-o/" TargetMode="External"/><Relationship Id="rId167" Type="http://schemas.openxmlformats.org/officeDocument/2006/relationships/hyperlink" Target="https://katalogsp.sk/s-j-group-s-r-o/" TargetMode="External"/><Relationship Id="rId288" Type="http://schemas.openxmlformats.org/officeDocument/2006/relationships/hyperlink" Target="https://katalogsp.sk/wp-content/uploads/2021/12/Rejdovka-main1.jpg" TargetMode="External"/><Relationship Id="rId166" Type="http://schemas.openxmlformats.org/officeDocument/2006/relationships/hyperlink" Target="https://katalogsp.sk/wp-content/uploads/2021/12/SaJ-Group-4.jpg" TargetMode="External"/><Relationship Id="rId287" Type="http://schemas.openxmlformats.org/officeDocument/2006/relationships/hyperlink" Target="https://katalogsp.sk/batovske-sluzby-s-r-o/" TargetMode="External"/><Relationship Id="rId161" Type="http://schemas.openxmlformats.org/officeDocument/2006/relationships/hyperlink" Target="https://katalogsp.sk/mayo-tech-s-r-o/" TargetMode="External"/><Relationship Id="rId282" Type="http://schemas.openxmlformats.org/officeDocument/2006/relationships/hyperlink" Target="https://katalogsp.sk/wp-content/uploads/2022/01/ekatalog_podnikanie-so-srdcomRSP.jpg" TargetMode="External"/><Relationship Id="rId160" Type="http://schemas.openxmlformats.org/officeDocument/2006/relationships/hyperlink" Target="https://katalogsp.sk/wp-content/uploads/2021/12/Mayo-tech-logo1-E-katalog-RSP.jpg" TargetMode="External"/><Relationship Id="rId281" Type="http://schemas.openxmlformats.org/officeDocument/2006/relationships/hyperlink" Target="https://katalogsp.sk/stavebny-socialny-podnik-s-r-o/" TargetMode="External"/><Relationship Id="rId280" Type="http://schemas.openxmlformats.org/officeDocument/2006/relationships/hyperlink" Target="https://katalogsp.sk/wp-content/uploads/2021/12/Stavebny-socialny.podnik-main1.jpg" TargetMode="External"/><Relationship Id="rId159" Type="http://schemas.openxmlformats.org/officeDocument/2006/relationships/hyperlink" Target="https://katalogsp.sk/obecne-sluzby-kocurany-s-r-o/" TargetMode="External"/><Relationship Id="rId154" Type="http://schemas.openxmlformats.org/officeDocument/2006/relationships/hyperlink" Target="https://katalogsp.sk/wp-content/uploads/2021/12/Joyell-3.jpg" TargetMode="External"/><Relationship Id="rId275" Type="http://schemas.openxmlformats.org/officeDocument/2006/relationships/hyperlink" Target="https://katalogsp.sk/solide-slovakia-s-r-o/" TargetMode="External"/><Relationship Id="rId396" Type="http://schemas.openxmlformats.org/officeDocument/2006/relationships/hyperlink" Target="https://katalogsp.sk/wp-content/uploads/2021/12/Bageteria-Bazer-main1.jpg" TargetMode="External"/><Relationship Id="rId153" Type="http://schemas.openxmlformats.org/officeDocument/2006/relationships/hyperlink" Target="https://katalogsp.sk/eustach-s-r-o/" TargetMode="External"/><Relationship Id="rId274" Type="http://schemas.openxmlformats.org/officeDocument/2006/relationships/hyperlink" Target="https://katalogsp.sk/wp-content/uploads/2021/12/Solide-6-mensie.jpg" TargetMode="External"/><Relationship Id="rId395" Type="http://schemas.openxmlformats.org/officeDocument/2006/relationships/hyperlink" Target="https://katalogsp.sk/socialny-podnik-obce-slovinky-s-r-o/" TargetMode="External"/><Relationship Id="rId152" Type="http://schemas.openxmlformats.org/officeDocument/2006/relationships/hyperlink" Target="https://katalogsp.sk/wp-content/uploads/2022/01/ekatalog_podnikanie-so-srdcomRSP.jpg" TargetMode="External"/><Relationship Id="rId273" Type="http://schemas.openxmlformats.org/officeDocument/2006/relationships/hyperlink" Target="https://katalogsp.sk/valinek-s-r-o-registrovany-socialny-podnik/" TargetMode="External"/><Relationship Id="rId394" Type="http://schemas.openxmlformats.org/officeDocument/2006/relationships/hyperlink" Target="https://katalogsp.sk/wp-content/uploads/2021/12/Socialny-podnik-obce-Slovinky-logo2.jpg" TargetMode="External"/><Relationship Id="rId151" Type="http://schemas.openxmlformats.org/officeDocument/2006/relationships/hyperlink" Target="https://katalogsp.sk/selcianske-s-r-o/" TargetMode="External"/><Relationship Id="rId272" Type="http://schemas.openxmlformats.org/officeDocument/2006/relationships/hyperlink" Target="https://katalogsp.sk/wp-content/uploads/2021/12/Valinek-RSP-main1.jpg" TargetMode="External"/><Relationship Id="rId393" Type="http://schemas.openxmlformats.org/officeDocument/2006/relationships/hyperlink" Target="https://katalogsp.sk/ateka-s-r-o/" TargetMode="External"/><Relationship Id="rId158" Type="http://schemas.openxmlformats.org/officeDocument/2006/relationships/hyperlink" Target="https://katalogsp.sk/wp-content/uploads/2022/01/ekatalog_podnikanie-so-srdcomRSP.jpg" TargetMode="External"/><Relationship Id="rId279" Type="http://schemas.openxmlformats.org/officeDocument/2006/relationships/hyperlink" Target="https://katalogsp.sk/fajnoty-s-r-o-r-s-p/" TargetMode="External"/><Relationship Id="rId157" Type="http://schemas.openxmlformats.org/officeDocument/2006/relationships/hyperlink" Target="https://katalogsp.sk/bellus-labor-o-z/" TargetMode="External"/><Relationship Id="rId278" Type="http://schemas.openxmlformats.org/officeDocument/2006/relationships/hyperlink" Target="https://katalogsp.sk/wp-content/uploads/2022/01/ekatalog_podnikanie-so-srdcomRSP.jpg" TargetMode="External"/><Relationship Id="rId399" Type="http://schemas.openxmlformats.org/officeDocument/2006/relationships/hyperlink" Target="https://katalogsp.sk/bj-energy-s-r-o/" TargetMode="External"/><Relationship Id="rId156" Type="http://schemas.openxmlformats.org/officeDocument/2006/relationships/hyperlink" Target="https://katalogsp.sk/wp-content/uploads/2021/12/Bellus-Labor-logo1-E-katalog-RSP.jpg" TargetMode="External"/><Relationship Id="rId277" Type="http://schemas.openxmlformats.org/officeDocument/2006/relationships/hyperlink" Target="https://katalogsp.sk/labore-n-o-registrovany-socialny-podnik/" TargetMode="External"/><Relationship Id="rId398" Type="http://schemas.openxmlformats.org/officeDocument/2006/relationships/hyperlink" Target="https://katalogsp.sk/wp-content/uploads/2022/01/ekatalog_podnikanie-so-srdcomRSP.jpg" TargetMode="External"/><Relationship Id="rId155" Type="http://schemas.openxmlformats.org/officeDocument/2006/relationships/hyperlink" Target="https://katalogsp.sk/joyell-s-r-o/" TargetMode="External"/><Relationship Id="rId276" Type="http://schemas.openxmlformats.org/officeDocument/2006/relationships/hyperlink" Target="https://katalogsp.sk/wp-content/uploads/2021/12/Labore-2.jpg" TargetMode="External"/><Relationship Id="rId397" Type="http://schemas.openxmlformats.org/officeDocument/2006/relationships/hyperlink" Target="https://katalogsp.sk/bageteria-bayer-s-r-o/" TargetMode="External"/><Relationship Id="rId40" Type="http://schemas.openxmlformats.org/officeDocument/2006/relationships/hyperlink" Target="https://katalogsp.sk/wp-content/uploads/2021/12/Ziva-zahrada-banner31-E-katalog-RSP.jpg" TargetMode="External"/><Relationship Id="rId42" Type="http://schemas.openxmlformats.org/officeDocument/2006/relationships/hyperlink" Target="https://katalogsp.sk/wp-content/uploads/2021/12/KASprof-SECURITY-agency-banner4-E-katalog-RSP.jpg" TargetMode="External"/><Relationship Id="rId41" Type="http://schemas.openxmlformats.org/officeDocument/2006/relationships/hyperlink" Target="https://katalogsp.sk/ziva-zahrada-s-r-o/" TargetMode="External"/><Relationship Id="rId44" Type="http://schemas.openxmlformats.org/officeDocument/2006/relationships/hyperlink" Target="https://katalogsp.sk/wp-content/uploads/2021/12/Vo-vile-banner11-E-katalog-RSP.jpg" TargetMode="External"/><Relationship Id="rId43" Type="http://schemas.openxmlformats.org/officeDocument/2006/relationships/hyperlink" Target="https://katalogsp.sk/kasprof-security-agency-s-r-o-r-s-p/" TargetMode="External"/><Relationship Id="rId46" Type="http://schemas.openxmlformats.org/officeDocument/2006/relationships/hyperlink" Target="https://katalogsp.sk/wp-content/uploads/2021/12/SCHD_rsp_21-doklady-schd.jpg" TargetMode="External"/><Relationship Id="rId45" Type="http://schemas.openxmlformats.org/officeDocument/2006/relationships/hyperlink" Target="https://katalogsp.sk/vo-vile-s-r-o/" TargetMode="External"/><Relationship Id="rId509" Type="http://schemas.openxmlformats.org/officeDocument/2006/relationships/hyperlink" Target="https://katalogsp.sk/slunce-s-r-o/" TargetMode="External"/><Relationship Id="rId508" Type="http://schemas.openxmlformats.org/officeDocument/2006/relationships/hyperlink" Target="https://katalogsp.sk/wp-content/uploads/2022/01/RSP-Slunce-4.jpg" TargetMode="External"/><Relationship Id="rId629" Type="http://schemas.openxmlformats.org/officeDocument/2006/relationships/hyperlink" Target="https://katalogsp.sk/wp-content/uploads/2022/01/ekatalog_podnikanie-so-srdcomRSP.jpg" TargetMode="External"/><Relationship Id="rId503" Type="http://schemas.openxmlformats.org/officeDocument/2006/relationships/hyperlink" Target="https://katalogsp.sk/gemgal-s-r-o-roznava-r-s-p/" TargetMode="External"/><Relationship Id="rId624" Type="http://schemas.openxmlformats.org/officeDocument/2006/relationships/hyperlink" Target="https://katalogsp.sk/annex-martin-s-r-o/" TargetMode="External"/><Relationship Id="rId502" Type="http://schemas.openxmlformats.org/officeDocument/2006/relationships/hyperlink" Target="https://katalogsp.sk/wp-content/uploads/2022/01/ekatalog_podnikanie-so-srdcomRSP.jpg" TargetMode="External"/><Relationship Id="rId623" Type="http://schemas.openxmlformats.org/officeDocument/2006/relationships/hyperlink" Target="https://katalogsp.sk/wp-content/uploads/2022/01/ANNEX-Martin-naradie.jpg" TargetMode="External"/><Relationship Id="rId501" Type="http://schemas.openxmlformats.org/officeDocument/2006/relationships/hyperlink" Target="https://katalogsp.sk/sp-jelenec-s-r-o/" TargetMode="External"/><Relationship Id="rId622" Type="http://schemas.openxmlformats.org/officeDocument/2006/relationships/hyperlink" Target="https://katalogsp.sk/korchi-plus-s-r-o/" TargetMode="External"/><Relationship Id="rId500" Type="http://schemas.openxmlformats.org/officeDocument/2006/relationships/hyperlink" Target="https://katalogsp.sk/wp-content/uploads/2022/01/RSP-Jelenec_4.jpg" TargetMode="External"/><Relationship Id="rId621" Type="http://schemas.openxmlformats.org/officeDocument/2006/relationships/hyperlink" Target="https://katalogsp.sk/wp-content/uploads/2022/01/Korchi-2.jpg" TargetMode="External"/><Relationship Id="rId507" Type="http://schemas.openxmlformats.org/officeDocument/2006/relationships/hyperlink" Target="https://katalogsp.sk/edukrea-s-r-o-registrovany-socialny-podnik/" TargetMode="External"/><Relationship Id="rId628" Type="http://schemas.openxmlformats.org/officeDocument/2006/relationships/hyperlink" Target="https://katalogsp.sk/finxza-s-r-o/" TargetMode="External"/><Relationship Id="rId506" Type="http://schemas.openxmlformats.org/officeDocument/2006/relationships/hyperlink" Target="https://katalogsp.sk/wp-content/uploads/2022/01/ekatalog_podnikanie-so-srdcomRSP.jpg" TargetMode="External"/><Relationship Id="rId627" Type="http://schemas.openxmlformats.org/officeDocument/2006/relationships/hyperlink" Target="https://katalogsp.sk/wp-content/uploads/2022/01/FINXZA-2.jpg" TargetMode="External"/><Relationship Id="rId505" Type="http://schemas.openxmlformats.org/officeDocument/2006/relationships/hyperlink" Target="https://katalogsp.sk/tk-horse-sport-s-r-o-r-s-p/" TargetMode="External"/><Relationship Id="rId626" Type="http://schemas.openxmlformats.org/officeDocument/2006/relationships/hyperlink" Target="https://katalogsp.sk/drienok-s-r-o/" TargetMode="External"/><Relationship Id="rId504" Type="http://schemas.openxmlformats.org/officeDocument/2006/relationships/hyperlink" Target="https://katalogsp.sk/wp-content/uploads/2022/01/ekatalog_podnikanie-so-srdcomRSP.jpg" TargetMode="External"/><Relationship Id="rId625" Type="http://schemas.openxmlformats.org/officeDocument/2006/relationships/hyperlink" Target="https://katalogsp.sk/wp-content/uploads/2022/01/Drienok-2.jpg" TargetMode="External"/><Relationship Id="rId48" Type="http://schemas.openxmlformats.org/officeDocument/2006/relationships/hyperlink" Target="https://katalogsp.sk/wp-content/uploads/2021/12/Mepos-logo-E-katalog-RSP-1.jpg" TargetMode="External"/><Relationship Id="rId47" Type="http://schemas.openxmlformats.org/officeDocument/2006/relationships/hyperlink" Target="https://katalogsp.sk/slovenska-chranena-dielna-s-r-o/" TargetMode="External"/><Relationship Id="rId49" Type="http://schemas.openxmlformats.org/officeDocument/2006/relationships/hyperlink" Target="https://katalogsp.sk/mepos-snv-s-r-o/" TargetMode="External"/><Relationship Id="rId620" Type="http://schemas.openxmlformats.org/officeDocument/2006/relationships/hyperlink" Target="https://katalogsp.sk/need-more-s-r-o/" TargetMode="External"/><Relationship Id="rId31" Type="http://schemas.openxmlformats.org/officeDocument/2006/relationships/hyperlink" Target="https://katalogsp.sk/liana-blahova/" TargetMode="External"/><Relationship Id="rId30" Type="http://schemas.openxmlformats.org/officeDocument/2006/relationships/hyperlink" Target="https://katalogsp.sk/wp-content/uploads/2022/01/ekatalog_podnikanie-so-srdcomRSP.jpg" TargetMode="External"/><Relationship Id="rId33" Type="http://schemas.openxmlformats.org/officeDocument/2006/relationships/hyperlink" Target="https://katalogsp.sk/vegaodevy-s-r-o/" TargetMode="External"/><Relationship Id="rId32" Type="http://schemas.openxmlformats.org/officeDocument/2006/relationships/hyperlink" Target="https://katalogsp.sk/wp-content/uploads/2021/12/Vegaodevy-banner21-E-katalog-RSP-1.jpg" TargetMode="External"/><Relationship Id="rId35" Type="http://schemas.openxmlformats.org/officeDocument/2006/relationships/hyperlink" Target="https://katalogsp.sk/obcianske-zdruzenie-jasenska-dolina/" TargetMode="External"/><Relationship Id="rId34" Type="http://schemas.openxmlformats.org/officeDocument/2006/relationships/hyperlink" Target="https://katalogsp.sk/wp-content/uploads/2022/01/ekatalog_podnikanie-so-srdcomRSP.jpg" TargetMode="External"/><Relationship Id="rId619" Type="http://schemas.openxmlformats.org/officeDocument/2006/relationships/hyperlink" Target="https://katalogsp.sk/wp-content/uploads/2022/01/ekatalog_podnikanie-so-srdcomRSP.jpg" TargetMode="External"/><Relationship Id="rId618" Type="http://schemas.openxmlformats.org/officeDocument/2006/relationships/hyperlink" Target="https://katalogsp.sk/jaspire-s-r-o/" TargetMode="External"/><Relationship Id="rId613" Type="http://schemas.openxmlformats.org/officeDocument/2006/relationships/hyperlink" Target="https://katalogsp.sk/wp-content/uploads/2022/01/ekatalog_podnikanie-so-srdcomRSP.jpg" TargetMode="External"/><Relationship Id="rId612" Type="http://schemas.openxmlformats.org/officeDocument/2006/relationships/hyperlink" Target="https://katalogsp.sk/renitex-s-r-o/" TargetMode="External"/><Relationship Id="rId611" Type="http://schemas.openxmlformats.org/officeDocument/2006/relationships/hyperlink" Target="https://katalogsp.sk/wp-content/uploads/2022/01/ekatalog_podnikanie-so-srdcomRSP.jpg" TargetMode="External"/><Relationship Id="rId610" Type="http://schemas.openxmlformats.org/officeDocument/2006/relationships/hyperlink" Target="https://katalogsp.sk/losstav-s-r-o/" TargetMode="External"/><Relationship Id="rId617" Type="http://schemas.openxmlformats.org/officeDocument/2006/relationships/hyperlink" Target="https://katalogsp.sk/wp-content/uploads/2022/06/Jaspire_link-v-AwT.jpg" TargetMode="External"/><Relationship Id="rId616" Type="http://schemas.openxmlformats.org/officeDocument/2006/relationships/hyperlink" Target="https://katalogsp.sk/pvc-obaly-s-r-o/" TargetMode="External"/><Relationship Id="rId615" Type="http://schemas.openxmlformats.org/officeDocument/2006/relationships/hyperlink" Target="https://katalogsp.sk/wp-content/uploads/2022/01/ekatalog_podnikanie-so-srdcomRSP.jpg" TargetMode="External"/><Relationship Id="rId614" Type="http://schemas.openxmlformats.org/officeDocument/2006/relationships/hyperlink" Target="https://katalogsp.sk/assr-s-r-o-r-s-p/" TargetMode="External"/><Relationship Id="rId37" Type="http://schemas.openxmlformats.org/officeDocument/2006/relationships/hyperlink" Target="https://katalogsp.sk/sluzby-kalna-s-r-o-r-s-p/" TargetMode="External"/><Relationship Id="rId36" Type="http://schemas.openxmlformats.org/officeDocument/2006/relationships/hyperlink" Target="https://katalogsp.sk/wp-content/uploads/2021/12/Sluzby-Kalna-main1.jpg" TargetMode="External"/><Relationship Id="rId39" Type="http://schemas.openxmlformats.org/officeDocument/2006/relationships/hyperlink" Target="https://katalogsp.sk/zbor-stav-s-r-o/" TargetMode="External"/><Relationship Id="rId38" Type="http://schemas.openxmlformats.org/officeDocument/2006/relationships/hyperlink" Target="https://katalogsp.sk/wp-content/uploads/2022/01/ekatalog_podnikanie-so-srdcomRSP.jpg" TargetMode="External"/><Relationship Id="rId20" Type="http://schemas.openxmlformats.org/officeDocument/2006/relationships/hyperlink" Target="https://katalogsp.sk/wp-content/uploads/2022/01/ekatalog_podnikanie-so-srdcomRSP.jpg" TargetMode="External"/><Relationship Id="rId22" Type="http://schemas.openxmlformats.org/officeDocument/2006/relationships/hyperlink" Target="https://katalogsp.sk/wp-content/uploads/2021/12/AfB-Slovakia-banner2-E-katalog-RSP.jpg" TargetMode="External"/><Relationship Id="rId21" Type="http://schemas.openxmlformats.org/officeDocument/2006/relationships/hyperlink" Target="https://katalogsp.sk/knk-nako-vyrobne-druzstvo/" TargetMode="External"/><Relationship Id="rId24" Type="http://schemas.openxmlformats.org/officeDocument/2006/relationships/hyperlink" Target="https://katalogsp.sk/wp-content/uploads/2021/12/Bivio-logo1-E-katalog-RSP.jpg" TargetMode="External"/><Relationship Id="rId23" Type="http://schemas.openxmlformats.org/officeDocument/2006/relationships/hyperlink" Target="https://katalogsp.sk/afb-slovakia-s-r-o/" TargetMode="External"/><Relationship Id="rId409" Type="http://schemas.openxmlformats.org/officeDocument/2006/relationships/hyperlink" Target="https://katalogsp.sk/apz-liptovsky-hradok-n-o/" TargetMode="External"/><Relationship Id="rId404" Type="http://schemas.openxmlformats.org/officeDocument/2006/relationships/hyperlink" Target="https://katalogsp.sk/wp-content/uploads/2022/01/ekatalog_podnikanie-so-srdcomRSP.jpg" TargetMode="External"/><Relationship Id="rId525" Type="http://schemas.openxmlformats.org/officeDocument/2006/relationships/hyperlink" Target="https://katalogsp.sk/hrhovske-sluzby-s-r-o-r-s-p/" TargetMode="External"/><Relationship Id="rId646" Type="http://schemas.openxmlformats.org/officeDocument/2006/relationships/hyperlink" Target="https://katalogsp.sk/centrala-s-r-o/" TargetMode="External"/><Relationship Id="rId403" Type="http://schemas.openxmlformats.org/officeDocument/2006/relationships/hyperlink" Target="https://katalogsp.sk/sondor-s-r-o/" TargetMode="External"/><Relationship Id="rId524" Type="http://schemas.openxmlformats.org/officeDocument/2006/relationships/hyperlink" Target="https://katalogsp.sk/wp-content/uploads/2022/01/ekatalog_podnikanie-so-srdcomRSP.jpg" TargetMode="External"/><Relationship Id="rId645" Type="http://schemas.openxmlformats.org/officeDocument/2006/relationships/hyperlink" Target="https://katalogsp.sk/wp-content/uploads/2022/01/ekatalog_podnikanie-so-srdcomRSP.jpg" TargetMode="External"/><Relationship Id="rId402" Type="http://schemas.openxmlformats.org/officeDocument/2006/relationships/hyperlink" Target="https://katalogsp.sk/wp-content/uploads/2021/12/Sondor-banner-3.jpg" TargetMode="External"/><Relationship Id="rId523" Type="http://schemas.openxmlformats.org/officeDocument/2006/relationships/hyperlink" Target="https://katalogsp.sk/sewn-bag-s-r-o/" TargetMode="External"/><Relationship Id="rId644" Type="http://schemas.openxmlformats.org/officeDocument/2006/relationships/hyperlink" Target="https://katalogsp.sk/octan-plus-s-r-o/" TargetMode="External"/><Relationship Id="rId401" Type="http://schemas.openxmlformats.org/officeDocument/2006/relationships/hyperlink" Target="https://katalogsp.sk/obecny-podnik-ostry-grun-s-r-o/" TargetMode="External"/><Relationship Id="rId522" Type="http://schemas.openxmlformats.org/officeDocument/2006/relationships/hyperlink" Target="https://katalogsp.sk/wp-content/uploads/2022/01/dielna-3-sewn-bag.jpg" TargetMode="External"/><Relationship Id="rId643" Type="http://schemas.openxmlformats.org/officeDocument/2006/relationships/hyperlink" Target="https://katalogsp.sk/wp-content/uploads/2022/01/ekatalog_podnikanie-so-srdcomRSP.jpg" TargetMode="External"/><Relationship Id="rId408" Type="http://schemas.openxmlformats.org/officeDocument/2006/relationships/hyperlink" Target="https://katalogsp.sk/wp-content/uploads/2022/01/APZ-Liptovsky-HradokE-katalogRSP-banner2.jpg" TargetMode="External"/><Relationship Id="rId529" Type="http://schemas.openxmlformats.org/officeDocument/2006/relationships/hyperlink" Target="https://katalogsp.sk/wp-content/uploads/2022/01/Logo-RSP-Alfa-2.jpg" TargetMode="External"/><Relationship Id="rId407" Type="http://schemas.openxmlformats.org/officeDocument/2006/relationships/hyperlink" Target="https://katalogsp.sk/dekor-garden-socialne-druzstvo-r-s-p/" TargetMode="External"/><Relationship Id="rId528" Type="http://schemas.openxmlformats.org/officeDocument/2006/relationships/hyperlink" Target="https://katalogsp.sk/girmonn-s-r-o/" TargetMode="External"/><Relationship Id="rId649" Type="http://schemas.openxmlformats.org/officeDocument/2006/relationships/hyperlink" Target="https://katalogsp.sk/wp-content/uploads/2022/06/DvaKratDobre-RSP-1-KatalogSP.jpg" TargetMode="External"/><Relationship Id="rId406" Type="http://schemas.openxmlformats.org/officeDocument/2006/relationships/hyperlink" Target="https://katalogsp.sk/wp-content/uploads/2022/01/ekatalog_podnikanie-so-srdcomRSP.jpg" TargetMode="External"/><Relationship Id="rId527" Type="http://schemas.openxmlformats.org/officeDocument/2006/relationships/hyperlink" Target="https://katalogsp.sk/wp-content/uploads/2022/01/Girmonn2.jpg" TargetMode="External"/><Relationship Id="rId648" Type="http://schemas.openxmlformats.org/officeDocument/2006/relationships/hyperlink" Target="https://katalogsp.sk/autodiely-omega-s-r-o/" TargetMode="External"/><Relationship Id="rId405" Type="http://schemas.openxmlformats.org/officeDocument/2006/relationships/hyperlink" Target="https://katalogsp.sk/socialny-podnik-mesta-gelnica-s-r-o/" TargetMode="External"/><Relationship Id="rId526" Type="http://schemas.openxmlformats.org/officeDocument/2006/relationships/hyperlink" Target="https://katalogsp.sk/poh-s-r-o-registrovany-socialny-podnik/" TargetMode="External"/><Relationship Id="rId647" Type="http://schemas.openxmlformats.org/officeDocument/2006/relationships/hyperlink" Target="https://katalogsp.sk/wp-content/uploads/2022/01/ekatalog_podnikanie-so-srdcomRSP.jpg" TargetMode="External"/><Relationship Id="rId26" Type="http://schemas.openxmlformats.org/officeDocument/2006/relationships/hyperlink" Target="https://katalogsp.sk/wp-content/uploads/2022/01/ekatalog_podnikanie-so-srdcomRSP.jpg" TargetMode="External"/><Relationship Id="rId25" Type="http://schemas.openxmlformats.org/officeDocument/2006/relationships/hyperlink" Target="https://katalogsp.sk/zdruzenie-na-pomoc-ludom-s-mentalnym-postihnutim-v-slovenskej-republike/" TargetMode="External"/><Relationship Id="rId28" Type="http://schemas.openxmlformats.org/officeDocument/2006/relationships/hyperlink" Target="https://katalogsp.sk/wp-content/uploads/2022/01/ekatalog_podnikanie-so-srdcomRSP.jpg" TargetMode="External"/><Relationship Id="rId27" Type="http://schemas.openxmlformats.org/officeDocument/2006/relationships/hyperlink" Target="https://katalogsp.sk/centrum-pointe-n-o/" TargetMode="External"/><Relationship Id="rId400" Type="http://schemas.openxmlformats.org/officeDocument/2006/relationships/hyperlink" Target="https://katalogsp.sk/wp-content/uploads/2022/01/ekatalog_podnikanie-so-srdcomRSP.jpg" TargetMode="External"/><Relationship Id="rId521" Type="http://schemas.openxmlformats.org/officeDocument/2006/relationships/hyperlink" Target="https://katalogsp.sk/ekopom-s-r-o/" TargetMode="External"/><Relationship Id="rId642" Type="http://schemas.openxmlformats.org/officeDocument/2006/relationships/hyperlink" Target="https://katalogsp.sk/cibeka-s-r-o/" TargetMode="External"/><Relationship Id="rId29" Type="http://schemas.openxmlformats.org/officeDocument/2006/relationships/hyperlink" Target="https://katalogsp.sk/admix-s-r-o-r-s-p/" TargetMode="External"/><Relationship Id="rId520" Type="http://schemas.openxmlformats.org/officeDocument/2006/relationships/hyperlink" Target="https://katalogsp.sk/wp-content/uploads/2022/02/Ekopom-banner.jpg" TargetMode="External"/><Relationship Id="rId641" Type="http://schemas.openxmlformats.org/officeDocument/2006/relationships/hyperlink" Target="https://katalogsp.sk/wp-content/uploads/2022/01/ekatalog_podnikanie-so-srdcomRSP.jpg" TargetMode="External"/><Relationship Id="rId640" Type="http://schemas.openxmlformats.org/officeDocument/2006/relationships/hyperlink" Target="https://katalogsp.sk/dp-zvarmont-s-r-o-r-s-p/" TargetMode="External"/><Relationship Id="rId11" Type="http://schemas.openxmlformats.org/officeDocument/2006/relationships/hyperlink" Target="https://katalogsp.sk/svdm-s-r-o/" TargetMode="External"/><Relationship Id="rId10" Type="http://schemas.openxmlformats.org/officeDocument/2006/relationships/hyperlink" Target="https://katalogsp.sk/wp-content/uploads/2021/12/SVDM-banner61-E-katalog-RSP.jpg" TargetMode="External"/><Relationship Id="rId13" Type="http://schemas.openxmlformats.org/officeDocument/2006/relationships/hyperlink" Target="https://katalogsp.sk/obecne-sluzby-nova-bosaca-s-r-o/" TargetMode="External"/><Relationship Id="rId12" Type="http://schemas.openxmlformats.org/officeDocument/2006/relationships/hyperlink" Target="https://katalogsp.sk/wp-content/uploads/2022/01/ekatalog_podnikanie-so-srdcomRSP.jpg" TargetMode="External"/><Relationship Id="rId519" Type="http://schemas.openxmlformats.org/officeDocument/2006/relationships/hyperlink" Target="https://katalogsp.sk/ra-design-s-r-o/" TargetMode="External"/><Relationship Id="rId514" Type="http://schemas.openxmlformats.org/officeDocument/2006/relationships/hyperlink" Target="https://katalogsp.sk/wp-content/uploads/2022/01/VARTOTH_3.jpeg" TargetMode="External"/><Relationship Id="rId635" Type="http://schemas.openxmlformats.org/officeDocument/2006/relationships/hyperlink" Target="https://katalogsp.sk/wp-content/uploads/2022/06/KomPaS-banner-KatalogSP-3.jpg" TargetMode="External"/><Relationship Id="rId513" Type="http://schemas.openxmlformats.org/officeDocument/2006/relationships/hyperlink" Target="https://katalogsp.sk/kukurienka-r-s-p/" TargetMode="External"/><Relationship Id="rId634" Type="http://schemas.openxmlformats.org/officeDocument/2006/relationships/hyperlink" Target="https://katalogsp.sk/permal-s-r-o/" TargetMode="External"/><Relationship Id="rId512" Type="http://schemas.openxmlformats.org/officeDocument/2006/relationships/hyperlink" Target="https://katalogsp.sk/wp-content/uploads/2022/01/tkanie1-Kukurienka.jpg" TargetMode="External"/><Relationship Id="rId633" Type="http://schemas.openxmlformats.org/officeDocument/2006/relationships/hyperlink" Target="https://katalogsp.sk/wp-content/uploads/2022/06/Permal-banner2-KatalogSP.jpg" TargetMode="External"/><Relationship Id="rId511" Type="http://schemas.openxmlformats.org/officeDocument/2006/relationships/hyperlink" Target="https://katalogsp.sk/m-promex-s-r-o/" TargetMode="External"/><Relationship Id="rId632" Type="http://schemas.openxmlformats.org/officeDocument/2006/relationships/hyperlink" Target="https://katalogsp.sk/annex-martin-s-r-o/" TargetMode="External"/><Relationship Id="rId518" Type="http://schemas.openxmlformats.org/officeDocument/2006/relationships/hyperlink" Target="https://katalogsp.sk/wp-content/uploads/2022/01/ekatalog_podnikanie-so-srdcomRSP.jpg" TargetMode="External"/><Relationship Id="rId639" Type="http://schemas.openxmlformats.org/officeDocument/2006/relationships/hyperlink" Target="https://katalogsp.sk/wp-content/uploads/2022/06/DP-ZvarMont-foto2-KatalogSP.jpg" TargetMode="External"/><Relationship Id="rId517" Type="http://schemas.openxmlformats.org/officeDocument/2006/relationships/hyperlink" Target="https://katalogsp.sk/fandime-slovensku-obcianske-zdruzenie/" TargetMode="External"/><Relationship Id="rId638" Type="http://schemas.openxmlformats.org/officeDocument/2006/relationships/hyperlink" Target="https://katalogsp.sk/duo-work-s-r-o/" TargetMode="External"/><Relationship Id="rId516" Type="http://schemas.openxmlformats.org/officeDocument/2006/relationships/hyperlink" Target="https://katalogsp.sk/wp-content/uploads/2022/01/ekatalog_podnikanie-so-srdcomRSP.jpg" TargetMode="External"/><Relationship Id="rId637" Type="http://schemas.openxmlformats.org/officeDocument/2006/relationships/hyperlink" Target="https://katalogsp.sk/wp-content/uploads/2022/06/DUO-WORK-zahradnictvo-KatalogSP.jpg" TargetMode="External"/><Relationship Id="rId515" Type="http://schemas.openxmlformats.org/officeDocument/2006/relationships/hyperlink" Target="https://katalogsp.sk/vartoth-s-r-o/" TargetMode="External"/><Relationship Id="rId636" Type="http://schemas.openxmlformats.org/officeDocument/2006/relationships/hyperlink" Target="https://katalogsp.sk/kompas-s-r-o-r-s-p/" TargetMode="External"/><Relationship Id="rId15" Type="http://schemas.openxmlformats.org/officeDocument/2006/relationships/hyperlink" Target="https://katalogsp.sk/mh-asist-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minifarma-s-r-o/" TargetMode="External"/><Relationship Id="rId16" Type="http://schemas.openxmlformats.org/officeDocument/2006/relationships/hyperlink" Target="https://katalogsp.sk/wp-content/uploads/2021/12/MiniFARMA-banner11-E-katalog-RSP.jpg" TargetMode="External"/><Relationship Id="rId19" Type="http://schemas.openxmlformats.org/officeDocument/2006/relationships/hyperlink" Target="https://katalogsp.sk/obecne-sluzby-raslavice-s-r-o/" TargetMode="External"/><Relationship Id="rId510" Type="http://schemas.openxmlformats.org/officeDocument/2006/relationships/hyperlink" Target="https://katalogsp.sk/wp-content/uploads/2022/01/M_PROMEX_foto3.jpg" TargetMode="External"/><Relationship Id="rId631" Type="http://schemas.openxmlformats.org/officeDocument/2006/relationships/hyperlink" Target="https://katalogsp.sk/wp-content/uploads/2022/01/ekatalog_podnikanie-so-srdcomRSP.jpg" TargetMode="External"/><Relationship Id="rId18" Type="http://schemas.openxmlformats.org/officeDocument/2006/relationships/hyperlink" Target="https://katalogsp.sk/wp-content/uploads/2022/01/ekatalog_podnikanie-so-srdcomRSP.jpg" TargetMode="External"/><Relationship Id="rId630" Type="http://schemas.openxmlformats.org/officeDocument/2006/relationships/hyperlink" Target="https://katalogsp.sk/kondor-sp-s-r-o/" TargetMode="External"/><Relationship Id="rId84" Type="http://schemas.openxmlformats.org/officeDocument/2006/relationships/hyperlink" Target="https://katalogsp.sk/wp-content/uploads/2021/12/Cevas-main2.jpg" TargetMode="External"/><Relationship Id="rId83" Type="http://schemas.openxmlformats.org/officeDocument/2006/relationships/hyperlink" Target="https://katalogsp.sk/cacaofe-s-r-o/" TargetMode="External"/><Relationship Id="rId86" Type="http://schemas.openxmlformats.org/officeDocument/2006/relationships/hyperlink" Target="https://katalogsp.sk/wp-content/uploads/2021/12/Sluzby-obce-Poproc-logo1-E-katalog-RSP.jpg" TargetMode="External"/><Relationship Id="rId85" Type="http://schemas.openxmlformats.org/officeDocument/2006/relationships/hyperlink" Target="https://katalogsp.sk/cevas-s-r-o/" TargetMode="External"/><Relationship Id="rId88" Type="http://schemas.openxmlformats.org/officeDocument/2006/relationships/hyperlink" Target="https://katalogsp.sk/wp-content/uploads/2022/01/ekatalog_podnikanie-so-srdcomRSP.jpg" TargetMode="External"/><Relationship Id="rId87" Type="http://schemas.openxmlformats.org/officeDocument/2006/relationships/hyperlink" Target="https://katalogsp.sk/sluzby-obce-poproc-s-r-o-r-s-p/" TargetMode="External"/><Relationship Id="rId89" Type="http://schemas.openxmlformats.org/officeDocument/2006/relationships/hyperlink" Target="https://katalogsp.sk/abb-group-spol-s-r-o/" TargetMode="External"/><Relationship Id="rId80" Type="http://schemas.openxmlformats.org/officeDocument/2006/relationships/hyperlink" Target="https://katalogsp.sk/wp-content/uploads/2021/12/Slovenske-ludove-umenie-banner1-E-katalog-RSP.jpg" TargetMode="External"/><Relationship Id="rId82" Type="http://schemas.openxmlformats.org/officeDocument/2006/relationships/hyperlink" Target="https://katalogsp.sk/wp-content/uploads/2021/12/Cacaofe-banner21-E-katalog-RSP.jpg" TargetMode="External"/><Relationship Id="rId81" Type="http://schemas.openxmlformats.org/officeDocument/2006/relationships/hyperlink" Target="https://katalogsp.sk/slovenske-ludove-umenie-helena-fekiacova-s-r-o/" TargetMode="External"/><Relationship Id="rId73" Type="http://schemas.openxmlformats.org/officeDocument/2006/relationships/hyperlink" Target="https://katalogsp.sk/zipa-plus-s-r-o/" TargetMode="External"/><Relationship Id="rId72" Type="http://schemas.openxmlformats.org/officeDocument/2006/relationships/hyperlink" Target="https://katalogsp.sk/wp-content/uploads/2021/12/ZIPA-plus-banner1-E-katalog-RSP.jpg" TargetMode="External"/><Relationship Id="rId75" Type="http://schemas.openxmlformats.org/officeDocument/2006/relationships/hyperlink" Target="https://katalogsp.sk/wms-s-r-o/" TargetMode="External"/><Relationship Id="rId74" Type="http://schemas.openxmlformats.org/officeDocument/2006/relationships/hyperlink" Target="https://katalogsp.sk/wp-content/uploads/2022/01/ekatalog_podnikanie-so-srdcomRSP.jpg" TargetMode="External"/><Relationship Id="rId77" Type="http://schemas.openxmlformats.org/officeDocument/2006/relationships/hyperlink" Target="https://katalogsp.sk/sino-o-z-r-s-p/" TargetMode="External"/><Relationship Id="rId76" Type="http://schemas.openxmlformats.org/officeDocument/2006/relationships/hyperlink" Target="https://katalogsp.sk/wp-content/uploads/2022/01/ekatalog_podnikanie-so-srdcomRSP.jpg" TargetMode="External"/><Relationship Id="rId79" Type="http://schemas.openxmlformats.org/officeDocument/2006/relationships/hyperlink" Target="https://katalogsp.sk/faustulus-s-r-o-r-s-p/" TargetMode="External"/><Relationship Id="rId78" Type="http://schemas.openxmlformats.org/officeDocument/2006/relationships/hyperlink" Target="https://katalogsp.sk/wp-content/uploads/2022/01/ekatalog_podnikanie-so-srdcomRSP.jpg" TargetMode="External"/><Relationship Id="rId71" Type="http://schemas.openxmlformats.org/officeDocument/2006/relationships/hyperlink" Target="https://katalogsp.sk/naburalsom-s-r-o/" TargetMode="External"/><Relationship Id="rId70" Type="http://schemas.openxmlformats.org/officeDocument/2006/relationships/hyperlink" Target="https://katalogsp.sk/wp-content/uploads/2021/12/Nabural-com-logo1-E-katalog-RSP.jpg" TargetMode="External"/><Relationship Id="rId62" Type="http://schemas.openxmlformats.org/officeDocument/2006/relationships/hyperlink" Target="https://katalogsp.sk/wp-content/uploads/2022/01/ekatalog_podnikanie-so-srdcomRSP.jpg" TargetMode="External"/><Relationship Id="rId61" Type="http://schemas.openxmlformats.org/officeDocument/2006/relationships/hyperlink" Target="https://katalogsp.sk/mestsky-podnik-snina-s-r-o/" TargetMode="External"/><Relationship Id="rId64" Type="http://schemas.openxmlformats.org/officeDocument/2006/relationships/hyperlink" Target="https://katalogsp.sk/wp-content/uploads/2022/01/ekatalog_podnikanie-so-srdcomRSP.jpg" TargetMode="External"/><Relationship Id="rId63" Type="http://schemas.openxmlformats.org/officeDocument/2006/relationships/hyperlink" Target="https://katalogsp.sk/upcycle-s-r-o/" TargetMode="External"/><Relationship Id="rId66" Type="http://schemas.openxmlformats.org/officeDocument/2006/relationships/hyperlink" Target="https://katalogsp.sk/wp-content/uploads/2022/01/ekatalog_podnikanie-so-srdcomRSP.jpg" TargetMode="External"/><Relationship Id="rId65" Type="http://schemas.openxmlformats.org/officeDocument/2006/relationships/hyperlink" Target="https://katalogsp.sk/t-servis-teplicka-s-r-o/" TargetMode="External"/><Relationship Id="rId68" Type="http://schemas.openxmlformats.org/officeDocument/2006/relationships/hyperlink" Target="https://katalogsp.sk/wp-content/uploads/2021/12/HARIKOE-banner3-E-katalog-RSP.jpg" TargetMode="External"/><Relationship Id="rId67" Type="http://schemas.openxmlformats.org/officeDocument/2006/relationships/hyperlink" Target="https://katalogsp.sk/pavel-malec-s-r-o-registrovany-socialny-podnik/" TargetMode="External"/><Relationship Id="rId609" Type="http://schemas.openxmlformats.org/officeDocument/2006/relationships/hyperlink" Target="https://katalogsp.sk/wp-content/uploads/2022/01/ekatalog_podnikanie-so-srdcomRSP.jpg" TargetMode="External"/><Relationship Id="rId608" Type="http://schemas.openxmlformats.org/officeDocument/2006/relationships/hyperlink" Target="https://katalogsp.sk/paterson-group-s-r-o-r-s-p/" TargetMode="External"/><Relationship Id="rId607" Type="http://schemas.openxmlformats.org/officeDocument/2006/relationships/hyperlink" Target="https://katalogsp.sk/wp-content/uploads/2022/01/Paterson-logo2.jpg" TargetMode="External"/><Relationship Id="rId60" Type="http://schemas.openxmlformats.org/officeDocument/2006/relationships/hyperlink" Target="https://katalogsp.sk/wp-content/uploads/2022/01/ekatalog_podnikanie-so-srdcomRSP.jpg" TargetMode="External"/><Relationship Id="rId602" Type="http://schemas.openxmlformats.org/officeDocument/2006/relationships/hyperlink" Target="https://katalogsp.sk/socialny-podnik-mesta-senica-s-r-o/" TargetMode="External"/><Relationship Id="rId601" Type="http://schemas.openxmlformats.org/officeDocument/2006/relationships/hyperlink" Target="https://katalogsp.sk/wp-content/uploads/2022/01/ekatalog_podnikanie-so-srdcomRSP.jpg" TargetMode="External"/><Relationship Id="rId600" Type="http://schemas.openxmlformats.org/officeDocument/2006/relationships/hyperlink" Target="https://katalogsp.sk/kamo-plus-s-r-o/" TargetMode="External"/><Relationship Id="rId606" Type="http://schemas.openxmlformats.org/officeDocument/2006/relationships/hyperlink" Target="https://katalogsp.sk/socialny-podnik-lenka-s-r-o/" TargetMode="External"/><Relationship Id="rId605" Type="http://schemas.openxmlformats.org/officeDocument/2006/relationships/hyperlink" Target="https://katalogsp.sk/wp-content/uploads/2022/01/ekatalog_podnikanie-so-srdcomRSP.jpg" TargetMode="External"/><Relationship Id="rId604" Type="http://schemas.openxmlformats.org/officeDocument/2006/relationships/hyperlink" Target="https://katalogsp.sk/milaja-meat-r-s-p-s-r-o/" TargetMode="External"/><Relationship Id="rId603" Type="http://schemas.openxmlformats.org/officeDocument/2006/relationships/hyperlink" Target="https://katalogsp.sk/wp-content/uploads/2022/01/ekatalog_podnikanie-so-srdcomRSP.jpg" TargetMode="External"/><Relationship Id="rId69" Type="http://schemas.openxmlformats.org/officeDocument/2006/relationships/hyperlink" Target="https://katalogsp.sk/harikoe-s-r-o/" TargetMode="External"/><Relationship Id="rId51" Type="http://schemas.openxmlformats.org/officeDocument/2006/relationships/hyperlink" Target="https://katalogsp.sk/goel-media-s-r-o/" TargetMode="External"/><Relationship Id="rId50" Type="http://schemas.openxmlformats.org/officeDocument/2006/relationships/hyperlink" Target="https://katalogsp.sk/wp-content/uploads/2021/12/Goel-main1.jpg" TargetMode="External"/><Relationship Id="rId53" Type="http://schemas.openxmlformats.org/officeDocument/2006/relationships/hyperlink" Target="https://katalogsp.sk/majolika-r-s-r-o/" TargetMode="External"/><Relationship Id="rId52" Type="http://schemas.openxmlformats.org/officeDocument/2006/relationships/hyperlink" Target="https://katalogsp.sk/wp-content/uploads/2021/12/Majolika-R-banner4-E-katalog-RSP.jpg" TargetMode="External"/><Relationship Id="rId55" Type="http://schemas.openxmlformats.org/officeDocument/2006/relationships/hyperlink" Target="https://katalogsp.sk/unicol-s-r-o-r-s-p/" TargetMode="External"/><Relationship Id="rId54" Type="http://schemas.openxmlformats.org/officeDocument/2006/relationships/hyperlink" Target="https://katalogsp.sk/wp-content/uploads/2022/01/ekatalog_podnikanie-so-srdcomRSP.jpg" TargetMode="External"/><Relationship Id="rId57" Type="http://schemas.openxmlformats.org/officeDocument/2006/relationships/hyperlink" Target="https://katalogsp.sk/agro-drevinovy-ekosystem-bbsk-s-r-o-registrovany-socialny-podnik/" TargetMode="External"/><Relationship Id="rId56" Type="http://schemas.openxmlformats.org/officeDocument/2006/relationships/hyperlink" Target="https://katalogsp.sk/wp-content/uploads/2022/01/ekatalog_podnikanie-so-srdcomRSP.jpg" TargetMode="External"/><Relationship Id="rId59" Type="http://schemas.openxmlformats.org/officeDocument/2006/relationships/hyperlink" Target="https://katalogsp.sk/dreveno-koliesko-s-r-o/" TargetMode="External"/><Relationship Id="rId58" Type="http://schemas.openxmlformats.org/officeDocument/2006/relationships/hyperlink" Target="https://katalogsp.sk/wp-content/uploads/2021/12/Dreveno-Koliesko-2.jpg" TargetMode="External"/><Relationship Id="rId590" Type="http://schemas.openxmlformats.org/officeDocument/2006/relationships/hyperlink" Target="https://katalogsp.sk/sipstav-s-r-o/" TargetMode="External"/><Relationship Id="rId107" Type="http://schemas.openxmlformats.org/officeDocument/2006/relationships/hyperlink" Target="https://katalogsp.sk/imunitas-s-r-o/" TargetMode="External"/><Relationship Id="rId228" Type="http://schemas.openxmlformats.org/officeDocument/2006/relationships/hyperlink" Target="https://katalogsp.sk/wp-content/uploads/2021/12/Buzgo-main1.jpg" TargetMode="External"/><Relationship Id="rId349" Type="http://schemas.openxmlformats.org/officeDocument/2006/relationships/hyperlink" Target="https://katalogsp.sk/gader-s-r-o/" TargetMode="External"/><Relationship Id="rId106" Type="http://schemas.openxmlformats.org/officeDocument/2006/relationships/hyperlink" Target="https://katalogsp.sk/wp-content/uploads/2022/01/ekatalog_podnikanie-so-srdcomRSP.jpg" TargetMode="External"/><Relationship Id="rId227" Type="http://schemas.openxmlformats.org/officeDocument/2006/relationships/hyperlink" Target="https://katalogsp.sk/ludib-s-r-o/" TargetMode="External"/><Relationship Id="rId348" Type="http://schemas.openxmlformats.org/officeDocument/2006/relationships/hyperlink" Target="https://katalogsp.sk/wp-content/uploads/2021/12/Gader-s.r.o-banner-E-katalog-RSP.jpg" TargetMode="External"/><Relationship Id="rId469" Type="http://schemas.openxmlformats.org/officeDocument/2006/relationships/hyperlink" Target="https://katalogsp.sk/obuv-lean-s-r-o/" TargetMode="External"/><Relationship Id="rId105" Type="http://schemas.openxmlformats.org/officeDocument/2006/relationships/hyperlink" Target="https://katalogsp.sk/jd-cleaning-s-r-o/" TargetMode="External"/><Relationship Id="rId226" Type="http://schemas.openxmlformats.org/officeDocument/2006/relationships/hyperlink" Target="https://katalogsp.sk/wp-content/uploads/2022/01/ekatalog_podnikanie-so-srdcomRSP.jpg" TargetMode="External"/><Relationship Id="rId347" Type="http://schemas.openxmlformats.org/officeDocument/2006/relationships/hyperlink" Target="https://katalogsp.sk/hater-handlova-spol-s-r-o/" TargetMode="External"/><Relationship Id="rId468" Type="http://schemas.openxmlformats.org/officeDocument/2006/relationships/hyperlink" Target="https://katalogsp.sk/wp-content/uploads/2022/01/ekatalog_podnikanie-so-srdcomRSP.jpg" TargetMode="External"/><Relationship Id="rId589" Type="http://schemas.openxmlformats.org/officeDocument/2006/relationships/hyperlink" Target="https://katalogsp.sk/wp-content/uploads/2022/01/ekatalog_podnikanie-so-srdcomRSP.jpg" TargetMode="External"/><Relationship Id="rId104" Type="http://schemas.openxmlformats.org/officeDocument/2006/relationships/hyperlink" Target="https://katalogsp.sk/wp-content/uploads/2021/12/JD-Cleaning-banner4-E-katalog-RSP.jpg" TargetMode="External"/><Relationship Id="rId225" Type="http://schemas.openxmlformats.org/officeDocument/2006/relationships/hyperlink" Target="https://katalogsp.sk/wellnea-s-r-o-r-s-p/" TargetMode="External"/><Relationship Id="rId346" Type="http://schemas.openxmlformats.org/officeDocument/2006/relationships/hyperlink" Target="https://katalogsp.sk/wp-content/uploads/2022/01/ekatalog_podnikanie-so-srdcomRSP.jpg" TargetMode="External"/><Relationship Id="rId467" Type="http://schemas.openxmlformats.org/officeDocument/2006/relationships/hyperlink" Target="https://katalogsp.sk/lean-eu-s-r-o/" TargetMode="External"/><Relationship Id="rId588" Type="http://schemas.openxmlformats.org/officeDocument/2006/relationships/hyperlink" Target="https://katalogsp.sk/sluzby-medzilaborce-s-r-o/" TargetMode="External"/><Relationship Id="rId109" Type="http://schemas.openxmlformats.org/officeDocument/2006/relationships/hyperlink" Target="https://katalogsp.sk/jas-bardejov-s-r-o/" TargetMode="External"/><Relationship Id="rId108" Type="http://schemas.openxmlformats.org/officeDocument/2006/relationships/hyperlink" Target="https://katalogsp.sk/wp-content/uploads/2021/12/JAS-Bardejov-logo1-E-katalog-RSP.jpg" TargetMode="External"/><Relationship Id="rId229" Type="http://schemas.openxmlformats.org/officeDocument/2006/relationships/hyperlink" Target="https://katalogsp.sk/buzgo-registrovany-socialny-podnik-s-r-o-skratene-buzgo-r-s-p-s-r-o/" TargetMode="External"/><Relationship Id="rId220" Type="http://schemas.openxmlformats.org/officeDocument/2006/relationships/hyperlink" Target="https://katalogsp.sk/wp-content/uploads/2022/01/ekatalog_podnikanie-so-srdcomRSP.jpg" TargetMode="External"/><Relationship Id="rId341" Type="http://schemas.openxmlformats.org/officeDocument/2006/relationships/hyperlink" Target="https://katalogsp.sk/breco-s-r-o/" TargetMode="External"/><Relationship Id="rId462" Type="http://schemas.openxmlformats.org/officeDocument/2006/relationships/hyperlink" Target="https://katalogsp.sk/wp-content/uploads/2022/01/NYOS-banner1-E-katalogRSP.jpg" TargetMode="External"/><Relationship Id="rId583" Type="http://schemas.openxmlformats.org/officeDocument/2006/relationships/hyperlink" Target="https://katalogsp.sk/wp-content/uploads/2022/01/ekatalog_podnikanie-so-srdcomRSP.jpg" TargetMode="External"/><Relationship Id="rId340" Type="http://schemas.openxmlformats.org/officeDocument/2006/relationships/hyperlink" Target="https://katalogsp.sk/wp-content/uploads/2021/12/Breco-s.-r.-o.-banner-logo1.jpg" TargetMode="External"/><Relationship Id="rId461" Type="http://schemas.openxmlformats.org/officeDocument/2006/relationships/hyperlink" Target="https://katalogsp.sk/pedore-s-r-o/" TargetMode="External"/><Relationship Id="rId582" Type="http://schemas.openxmlformats.org/officeDocument/2006/relationships/hyperlink" Target="https://katalogsp.sk/hesperus-s-r-o/" TargetMode="External"/><Relationship Id="rId460" Type="http://schemas.openxmlformats.org/officeDocument/2006/relationships/hyperlink" Target="https://katalogsp.sk/wp-content/uploads/2022/01/ekatalog_podnikanie-so-srdcomRSP.jpg" TargetMode="External"/><Relationship Id="rId581" Type="http://schemas.openxmlformats.org/officeDocument/2006/relationships/hyperlink" Target="https://katalogsp.sk/wp-content/uploads/2022/01/ekatalog_podnikanie-so-srdcomRSP.jpg" TargetMode="External"/><Relationship Id="rId580" Type="http://schemas.openxmlformats.org/officeDocument/2006/relationships/hyperlink" Target="https://katalogsp.sk/palatinos-s-r-o/" TargetMode="External"/><Relationship Id="rId103" Type="http://schemas.openxmlformats.org/officeDocument/2006/relationships/hyperlink" Target="https://katalogsp.sk/baby-plavanie-s-r-o/" TargetMode="External"/><Relationship Id="rId224" Type="http://schemas.openxmlformats.org/officeDocument/2006/relationships/hyperlink" Target="https://katalogsp.sk/wp-content/uploads/2021/12/Wellnea-1.jpeg" TargetMode="External"/><Relationship Id="rId345" Type="http://schemas.openxmlformats.org/officeDocument/2006/relationships/hyperlink" Target="https://katalogsp.sk/jana-bezegova-roben-r-s-p/" TargetMode="External"/><Relationship Id="rId466" Type="http://schemas.openxmlformats.org/officeDocument/2006/relationships/hyperlink" Target="https://katalogsp.sk/wp-content/uploads/2022/01/ekatalog_podnikanie-so-srdcomRSP.jpg" TargetMode="External"/><Relationship Id="rId587" Type="http://schemas.openxmlformats.org/officeDocument/2006/relationships/hyperlink" Target="https://katalogsp.sk/wp-content/uploads/2022/01/Sluzby-Medzilaborce-banner1.jpg" TargetMode="External"/><Relationship Id="rId102" Type="http://schemas.openxmlformats.org/officeDocument/2006/relationships/hyperlink" Target="https://katalogsp.sk/wp-content/uploads/2022/01/ekatalog_podnikanie-so-srdcomRSP.jpg" TargetMode="External"/><Relationship Id="rId223" Type="http://schemas.openxmlformats.org/officeDocument/2006/relationships/hyperlink" Target="https://katalogsp.sk/agro-socialny-podnik-s-r-o/" TargetMode="External"/><Relationship Id="rId344" Type="http://schemas.openxmlformats.org/officeDocument/2006/relationships/hyperlink" Target="https://katalogsp.sk/wp-content/uploads/2022/01/ekatalog_podnikanie-so-srdcomRSP.jpg" TargetMode="External"/><Relationship Id="rId465" Type="http://schemas.openxmlformats.org/officeDocument/2006/relationships/hyperlink" Target="https://katalogsp.sk/pm-house-s-r-o/" TargetMode="External"/><Relationship Id="rId586" Type="http://schemas.openxmlformats.org/officeDocument/2006/relationships/hyperlink" Target="https://katalogsp.sk/obecna-prevadzkaren-s-r-o-jablonov-r-s-p/" TargetMode="External"/><Relationship Id="rId101" Type="http://schemas.openxmlformats.org/officeDocument/2006/relationships/hyperlink" Target="https://katalogsp.sk/change-computer-s-r-o/" TargetMode="External"/><Relationship Id="rId222" Type="http://schemas.openxmlformats.org/officeDocument/2006/relationships/hyperlink" Target="https://katalogsp.sk/wp-content/uploads/2021/12/Agro-socialny-podnik-main1.jpg" TargetMode="External"/><Relationship Id="rId343" Type="http://schemas.openxmlformats.org/officeDocument/2006/relationships/hyperlink" Target="https://katalogsp.sk/knk-plus-vyrobne-druzstvo/" TargetMode="External"/><Relationship Id="rId464" Type="http://schemas.openxmlformats.org/officeDocument/2006/relationships/hyperlink" Target="https://katalogsp.sk/wp-content/uploads/2022/01/PM-house-s.r.o.-RSP-logo2-E-katalogRSP.jpg" TargetMode="External"/><Relationship Id="rId585" Type="http://schemas.openxmlformats.org/officeDocument/2006/relationships/hyperlink" Target="https://katalogsp.sk/wp-content/uploads/2022/01/ekatalog_podnikanie-so-srdcomRSP.jpg" TargetMode="External"/><Relationship Id="rId100" Type="http://schemas.openxmlformats.org/officeDocument/2006/relationships/hyperlink" Target="https://katalogsp.sk/wp-content/uploads/2021/12/ChangeComputers-main1.jpg" TargetMode="External"/><Relationship Id="rId221" Type="http://schemas.openxmlformats.org/officeDocument/2006/relationships/hyperlink" Target="https://katalogsp.sk/obecny-podnik-mocenok-s-r-o/" TargetMode="External"/><Relationship Id="rId342" Type="http://schemas.openxmlformats.org/officeDocument/2006/relationships/hyperlink" Target="https://katalogsp.sk/wp-content/uploads/2022/01/ekatalog_podnikanie-so-srdcomRSP.jpg" TargetMode="External"/><Relationship Id="rId463" Type="http://schemas.openxmlformats.org/officeDocument/2006/relationships/hyperlink" Target="https://katalogsp.sk/nyos-r-s-p-s-r-o/" TargetMode="External"/><Relationship Id="rId584" Type="http://schemas.openxmlformats.org/officeDocument/2006/relationships/hyperlink" Target="https://katalogsp.sk/margaret-s-r-o/" TargetMode="External"/><Relationship Id="rId217" Type="http://schemas.openxmlformats.org/officeDocument/2006/relationships/hyperlink" Target="https://katalogsp.sk/ihla-s-r-o-registrovany-socialny-podnik/" TargetMode="External"/><Relationship Id="rId338" Type="http://schemas.openxmlformats.org/officeDocument/2006/relationships/hyperlink" Target="https://katalogsp.sk/wp-content/uploads/2021/12/Obecny-podnik-Zabokreky-s.r.o.-banner-.jpg" TargetMode="External"/><Relationship Id="rId459" Type="http://schemas.openxmlformats.org/officeDocument/2006/relationships/hyperlink" Target="https://katalogsp.sk/veri-s-r-o/" TargetMode="External"/><Relationship Id="rId216" Type="http://schemas.openxmlformats.org/officeDocument/2006/relationships/hyperlink" Target="https://katalogsp.sk/wp-content/uploads/2022/01/ekatalog_podnikanie-so-srdcomRSP.jpg" TargetMode="External"/><Relationship Id="rId337" Type="http://schemas.openxmlformats.org/officeDocument/2006/relationships/hyperlink" Target="https://katalogsp.sk/dedinky-s-r-o/" TargetMode="External"/><Relationship Id="rId458" Type="http://schemas.openxmlformats.org/officeDocument/2006/relationships/hyperlink" Target="https://katalogsp.sk/wp-content/uploads/2022/01/VeRi-sro-Velke-Ripnany-banner1-E-katalogRSP.jpg" TargetMode="External"/><Relationship Id="rId579" Type="http://schemas.openxmlformats.org/officeDocument/2006/relationships/hyperlink" Target="https://katalogsp.sk/wp-content/uploads/2022/01/ekatalog_podnikanie-so-srdcomRSP.jpg" TargetMode="External"/><Relationship Id="rId215" Type="http://schemas.openxmlformats.org/officeDocument/2006/relationships/hyperlink" Target="https://katalogsp.sk/darcekovo-erika-s-r-o/" TargetMode="External"/><Relationship Id="rId336" Type="http://schemas.openxmlformats.org/officeDocument/2006/relationships/hyperlink" Target="https://katalogsp.sk/wp-content/uploads/2022/01/ekatalog_podnikanie-so-srdcomRSP.jpg" TargetMode="External"/><Relationship Id="rId457" Type="http://schemas.openxmlformats.org/officeDocument/2006/relationships/hyperlink" Target="https://katalogsp.sk/klastor/" TargetMode="External"/><Relationship Id="rId578" Type="http://schemas.openxmlformats.org/officeDocument/2006/relationships/hyperlink" Target="https://katalogsp.sk/dojc-ops-s-r-o/" TargetMode="External"/><Relationship Id="rId214" Type="http://schemas.openxmlformats.org/officeDocument/2006/relationships/hyperlink" Target="https://katalogsp.sk/wp-content/uploads/2021/12/darcekovo-erika-logo-1.png" TargetMode="External"/><Relationship Id="rId335" Type="http://schemas.openxmlformats.org/officeDocument/2006/relationships/hyperlink" Target="https://katalogsp.sk/solisko-circ-s-r-o-r-s-p/" TargetMode="External"/><Relationship Id="rId456" Type="http://schemas.openxmlformats.org/officeDocument/2006/relationships/hyperlink" Target="https://katalogsp.sk/wp-content/uploads/2022/01/Klastor-banner3-E-katalogRSP.jpg" TargetMode="External"/><Relationship Id="rId577" Type="http://schemas.openxmlformats.org/officeDocument/2006/relationships/hyperlink" Target="https://katalogsp.sk/wp-content/uploads/2022/01/Dojc-OPS-logo.png" TargetMode="External"/><Relationship Id="rId219" Type="http://schemas.openxmlformats.org/officeDocument/2006/relationships/hyperlink" Target="https://katalogsp.sk/c-b-one-s-r-o/" TargetMode="External"/><Relationship Id="rId218" Type="http://schemas.openxmlformats.org/officeDocument/2006/relationships/hyperlink" Target="https://katalogsp.sk/wp-content/uploads/2022/01/ekatalog_podnikanie-so-srdcomRSP.jpg" TargetMode="External"/><Relationship Id="rId339" Type="http://schemas.openxmlformats.org/officeDocument/2006/relationships/hyperlink" Target="https://katalogsp.sk/obecny-podnik-zabokreky-s-r-o/" TargetMode="External"/><Relationship Id="rId330" Type="http://schemas.openxmlformats.org/officeDocument/2006/relationships/hyperlink" Target="https://katalogsp.sk/wp-content/uploads/2022/01/ekatalog_podnikanie-so-srdcomRSP.jpg" TargetMode="External"/><Relationship Id="rId451" Type="http://schemas.openxmlformats.org/officeDocument/2006/relationships/hyperlink" Target="https://katalogsp.sk/ekorent-s-r-o/" TargetMode="External"/><Relationship Id="rId572" Type="http://schemas.openxmlformats.org/officeDocument/2006/relationships/hyperlink" Target="https://katalogsp.sk/obecne-sluzby-dobra-niva-s-r-o/" TargetMode="External"/><Relationship Id="rId450" Type="http://schemas.openxmlformats.org/officeDocument/2006/relationships/hyperlink" Target="https://katalogsp.sk/wp-content/uploads/2022/01/ekatalog_podnikanie-so-srdcomRSP.jpg" TargetMode="External"/><Relationship Id="rId571" Type="http://schemas.openxmlformats.org/officeDocument/2006/relationships/hyperlink" Target="https://katalogsp.sk/wp-content/uploads/2022/01/OS-Dobra-Niva-2.jpg" TargetMode="External"/><Relationship Id="rId570" Type="http://schemas.openxmlformats.org/officeDocument/2006/relationships/hyperlink" Target="https://katalogsp.sk/dekora-group-s-r-o/" TargetMode="External"/><Relationship Id="rId213" Type="http://schemas.openxmlformats.org/officeDocument/2006/relationships/hyperlink" Target="https://katalogsp.sk/bobgrass-s-r-o/" TargetMode="External"/><Relationship Id="rId334" Type="http://schemas.openxmlformats.org/officeDocument/2006/relationships/hyperlink" Target="https://katalogsp.sk/wp-content/uploads/2021/12/Solisko-Circ-main1.jpg" TargetMode="External"/><Relationship Id="rId455" Type="http://schemas.openxmlformats.org/officeDocument/2006/relationships/hyperlink" Target="https://katalogsp.sk/prevadzka-s-r-o/" TargetMode="External"/><Relationship Id="rId576" Type="http://schemas.openxmlformats.org/officeDocument/2006/relationships/hyperlink" Target="https://katalogsp.sk/obecny-podnik-sap-s-r-o/" TargetMode="External"/><Relationship Id="rId212" Type="http://schemas.openxmlformats.org/officeDocument/2006/relationships/hyperlink" Target="https://katalogsp.sk/wp-content/uploads/2021/12/Bobgass-4.jpg" TargetMode="External"/><Relationship Id="rId333" Type="http://schemas.openxmlformats.org/officeDocument/2006/relationships/hyperlink" Target="https://katalogsp.sk/vb-sp-s-r-o-r-s-p/" TargetMode="External"/><Relationship Id="rId454" Type="http://schemas.openxmlformats.org/officeDocument/2006/relationships/hyperlink" Target="https://katalogsp.sk/wp-content/uploads/2022/01/ekatalog_podnikanie-so-srdcomRSP.jpg" TargetMode="External"/><Relationship Id="rId575" Type="http://schemas.openxmlformats.org/officeDocument/2006/relationships/hyperlink" Target="https://katalogsp.sk/wp-content/uploads/2022/01/OP-SAP-logo2.jpg" TargetMode="External"/><Relationship Id="rId211" Type="http://schemas.openxmlformats.org/officeDocument/2006/relationships/hyperlink" Target="https://katalogsp.sk/vipe-s-r-o/" TargetMode="External"/><Relationship Id="rId332" Type="http://schemas.openxmlformats.org/officeDocument/2006/relationships/hyperlink" Target="https://katalogsp.sk/wp-content/uploads/2022/01/ekatalog_podnikanie-so-srdcomRSP.jpg" TargetMode="External"/><Relationship Id="rId453" Type="http://schemas.openxmlformats.org/officeDocument/2006/relationships/hyperlink" Target="https://katalogsp.sk/ms-products-s-r-o/" TargetMode="External"/><Relationship Id="rId574" Type="http://schemas.openxmlformats.org/officeDocument/2006/relationships/hyperlink" Target="https://katalogsp.sk/obecny-podnik-obchodu-a-sluzieb-ulany-nad-zitavou-s-r-o/" TargetMode="External"/><Relationship Id="rId210" Type="http://schemas.openxmlformats.org/officeDocument/2006/relationships/hyperlink" Target="https://katalogsp.sk/wp-content/uploads/2022/01/ekatalog_podnikanie-so-srdcomRSP.jpg" TargetMode="External"/><Relationship Id="rId331" Type="http://schemas.openxmlformats.org/officeDocument/2006/relationships/hyperlink" Target="https://katalogsp.sk/ekonoconsult-s-r-o-r-s-p/" TargetMode="External"/><Relationship Id="rId452" Type="http://schemas.openxmlformats.org/officeDocument/2006/relationships/hyperlink" Target="https://katalogsp.sk/wp-content/uploads/2022/01/ekatalog_podnikanie-so-srdcomRSP.jpg" TargetMode="External"/><Relationship Id="rId573" Type="http://schemas.openxmlformats.org/officeDocument/2006/relationships/hyperlink" Target="https://katalogsp.sk/wp-content/uploads/2022/01/ekatalog_podnikanie-so-srdcomRSP.jpg" TargetMode="External"/><Relationship Id="rId370" Type="http://schemas.openxmlformats.org/officeDocument/2006/relationships/hyperlink" Target="https://katalogsp.sk/wp-content/uploads/2021/12/ERWEL-s.r.o-2.jpg" TargetMode="External"/><Relationship Id="rId491" Type="http://schemas.openxmlformats.org/officeDocument/2006/relationships/hyperlink" Target="https://katalogsp.sk/dc-sielnica-n-o/" TargetMode="External"/><Relationship Id="rId490" Type="http://schemas.openxmlformats.org/officeDocument/2006/relationships/hyperlink" Target="https://katalogsp.sk/wp-content/uploads/2022/01/ekatalog_podnikanie-so-srdcomRSP.jpg" TargetMode="External"/><Relationship Id="rId129" Type="http://schemas.openxmlformats.org/officeDocument/2006/relationships/hyperlink" Target="https://katalogsp.sk/aptet-isp-druzstvo/" TargetMode="External"/><Relationship Id="rId128" Type="http://schemas.openxmlformats.org/officeDocument/2006/relationships/hyperlink" Target="https://katalogsp.sk/wp-content/uploads/2021/12/Aptet-logo1-E-katalog-RSP.jpg" TargetMode="External"/><Relationship Id="rId249" Type="http://schemas.openxmlformats.org/officeDocument/2006/relationships/hyperlink" Target="https://katalogsp.sk/istraslov-spol-s-r-o/" TargetMode="External"/><Relationship Id="rId127" Type="http://schemas.openxmlformats.org/officeDocument/2006/relationships/hyperlink" Target="https://katalogsp.sk/damparts-o-z/" TargetMode="External"/><Relationship Id="rId248" Type="http://schemas.openxmlformats.org/officeDocument/2006/relationships/hyperlink" Target="https://katalogsp.sk/wp-content/uploads/2022/01/ekatalog_podnikanie-so-srdcomRSP.jpg" TargetMode="External"/><Relationship Id="rId369" Type="http://schemas.openxmlformats.org/officeDocument/2006/relationships/hyperlink" Target="https://katalogsp.sk/stavenec-bystre-s-r-o-r-s-p/" TargetMode="External"/><Relationship Id="rId126" Type="http://schemas.openxmlformats.org/officeDocument/2006/relationships/hyperlink" Target="https://katalogsp.sk/wp-content/uploads/2022/01/ekatalog_podnikanie-so-srdcomRSP.jpg" TargetMode="External"/><Relationship Id="rId247" Type="http://schemas.openxmlformats.org/officeDocument/2006/relationships/hyperlink" Target="https://katalogsp.sk/atila-gena-s-r-o/" TargetMode="External"/><Relationship Id="rId368" Type="http://schemas.openxmlformats.org/officeDocument/2006/relationships/hyperlink" Target="https://katalogsp.sk/wp-content/uploads/2022/01/ekatalog_podnikanie-so-srdcomRSP.jpg" TargetMode="External"/><Relationship Id="rId489" Type="http://schemas.openxmlformats.org/officeDocument/2006/relationships/hyperlink" Target="https://katalogsp.sk/bpm-area-sk-s-r-o/" TargetMode="External"/><Relationship Id="rId121" Type="http://schemas.openxmlformats.org/officeDocument/2006/relationships/hyperlink" Target="https://katalogsp.sk/atyp-interier-servis-s-r-o-r-s-p/" TargetMode="External"/><Relationship Id="rId242" Type="http://schemas.openxmlformats.org/officeDocument/2006/relationships/hyperlink" Target="https://katalogsp.sk/wp-content/uploads/2021/12/Stefani-3.jpg" TargetMode="External"/><Relationship Id="rId363" Type="http://schemas.openxmlformats.org/officeDocument/2006/relationships/hyperlink" Target="https://katalogsp.sk/thermostav-s-r-o/" TargetMode="External"/><Relationship Id="rId484" Type="http://schemas.openxmlformats.org/officeDocument/2006/relationships/hyperlink" Target="https://katalogsp.sk/wp-content/uploads/2022/01/Zandrea-4.jpg" TargetMode="External"/><Relationship Id="rId120" Type="http://schemas.openxmlformats.org/officeDocument/2006/relationships/hyperlink" Target="https://katalogsp.sk/wp-content/uploads/2021/12/Atyp-interier-banner3-E-katalog-RSP.jpg" TargetMode="External"/><Relationship Id="rId241" Type="http://schemas.openxmlformats.org/officeDocument/2006/relationships/hyperlink" Target="https://katalogsp.sk/socialny-podnik-jarovnice-s-r-o/" TargetMode="External"/><Relationship Id="rId362" Type="http://schemas.openxmlformats.org/officeDocument/2006/relationships/hyperlink" Target="https://katalogsp.sk/wp-content/uploads/2022/01/ekatalog_podnikanie-so-srdcomRSP.jpg" TargetMode="External"/><Relationship Id="rId483" Type="http://schemas.openxmlformats.org/officeDocument/2006/relationships/hyperlink" Target="https://katalogsp.sk/amg-security-s-r-o/" TargetMode="External"/><Relationship Id="rId240" Type="http://schemas.openxmlformats.org/officeDocument/2006/relationships/hyperlink" Target="https://katalogsp.sk/wp-content/uploads/2022/01/ekatalog_podnikanie-so-srdcomRSP.jpg" TargetMode="External"/><Relationship Id="rId361" Type="http://schemas.openxmlformats.org/officeDocument/2006/relationships/hyperlink" Target="https://katalogsp.sk/obecny-socialny-podnik-nizna-s-r-o/" TargetMode="External"/><Relationship Id="rId482" Type="http://schemas.openxmlformats.org/officeDocument/2006/relationships/hyperlink" Target="https://katalogsp.sk/wp-content/uploads/2022/01/ekatalog_podnikanie-so-srdcomRSP.jpg" TargetMode="External"/><Relationship Id="rId360" Type="http://schemas.openxmlformats.org/officeDocument/2006/relationships/hyperlink" Target="https://katalogsp.sk/wp-content/uploads/2022/01/ekatalog_podnikanie-so-srdcomRSP.jpg" TargetMode="External"/><Relationship Id="rId481" Type="http://schemas.openxmlformats.org/officeDocument/2006/relationships/hyperlink" Target="https://katalogsp.sk/serious-coffee-s-r-o/" TargetMode="External"/><Relationship Id="rId125" Type="http://schemas.openxmlformats.org/officeDocument/2006/relationships/hyperlink" Target="https://katalogsp.sk/mestsky-podnik-sluzieb-turany-s-r-o/" TargetMode="External"/><Relationship Id="rId246" Type="http://schemas.openxmlformats.org/officeDocument/2006/relationships/hyperlink" Target="https://katalogsp.sk/wp-content/uploads/2022/01/ekatalog_podnikanie-so-srdcomRSP.jpg" TargetMode="External"/><Relationship Id="rId367" Type="http://schemas.openxmlformats.org/officeDocument/2006/relationships/hyperlink" Target="https://katalogsp.sk/sbs-kobra-martin-s-r-o/" TargetMode="External"/><Relationship Id="rId488" Type="http://schemas.openxmlformats.org/officeDocument/2006/relationships/hyperlink" Target="https://katalogsp.sk/wp-content/uploads/2022/01/ekatalog_podnikanie-so-srdcomRSP.jpg" TargetMode="External"/><Relationship Id="rId124" Type="http://schemas.openxmlformats.org/officeDocument/2006/relationships/hyperlink" Target="https://katalogsp.sk/wp-content/uploads/2022/01/ekatalog_podnikanie-so-srdcomRSP.jpg" TargetMode="External"/><Relationship Id="rId245" Type="http://schemas.openxmlformats.org/officeDocument/2006/relationships/hyperlink" Target="https://katalogsp.sk/multihouse-s-r-o/" TargetMode="External"/><Relationship Id="rId366" Type="http://schemas.openxmlformats.org/officeDocument/2006/relationships/hyperlink" Target="https://katalogsp.sk/wp-content/uploads/2022/01/ekatalog_podnikanie-so-srdcomRSP.jpg" TargetMode="External"/><Relationship Id="rId487" Type="http://schemas.openxmlformats.org/officeDocument/2006/relationships/hyperlink" Target="https://katalogsp.sk/kaluso-s-r-o/" TargetMode="External"/><Relationship Id="rId123" Type="http://schemas.openxmlformats.org/officeDocument/2006/relationships/hyperlink" Target="https://katalogsp.sk/stavjam-s-r-o/" TargetMode="External"/><Relationship Id="rId244" Type="http://schemas.openxmlformats.org/officeDocument/2006/relationships/hyperlink" Target="https://katalogsp.sk/wp-content/uploads/2021/12/Multihouse-2.jpg" TargetMode="External"/><Relationship Id="rId365" Type="http://schemas.openxmlformats.org/officeDocument/2006/relationships/hyperlink" Target="https://katalogsp.sk/komunalne-sluzby-horna-suca-s-r-o-r-s-p/" TargetMode="External"/><Relationship Id="rId486" Type="http://schemas.openxmlformats.org/officeDocument/2006/relationships/hyperlink" Target="https://katalogsp.sk/wp-content/uploads/2022/01/RSP-2-KALUSO-s.r.o..jpg" TargetMode="External"/><Relationship Id="rId122" Type="http://schemas.openxmlformats.org/officeDocument/2006/relationships/hyperlink" Target="https://katalogsp.sk/wp-content/uploads/2022/01/ekatalog_podnikanie-so-srdcomRSP.jpg" TargetMode="External"/><Relationship Id="rId243" Type="http://schemas.openxmlformats.org/officeDocument/2006/relationships/hyperlink" Target="https://katalogsp.sk/stefani-n-o/" TargetMode="External"/><Relationship Id="rId364" Type="http://schemas.openxmlformats.org/officeDocument/2006/relationships/hyperlink" Target="https://katalogsp.sk/wp-content/uploads/2021/12/Komunalne-Sluzby-Horna-Suca-s.r.o.-banner2-E-katalog-RSP.jpg" TargetMode="External"/><Relationship Id="rId485" Type="http://schemas.openxmlformats.org/officeDocument/2006/relationships/hyperlink" Target="https://katalogsp.sk/zandrea-s-r-o/" TargetMode="External"/><Relationship Id="rId95" Type="http://schemas.openxmlformats.org/officeDocument/2006/relationships/hyperlink" Target="https://katalogsp.sk/elstore-spol-sro/" TargetMode="External"/><Relationship Id="rId94" Type="http://schemas.openxmlformats.org/officeDocument/2006/relationships/hyperlink" Target="https://katalogsp.sk/wp-content/uploads/2021/12/Elstrote-main1.jpg" TargetMode="External"/><Relationship Id="rId97" Type="http://schemas.openxmlformats.org/officeDocument/2006/relationships/hyperlink" Target="https://katalogsp.sk/ipatex-s-r-o/" TargetMode="External"/><Relationship Id="rId96" Type="http://schemas.openxmlformats.org/officeDocument/2006/relationships/hyperlink" Target="https://katalogsp.sk/wp-content/uploads/2021/12/Ipatex-main1.jpg" TargetMode="External"/><Relationship Id="rId99" Type="http://schemas.openxmlformats.org/officeDocument/2006/relationships/hyperlink" Target="https://katalogsp.sk/obecny-podnik-sutovce-s-r-o/" TargetMode="External"/><Relationship Id="rId480" Type="http://schemas.openxmlformats.org/officeDocument/2006/relationships/hyperlink" Target="https://katalogsp.sk/wp-content/uploads/2022/01/Serious-coffee-logo1-E-katalogRSP.jpg" TargetMode="External"/><Relationship Id="rId98" Type="http://schemas.openxmlformats.org/officeDocument/2006/relationships/hyperlink" Target="https://katalogsp.sk/wp-content/uploads/2022/01/ekatalog_podnikanie-so-srdcomRSP.jpg" TargetMode="External"/><Relationship Id="rId91" Type="http://schemas.openxmlformats.org/officeDocument/2006/relationships/hyperlink" Target="https://katalogsp.sk/marion-zm-s-r-o/" TargetMode="External"/><Relationship Id="rId90" Type="http://schemas.openxmlformats.org/officeDocument/2006/relationships/hyperlink" Target="https://katalogsp.sk/wp-content/uploads/2022/01/ekatalog_podnikanie-so-srdcomRSP.jpg" TargetMode="External"/><Relationship Id="rId93" Type="http://schemas.openxmlformats.org/officeDocument/2006/relationships/hyperlink" Target="https://katalogsp.sk/socialny-podnik-mesta-levoca-s-r-o-r-s-p/" TargetMode="External"/><Relationship Id="rId92" Type="http://schemas.openxmlformats.org/officeDocument/2006/relationships/hyperlink" Target="https://katalogsp.sk/wp-content/uploads/2022/01/ekatalog_podnikanie-so-srdcomRSP.jpg" TargetMode="External"/><Relationship Id="rId118" Type="http://schemas.openxmlformats.org/officeDocument/2006/relationships/hyperlink" Target="https://katalogsp.sk/wp-content/uploads/2022/01/ekatalog_podnikanie-so-srdcomRSP.jpg" TargetMode="External"/><Relationship Id="rId239" Type="http://schemas.openxmlformats.org/officeDocument/2006/relationships/hyperlink" Target="https://katalogsp.sk/b-a-b-spol-s-r-o/" TargetMode="External"/><Relationship Id="rId117" Type="http://schemas.openxmlformats.org/officeDocument/2006/relationships/hyperlink" Target="https://katalogsp.sk/csa-samoty-s-r-o/" TargetMode="External"/><Relationship Id="rId238" Type="http://schemas.openxmlformats.org/officeDocument/2006/relationships/hyperlink" Target="https://katalogsp.sk/wp-content/uploads/2022/01/ekatalog_podnikanie-so-srdcomRSP.jpg" TargetMode="External"/><Relationship Id="rId359" Type="http://schemas.openxmlformats.org/officeDocument/2006/relationships/hyperlink" Target="https://katalogsp.sk/hrabovcan-s-r-o-r-s-p/" TargetMode="External"/><Relationship Id="rId116" Type="http://schemas.openxmlformats.org/officeDocument/2006/relationships/hyperlink" Target="https://katalogsp.sk/wp-content/uploads/2021/12/CSA-SAMOTY-main1.jpg" TargetMode="External"/><Relationship Id="rId237" Type="http://schemas.openxmlformats.org/officeDocument/2006/relationships/hyperlink" Target="https://katalogsp.sk/prima-timber-s-r-o/" TargetMode="External"/><Relationship Id="rId358" Type="http://schemas.openxmlformats.org/officeDocument/2006/relationships/hyperlink" Target="https://katalogsp.sk/wp-content/uploads/2022/01/ekatalog_podnikanie-so-srdcomRSP.jpg" TargetMode="External"/><Relationship Id="rId479" Type="http://schemas.openxmlformats.org/officeDocument/2006/relationships/hyperlink" Target="https://katalogsp.sk/dh-facility-services-s-r-o/" TargetMode="External"/><Relationship Id="rId115" Type="http://schemas.openxmlformats.org/officeDocument/2006/relationships/hyperlink" Target="https://katalogsp.sk/flowie-s-r-o/" TargetMode="External"/><Relationship Id="rId236" Type="http://schemas.openxmlformats.org/officeDocument/2006/relationships/hyperlink" Target="https://katalogsp.sk/wp-content/uploads/2022/01/ekatalog_podnikanie-so-srdcomRSP.jpg" TargetMode="External"/><Relationship Id="rId357" Type="http://schemas.openxmlformats.org/officeDocument/2006/relationships/hyperlink" Target="https://katalogsp.sk/mdmt-s-r-o-registrovany-socialny-podnik/" TargetMode="External"/><Relationship Id="rId478" Type="http://schemas.openxmlformats.org/officeDocument/2006/relationships/hyperlink" Target="https://katalogsp.sk/wp-content/uploads/2022/01/DH-facility-services-logo-E-katalogRSP.jpeg" TargetMode="External"/><Relationship Id="rId599" Type="http://schemas.openxmlformats.org/officeDocument/2006/relationships/hyperlink" Target="https://katalogsp.sk/wp-content/uploads/2022/01/ekatalog_podnikanie-so-srdcomRSP.jpg" TargetMode="External"/><Relationship Id="rId119" Type="http://schemas.openxmlformats.org/officeDocument/2006/relationships/hyperlink" Target="https://katalogsp.sk/duha-vr-s-r-o-r-s-p/" TargetMode="External"/><Relationship Id="rId110" Type="http://schemas.openxmlformats.org/officeDocument/2006/relationships/hyperlink" Target="https://katalogsp.sk/wp-content/uploads/2021/12/Error-banner1-E-katalog-RSP.jpg" TargetMode="External"/><Relationship Id="rId231" Type="http://schemas.openxmlformats.org/officeDocument/2006/relationships/hyperlink" Target="https://katalogsp.sk/vygast-s-r-o/" TargetMode="External"/><Relationship Id="rId352" Type="http://schemas.openxmlformats.org/officeDocument/2006/relationships/hyperlink" Target="https://katalogsp.sk/wp-content/uploads/2022/01/ekatalog_podnikanie-so-srdcomRSP.jpg" TargetMode="External"/><Relationship Id="rId473" Type="http://schemas.openxmlformats.org/officeDocument/2006/relationships/hyperlink" Target="https://katalogsp.sk/trendyr-s-r-o/" TargetMode="External"/><Relationship Id="rId594" Type="http://schemas.openxmlformats.org/officeDocument/2006/relationships/hyperlink" Target="https://katalogsp.sk/ln-trade-pod-sitnom-s-r-o/" TargetMode="External"/><Relationship Id="rId230" Type="http://schemas.openxmlformats.org/officeDocument/2006/relationships/hyperlink" Target="https://katalogsp.sk/wp-content/uploads/2022/01/ekatalog_podnikanie-so-srdcomRSP.jpg" TargetMode="External"/><Relationship Id="rId351" Type="http://schemas.openxmlformats.org/officeDocument/2006/relationships/hyperlink" Target="https://katalogsp.sk/osp-jamnik-s-r-o/" TargetMode="External"/><Relationship Id="rId472" Type="http://schemas.openxmlformats.org/officeDocument/2006/relationships/hyperlink" Target="https://katalogsp.sk/wp-content/uploads/2022/01/TrendyR-logo1-KatalogRSP.jpg" TargetMode="External"/><Relationship Id="rId593" Type="http://schemas.openxmlformats.org/officeDocument/2006/relationships/hyperlink" Target="https://katalogsp.sk/wp-content/uploads/2022/01/LN-Trade-pod-Sitnom-3.jpg" TargetMode="External"/><Relationship Id="rId350" Type="http://schemas.openxmlformats.org/officeDocument/2006/relationships/hyperlink" Target="https://katalogsp.sk/wp-content/uploads/2022/01/ekatalog_podnikanie-so-srdcomRSP.jpg" TargetMode="External"/><Relationship Id="rId471" Type="http://schemas.openxmlformats.org/officeDocument/2006/relationships/hyperlink" Target="https://katalogsp.sk/montoy-s-r-o/" TargetMode="External"/><Relationship Id="rId592" Type="http://schemas.openxmlformats.org/officeDocument/2006/relationships/hyperlink" Target="https://katalogsp.sk/vox-terra-o-z/" TargetMode="External"/><Relationship Id="rId470" Type="http://schemas.openxmlformats.org/officeDocument/2006/relationships/hyperlink" Target="https://katalogsp.sk/wp-content/uploads/2022/01/MonToy-RPS-Domcek.jpg" TargetMode="External"/><Relationship Id="rId591" Type="http://schemas.openxmlformats.org/officeDocument/2006/relationships/hyperlink" Target="https://katalogsp.sk/wp-content/uploads/2022/01/VOX-terra-logo2.png" TargetMode="External"/><Relationship Id="rId114" Type="http://schemas.openxmlformats.org/officeDocument/2006/relationships/hyperlink" Target="https://katalogsp.sk/wp-content/uploads/2021/12/Flowie-banner2-E-katalog-RSP.jpg" TargetMode="External"/><Relationship Id="rId235" Type="http://schemas.openxmlformats.org/officeDocument/2006/relationships/hyperlink" Target="https://katalogsp.sk/obecne-sluzby-polhora-s-r-o/" TargetMode="External"/><Relationship Id="rId356" Type="http://schemas.openxmlformats.org/officeDocument/2006/relationships/hyperlink" Target="https://katalogsp.sk/wp-content/uploads/2022/01/ekatalog_podnikanie-so-srdcomRSP.jpg" TargetMode="External"/><Relationship Id="rId477" Type="http://schemas.openxmlformats.org/officeDocument/2006/relationships/hyperlink" Target="https://katalogsp.sk/alacarte-s-r-o/" TargetMode="External"/><Relationship Id="rId598" Type="http://schemas.openxmlformats.org/officeDocument/2006/relationships/hyperlink" Target="https://katalogsp.sk/stefan-zabojnik/" TargetMode="External"/><Relationship Id="rId113" Type="http://schemas.openxmlformats.org/officeDocument/2006/relationships/hyperlink" Target="https://katalogsp.sk/porubske-sluzby-s-r-o/" TargetMode="External"/><Relationship Id="rId234" Type="http://schemas.openxmlformats.org/officeDocument/2006/relationships/hyperlink" Target="https://katalogsp.sk/wp-content/uploads/2022/01/ekatalog_podnikanie-so-srdcomRSP.jpg" TargetMode="External"/><Relationship Id="rId355" Type="http://schemas.openxmlformats.org/officeDocument/2006/relationships/hyperlink" Target="https://katalogsp.sk/viktoria-dance-servis-s-r-o/" TargetMode="External"/><Relationship Id="rId476" Type="http://schemas.openxmlformats.org/officeDocument/2006/relationships/hyperlink" Target="https://katalogsp.sk/wp-content/uploads/2022/01/Alacarte_logo-E-katalogRSP.png" TargetMode="External"/><Relationship Id="rId597" Type="http://schemas.openxmlformats.org/officeDocument/2006/relationships/hyperlink" Target="https://katalogsp.sk/wp-content/uploads/2022/01/ekatalog_podnikanie-so-srdcomRSP.jpg" TargetMode="External"/><Relationship Id="rId112" Type="http://schemas.openxmlformats.org/officeDocument/2006/relationships/hyperlink" Target="https://katalogsp.sk/wp-content/uploads/2022/01/ekatalog_podnikanie-so-srdcomRSP.jpg" TargetMode="External"/><Relationship Id="rId233" Type="http://schemas.openxmlformats.org/officeDocument/2006/relationships/hyperlink" Target="https://katalogsp.sk/registrovany-socialny-podnik-mj-faba-s-r-o/" TargetMode="External"/><Relationship Id="rId354" Type="http://schemas.openxmlformats.org/officeDocument/2006/relationships/hyperlink" Target="https://katalogsp.sk/wp-content/uploads/2022/01/ekatalog_podnikanie-so-srdcomRSP.jpg" TargetMode="External"/><Relationship Id="rId475" Type="http://schemas.openxmlformats.org/officeDocument/2006/relationships/hyperlink" Target="https://katalogsp.sk/helpo-s-r-o/" TargetMode="External"/><Relationship Id="rId596" Type="http://schemas.openxmlformats.org/officeDocument/2006/relationships/hyperlink" Target="https://katalogsp.sk/vira-print-s-r-o-r-s-p/" TargetMode="External"/><Relationship Id="rId111" Type="http://schemas.openxmlformats.org/officeDocument/2006/relationships/hyperlink" Target="https://katalogsp.sk/error-s-r-o/" TargetMode="External"/><Relationship Id="rId232" Type="http://schemas.openxmlformats.org/officeDocument/2006/relationships/hyperlink" Target="https://katalogsp.sk/wp-content/uploads/2021/12/MJ-Faba-1.jpg" TargetMode="External"/><Relationship Id="rId353" Type="http://schemas.openxmlformats.org/officeDocument/2006/relationships/hyperlink" Target="https://katalogsp.sk/smizianske-sluzby-s-r-o/" TargetMode="External"/><Relationship Id="rId474" Type="http://schemas.openxmlformats.org/officeDocument/2006/relationships/hyperlink" Target="https://katalogsp.sk/wp-content/uploads/2022/01/ekatalog_podnikanie-so-srdcomRSP.jpg" TargetMode="External"/><Relationship Id="rId595" Type="http://schemas.openxmlformats.org/officeDocument/2006/relationships/hyperlink" Target="https://katalogsp.sk/wp-content/uploads/2022/01/ekatalog_podnikanie-so-srdcomRSP.jpg" TargetMode="External"/><Relationship Id="rId305" Type="http://schemas.openxmlformats.org/officeDocument/2006/relationships/hyperlink" Target="https://katalogsp.sk/pe-bonum-s-r-o/" TargetMode="External"/><Relationship Id="rId426" Type="http://schemas.openxmlformats.org/officeDocument/2006/relationships/hyperlink" Target="https://katalogsp.sk/wp-content/uploads/2022/01/ekatalog_podnikanie-so-srdcomRSP.jpg" TargetMode="External"/><Relationship Id="rId547" Type="http://schemas.openxmlformats.org/officeDocument/2006/relationships/hyperlink" Target="https://katalogsp.sk/wp-content/uploads/2022/01/ekatalog_podnikanie-so-srdcomRSP.jpg" TargetMode="External"/><Relationship Id="rId304" Type="http://schemas.openxmlformats.org/officeDocument/2006/relationships/hyperlink" Target="https://katalogsp.sk/wp-content/uploads/2022/01/ekatalog_podnikanie-so-srdcomRSP.jpg" TargetMode="External"/><Relationship Id="rId425" Type="http://schemas.openxmlformats.org/officeDocument/2006/relationships/hyperlink" Target="https://katalogsp.sk/strane-invest-rsp-s-r-o/" TargetMode="External"/><Relationship Id="rId546" Type="http://schemas.openxmlformats.org/officeDocument/2006/relationships/hyperlink" Target="https://katalogsp.sk/coupe-invest-s-r-o/" TargetMode="External"/><Relationship Id="rId303" Type="http://schemas.openxmlformats.org/officeDocument/2006/relationships/hyperlink" Target="https://katalogsp.sk/obecne-sluzby-spisska-teplica-s-r-o/" TargetMode="External"/><Relationship Id="rId424" Type="http://schemas.openxmlformats.org/officeDocument/2006/relationships/hyperlink" Target="https://katalogsp.sk/wp-content/uploads/2022/01/ekatalog_podnikanie-so-srdcomRSP.jpg" TargetMode="External"/><Relationship Id="rId545" Type="http://schemas.openxmlformats.org/officeDocument/2006/relationships/hyperlink" Target="https://katalogsp.sk/wp-content/uploads/2022/01/Coupe-Invest-logo2-E-katalogRSP.jpg" TargetMode="External"/><Relationship Id="rId302" Type="http://schemas.openxmlformats.org/officeDocument/2006/relationships/hyperlink" Target="https://katalogsp.sk/wp-content/uploads/2021/12/Spiska-teplica-3.jpg" TargetMode="External"/><Relationship Id="rId423" Type="http://schemas.openxmlformats.org/officeDocument/2006/relationships/hyperlink" Target="https://katalogsp.sk/cernik-servis-s-r-o/" TargetMode="External"/><Relationship Id="rId544" Type="http://schemas.openxmlformats.org/officeDocument/2006/relationships/hyperlink" Target="https://katalogsp.sk/hanako-slovakia-s-r-o/" TargetMode="External"/><Relationship Id="rId309" Type="http://schemas.openxmlformats.org/officeDocument/2006/relationships/hyperlink" Target="https://katalogsp.sk/socialny-podnik-mesta-martin-s-r-o/" TargetMode="External"/><Relationship Id="rId308" Type="http://schemas.openxmlformats.org/officeDocument/2006/relationships/hyperlink" Target="https://katalogsp.sk/wp-content/uploads/2021/12/Soc-podnik-Martin-logo-banner1.jpg" TargetMode="External"/><Relationship Id="rId429" Type="http://schemas.openxmlformats.org/officeDocument/2006/relationships/hyperlink" Target="https://katalogsp.sk/podnik-medzitrhu-prace-n-o-r-s-p/" TargetMode="External"/><Relationship Id="rId307" Type="http://schemas.openxmlformats.org/officeDocument/2006/relationships/hyperlink" Target="https://katalogsp.sk/lasy-s-r-o/" TargetMode="External"/><Relationship Id="rId428" Type="http://schemas.openxmlformats.org/officeDocument/2006/relationships/hyperlink" Target="https://katalogsp.sk/wp-content/uploads/2022/01/Podnik-medzitrhu-prace-banner-4-E-katalogRSP.jpg" TargetMode="External"/><Relationship Id="rId549" Type="http://schemas.openxmlformats.org/officeDocument/2006/relationships/hyperlink" Target="https://katalogsp.sk/wp-content/uploads/2022/01/ekatalog_podnikanie-so-srdcomRSP.jpg" TargetMode="External"/><Relationship Id="rId306" Type="http://schemas.openxmlformats.org/officeDocument/2006/relationships/hyperlink" Target="https://katalogsp.sk/wp-content/uploads/2022/01/ekatalog_podnikanie-so-srdcomRSP.jpg" TargetMode="External"/><Relationship Id="rId427" Type="http://schemas.openxmlformats.org/officeDocument/2006/relationships/hyperlink" Target="https://katalogsp.sk/villa-ursi-s-r-o/" TargetMode="External"/><Relationship Id="rId548" Type="http://schemas.openxmlformats.org/officeDocument/2006/relationships/hyperlink" Target="https://katalogsp.sk/l-metal-s-r-o/" TargetMode="External"/><Relationship Id="rId301" Type="http://schemas.openxmlformats.org/officeDocument/2006/relationships/hyperlink" Target="https://katalogsp.sk/haslox-s-r-o/" TargetMode="External"/><Relationship Id="rId422" Type="http://schemas.openxmlformats.org/officeDocument/2006/relationships/hyperlink" Target="https://katalogsp.sk/wp-content/uploads/2022/01/ekatalog_podnikanie-so-srdcomRSP.jpg" TargetMode="External"/><Relationship Id="rId543" Type="http://schemas.openxmlformats.org/officeDocument/2006/relationships/hyperlink" Target="https://katalogsp.sk/wp-content/uploads/2022/01/ekatalog_podnikanie-so-srdcomRSP.jpg" TargetMode="External"/><Relationship Id="rId300" Type="http://schemas.openxmlformats.org/officeDocument/2006/relationships/hyperlink" Target="https://katalogsp.sk/wp-content/uploads/2022/01/ekatalog_podnikanie-so-srdcomRSP.jpg" TargetMode="External"/><Relationship Id="rId421" Type="http://schemas.openxmlformats.org/officeDocument/2006/relationships/hyperlink" Target="https://katalogsp.sk/advisona-s-r-o/" TargetMode="External"/><Relationship Id="rId542" Type="http://schemas.openxmlformats.org/officeDocument/2006/relationships/hyperlink" Target="https://katalogsp.sk/motodoor-s-r-o/" TargetMode="External"/><Relationship Id="rId420" Type="http://schemas.openxmlformats.org/officeDocument/2006/relationships/hyperlink" Target="https://katalogsp.sk/wp-content/uploads/2022/01/Advisona-E-katalogRSP-banner-1.jpg" TargetMode="External"/><Relationship Id="rId541" Type="http://schemas.openxmlformats.org/officeDocument/2006/relationships/hyperlink" Target="https://katalogsp.sk/wp-content/uploads/2022/01/ekatalog_podnikanie-so-srdcomRSP.jpg" TargetMode="External"/><Relationship Id="rId540" Type="http://schemas.openxmlformats.org/officeDocument/2006/relationships/hyperlink" Target="https://katalogsp.sk/robul-clean-s-r-o/" TargetMode="External"/><Relationship Id="rId415" Type="http://schemas.openxmlformats.org/officeDocument/2006/relationships/hyperlink" Target="https://katalogsp.sk/psml-s-r-o/" TargetMode="External"/><Relationship Id="rId536" Type="http://schemas.openxmlformats.org/officeDocument/2006/relationships/hyperlink" Target="https://katalogsp.sk/socialny-podnik-kosickeho-samospravneho-kraja-s-r-o-r-s-p/" TargetMode="External"/><Relationship Id="rId414" Type="http://schemas.openxmlformats.org/officeDocument/2006/relationships/hyperlink" Target="https://katalogsp.sk/wp-content/uploads/2022/01/ekatalog_podnikanie-so-srdcomRSP.jpg" TargetMode="External"/><Relationship Id="rId535" Type="http://schemas.openxmlformats.org/officeDocument/2006/relationships/hyperlink" Target="https://katalogsp.sk/wp-content/uploads/2022/01/SP-Kosickeho-kraja-logo1.jpg" TargetMode="External"/><Relationship Id="rId413" Type="http://schemas.openxmlformats.org/officeDocument/2006/relationships/hyperlink" Target="https://katalogsp.sk/rozvojove-sluzby-bbsk-s-r-o-registrovany-socialny-podnik/" TargetMode="External"/><Relationship Id="rId534" Type="http://schemas.openxmlformats.org/officeDocument/2006/relationships/hyperlink" Target="https://katalogsp.sk/obecny-podnik-cerovo-s-r-o/" TargetMode="External"/><Relationship Id="rId412" Type="http://schemas.openxmlformats.org/officeDocument/2006/relationships/hyperlink" Target="https://katalogsp.sk/wp-content/uploads/2022/01/ekatalog_podnikanie-so-srdcomRSP.jpg" TargetMode="External"/><Relationship Id="rId533" Type="http://schemas.openxmlformats.org/officeDocument/2006/relationships/hyperlink" Target="https://katalogsp.sk/wp-content/uploads/2022/01/ekatalog_podnikanie-so-srdcomRSP.jpg" TargetMode="External"/><Relationship Id="rId419" Type="http://schemas.openxmlformats.org/officeDocument/2006/relationships/hyperlink" Target="https://katalogsp.sk/obcianske-zdruzenie-sv-rafaela/" TargetMode="External"/><Relationship Id="rId418" Type="http://schemas.openxmlformats.org/officeDocument/2006/relationships/hyperlink" Target="https://katalogsp.sk/wp-content/uploads/2022/01/RSP-2-Rafael-Ubytovanie-E-katalogRSP.jpg" TargetMode="External"/><Relationship Id="rId539" Type="http://schemas.openxmlformats.org/officeDocument/2006/relationships/hyperlink" Target="https://katalogsp.sk/wp-content/uploads/2022/01/ekatalog_podnikanie-so-srdcomRSP.jpg" TargetMode="External"/><Relationship Id="rId417" Type="http://schemas.openxmlformats.org/officeDocument/2006/relationships/hyperlink" Target="https://katalogsp.sk/atasof-s-r-o/" TargetMode="External"/><Relationship Id="rId538" Type="http://schemas.openxmlformats.org/officeDocument/2006/relationships/hyperlink" Target="https://katalogsp.sk/socialny-podnik-obce-slavosovce-s-r-o-r-s-p/" TargetMode="External"/><Relationship Id="rId416" Type="http://schemas.openxmlformats.org/officeDocument/2006/relationships/hyperlink" Target="https://katalogsp.sk/wp-content/uploads/2022/01/ekatalog_podnikanie-so-srdcomRSP.jpg" TargetMode="External"/><Relationship Id="rId537" Type="http://schemas.openxmlformats.org/officeDocument/2006/relationships/hyperlink" Target="https://katalogsp.sk/wp-content/uploads/2022/01/ekatalog_podnikanie-so-srdcomRSP.jpg" TargetMode="External"/><Relationship Id="rId411" Type="http://schemas.openxmlformats.org/officeDocument/2006/relationships/hyperlink" Target="https://katalogsp.sk/slovensky-ustav-vystavby-a-rozvoja-byvania-s-r-o/" TargetMode="External"/><Relationship Id="rId532" Type="http://schemas.openxmlformats.org/officeDocument/2006/relationships/hyperlink" Target="https://katalogsp.sk/ja-life-s-r-o-r-s-p/" TargetMode="External"/><Relationship Id="rId653" Type="http://schemas.openxmlformats.org/officeDocument/2006/relationships/drawing" Target="../drawings/drawing1.xml"/><Relationship Id="rId410" Type="http://schemas.openxmlformats.org/officeDocument/2006/relationships/hyperlink" Target="https://katalogsp.sk/wp-content/uploads/2022/01/ekatalog_podnikanie-so-srdcomRSP.jpg" TargetMode="External"/><Relationship Id="rId531" Type="http://schemas.openxmlformats.org/officeDocument/2006/relationships/hyperlink" Target="https://katalogsp.sk/wp-content/uploads/2022/01/Ja-life-logo1.jpg" TargetMode="External"/><Relationship Id="rId652" Type="http://schemas.openxmlformats.org/officeDocument/2006/relationships/hyperlink" Target="https://katalogsp.sk/projman-s-r-o/" TargetMode="External"/><Relationship Id="rId530" Type="http://schemas.openxmlformats.org/officeDocument/2006/relationships/hyperlink" Target="https://katalogsp.sk/registrovany-socialny-podnik-alfa-s-r-o/" TargetMode="External"/><Relationship Id="rId651" Type="http://schemas.openxmlformats.org/officeDocument/2006/relationships/hyperlink" Target="https://katalogsp.sk/wp-content/uploads/2022/01/ekatalog_podnikanie-so-srdcomRSP.jpg" TargetMode="External"/><Relationship Id="rId650" Type="http://schemas.openxmlformats.org/officeDocument/2006/relationships/hyperlink" Target="https://katalogsp.sk/dvakrat-dobre-oz-r-s-p/" TargetMode="External"/><Relationship Id="rId206" Type="http://schemas.openxmlformats.org/officeDocument/2006/relationships/hyperlink" Target="https://katalogsp.sk/wp-content/uploads/2021/12/OZ-Integrujeme-main1.jpg" TargetMode="External"/><Relationship Id="rId327" Type="http://schemas.openxmlformats.org/officeDocument/2006/relationships/hyperlink" Target="https://katalogsp.sk/lupex-s-r-o/" TargetMode="External"/><Relationship Id="rId448" Type="http://schemas.openxmlformats.org/officeDocument/2006/relationships/hyperlink" Target="https://katalogsp.sk/wp-content/uploads/2022/01/ekatalog_podnikanie-so-srdcomRSP.jpg" TargetMode="External"/><Relationship Id="rId569" Type="http://schemas.openxmlformats.org/officeDocument/2006/relationships/hyperlink" Target="https://katalogsp.sk/wp-content/uploads/2022/01/ekatalog_podnikanie-so-srdcomRSP.jpg" TargetMode="External"/><Relationship Id="rId205" Type="http://schemas.openxmlformats.org/officeDocument/2006/relationships/hyperlink" Target="https://katalogsp.sk/bariak-s-r-o/" TargetMode="External"/><Relationship Id="rId326" Type="http://schemas.openxmlformats.org/officeDocument/2006/relationships/hyperlink" Target="https://katalogsp.sk/wp-content/uploads/2022/01/ekatalog_podnikanie-so-srdcomRSP.jpg" TargetMode="External"/><Relationship Id="rId447" Type="http://schemas.openxmlformats.org/officeDocument/2006/relationships/hyperlink" Target="https://katalogsp.sk/ekki-s-r-o/" TargetMode="External"/><Relationship Id="rId568" Type="http://schemas.openxmlformats.org/officeDocument/2006/relationships/hyperlink" Target="https://katalogsp.sk/solcom-media-s-r-o/" TargetMode="External"/><Relationship Id="rId204" Type="http://schemas.openxmlformats.org/officeDocument/2006/relationships/hyperlink" Target="https://katalogsp.sk/wp-content/uploads/2021/12/Bariak-2.jpg" TargetMode="External"/><Relationship Id="rId325" Type="http://schemas.openxmlformats.org/officeDocument/2006/relationships/hyperlink" Target="https://katalogsp.sk/obecne-sluzby-rybnik-s-r-o/" TargetMode="External"/><Relationship Id="rId446" Type="http://schemas.openxmlformats.org/officeDocument/2006/relationships/hyperlink" Target="https://katalogsp.sk/wp-content/uploads/2022/01/ekatalog_podnikanie-so-srdcomRSP.jpg" TargetMode="External"/><Relationship Id="rId567" Type="http://schemas.openxmlformats.org/officeDocument/2006/relationships/hyperlink" Target="https://katalogsp.sk/wp-content/uploads/2022/01/ekatalog_podnikanie-so-srdcomRSP.jpg" TargetMode="External"/><Relationship Id="rId203" Type="http://schemas.openxmlformats.org/officeDocument/2006/relationships/hyperlink" Target="https://katalogsp.sk/allegria-kosice-isp-s-r-o/" TargetMode="External"/><Relationship Id="rId324" Type="http://schemas.openxmlformats.org/officeDocument/2006/relationships/hyperlink" Target="https://katalogsp.sk/wp-content/uploads/2021/12/Obecne-sluzby-Rybnik-s.r.o.-banner1-E-katalog-RSP.jpg" TargetMode="External"/><Relationship Id="rId445" Type="http://schemas.openxmlformats.org/officeDocument/2006/relationships/hyperlink" Target="https://katalogsp.sk/unicarback-slovakia-s-r-o/" TargetMode="External"/><Relationship Id="rId566" Type="http://schemas.openxmlformats.org/officeDocument/2006/relationships/hyperlink" Target="https://katalogsp.sk/papuca-vk-s-r-o/" TargetMode="External"/><Relationship Id="rId209" Type="http://schemas.openxmlformats.org/officeDocument/2006/relationships/hyperlink" Target="https://katalogsp.sk/lubivka-s-r-o/" TargetMode="External"/><Relationship Id="rId208" Type="http://schemas.openxmlformats.org/officeDocument/2006/relationships/hyperlink" Target="https://katalogsp.sk/wp-content/uploads/2021/12/Lubivka-main2.jpg" TargetMode="External"/><Relationship Id="rId329" Type="http://schemas.openxmlformats.org/officeDocument/2006/relationships/hyperlink" Target="https://katalogsp.sk/olbl-s-r-o/" TargetMode="External"/><Relationship Id="rId207" Type="http://schemas.openxmlformats.org/officeDocument/2006/relationships/hyperlink" Target="https://katalogsp.sk/obcianske-zdruzenie-integrujeme/" TargetMode="External"/><Relationship Id="rId328" Type="http://schemas.openxmlformats.org/officeDocument/2006/relationships/hyperlink" Target="https://katalogsp.sk/wp-content/uploads/2021/12/OLBL-s.r.o-banner3-E-katalog-RSP.jpg" TargetMode="External"/><Relationship Id="rId449" Type="http://schemas.openxmlformats.org/officeDocument/2006/relationships/hyperlink" Target="https://katalogsp.sk/stavbarsk-s-r-o/" TargetMode="External"/><Relationship Id="rId440" Type="http://schemas.openxmlformats.org/officeDocument/2006/relationships/hyperlink" Target="https://katalogsp.sk/wp-content/uploads/2022/01/ekatalog_podnikanie-so-srdcomRSP.jpg" TargetMode="External"/><Relationship Id="rId561" Type="http://schemas.openxmlformats.org/officeDocument/2006/relationships/hyperlink" Target="https://katalogsp.sk/wp-content/uploads/2022/01/ekatalog_podnikanie-so-srdcomRSP.jpg" TargetMode="External"/><Relationship Id="rId560" Type="http://schemas.openxmlformats.org/officeDocument/2006/relationships/hyperlink" Target="https://katalogsp.sk/sweet-revelation-s-r-o-r-s-p/" TargetMode="External"/><Relationship Id="rId202" Type="http://schemas.openxmlformats.org/officeDocument/2006/relationships/hyperlink" Target="https://katalogsp.sk/wp-content/uploads/2021/12/Allegria-3.jpg" TargetMode="External"/><Relationship Id="rId323" Type="http://schemas.openxmlformats.org/officeDocument/2006/relationships/hyperlink" Target="https://katalogsp.sk/zedko-s-r-o/" TargetMode="External"/><Relationship Id="rId444" Type="http://schemas.openxmlformats.org/officeDocument/2006/relationships/hyperlink" Target="https://katalogsp.sk/wp-content/uploads/2022/01/Unicarback-banner-EkatalogRSP1.jpg" TargetMode="External"/><Relationship Id="rId565" Type="http://schemas.openxmlformats.org/officeDocument/2006/relationships/hyperlink" Target="https://katalogsp.sk/wp-content/uploads/2022/01/ekatalog_podnikanie-so-srdcomRSP.jpg" TargetMode="External"/><Relationship Id="rId201" Type="http://schemas.openxmlformats.org/officeDocument/2006/relationships/hyperlink" Target="https://katalogsp.sk/o-z-detske-dopravne-ihrisko-sobrance/" TargetMode="External"/><Relationship Id="rId322" Type="http://schemas.openxmlformats.org/officeDocument/2006/relationships/hyperlink" Target="https://katalogsp.sk/wp-content/uploads/2021/12/ZEDKO-s.r.o.-logo1-E-katalog-RSP.jpg" TargetMode="External"/><Relationship Id="rId443" Type="http://schemas.openxmlformats.org/officeDocument/2006/relationships/hyperlink" Target="https://katalogsp.sk/ligado-s-r-o/" TargetMode="External"/><Relationship Id="rId564" Type="http://schemas.openxmlformats.org/officeDocument/2006/relationships/hyperlink" Target="https://katalogsp.sk/regio-plus-s-r-o/" TargetMode="External"/><Relationship Id="rId200" Type="http://schemas.openxmlformats.org/officeDocument/2006/relationships/hyperlink" Target="https://katalogsp.sk/wp-content/uploads/2022/01/Detske-dopravne-ihrisko-Sobrance-main.jpg" TargetMode="External"/><Relationship Id="rId321" Type="http://schemas.openxmlformats.org/officeDocument/2006/relationships/hyperlink" Target="https://katalogsp.sk/komunitne-centrum-kompas/" TargetMode="External"/><Relationship Id="rId442" Type="http://schemas.openxmlformats.org/officeDocument/2006/relationships/hyperlink" Target="https://katalogsp.sk/wp-content/uploads/2022/01/ekatalog_podnikanie-so-srdcomRSP.jpg" TargetMode="External"/><Relationship Id="rId563" Type="http://schemas.openxmlformats.org/officeDocument/2006/relationships/hyperlink" Target="https://katalogsp.sk/wp-content/uploads/2022/01/ekatalog_podnikanie-so-srdcomRSP.jpg" TargetMode="External"/><Relationship Id="rId320" Type="http://schemas.openxmlformats.org/officeDocument/2006/relationships/hyperlink" Target="https://katalogsp.sk/wp-content/uploads/2021/12/Komunitne-centrum-Kompas-logo1-E-katalog-RSP.jpg" TargetMode="External"/><Relationship Id="rId441" Type="http://schemas.openxmlformats.org/officeDocument/2006/relationships/hyperlink" Target="https://katalogsp.sk/trebaxx-s-r-o/" TargetMode="External"/><Relationship Id="rId562" Type="http://schemas.openxmlformats.org/officeDocument/2006/relationships/hyperlink" Target="https://katalogsp.sk/edenal-s-r-o/" TargetMode="External"/><Relationship Id="rId316" Type="http://schemas.openxmlformats.org/officeDocument/2006/relationships/hyperlink" Target="https://katalogsp.sk/wp-content/uploads/2021/12/Betliar-3.jpg" TargetMode="External"/><Relationship Id="rId437" Type="http://schemas.openxmlformats.org/officeDocument/2006/relationships/hyperlink" Target="https://katalogsp.sk/aquaunion-s-r-o-r-s-p/" TargetMode="External"/><Relationship Id="rId558" Type="http://schemas.openxmlformats.org/officeDocument/2006/relationships/hyperlink" Target="https://katalogsp.sk/sp-detva-s-r-o/" TargetMode="External"/><Relationship Id="rId315" Type="http://schemas.openxmlformats.org/officeDocument/2006/relationships/hyperlink" Target="https://katalogsp.sk/m-hand-s-r-o/" TargetMode="External"/><Relationship Id="rId436" Type="http://schemas.openxmlformats.org/officeDocument/2006/relationships/hyperlink" Target="https://katalogsp.sk/wp-content/uploads/2022/01/ekatalog_podnikanie-so-srdcomRSP.jpg" TargetMode="External"/><Relationship Id="rId557" Type="http://schemas.openxmlformats.org/officeDocument/2006/relationships/hyperlink" Target="https://katalogsp.sk/wp-content/uploads/2022/01/ekatalog_podnikanie-so-srdcomRSP.jpg" TargetMode="External"/><Relationship Id="rId314" Type="http://schemas.openxmlformats.org/officeDocument/2006/relationships/hyperlink" Target="https://katalogsp.sk/wp-content/uploads/2022/01/ekatalog_podnikanie-so-srdcomRSP.jpg" TargetMode="External"/><Relationship Id="rId435" Type="http://schemas.openxmlformats.org/officeDocument/2006/relationships/hyperlink" Target="https://katalogsp.sk/zakamenske-sluzby-s-r-o/" TargetMode="External"/><Relationship Id="rId556" Type="http://schemas.openxmlformats.org/officeDocument/2006/relationships/hyperlink" Target="https://katalogsp.sk/obecny-podnik-zborov-nad-bystricou-s-r-o/" TargetMode="External"/><Relationship Id="rId313" Type="http://schemas.openxmlformats.org/officeDocument/2006/relationships/hyperlink" Target="https://katalogsp.sk/lipa-s-r-o/" TargetMode="External"/><Relationship Id="rId434" Type="http://schemas.openxmlformats.org/officeDocument/2006/relationships/hyperlink" Target="https://katalogsp.sk/wp-content/uploads/2022/01/Zakamenske-sluzby-s.-r.-o.-Oplotenie-cintorin-II.-E-katalogRSP.jpg" TargetMode="External"/><Relationship Id="rId555" Type="http://schemas.openxmlformats.org/officeDocument/2006/relationships/hyperlink" Target="https://katalogsp.sk/wp-content/uploads/2022/01/Obecny-podnik-Zborov-nad-Bystricou1.jpg" TargetMode="External"/><Relationship Id="rId319" Type="http://schemas.openxmlformats.org/officeDocument/2006/relationships/hyperlink" Target="https://katalogsp.sk/masaze-s-r-o/" TargetMode="External"/><Relationship Id="rId318" Type="http://schemas.openxmlformats.org/officeDocument/2006/relationships/hyperlink" Target="https://katalogsp.sk/wp-content/uploads/2022/01/ekatalog_podnikanie-so-srdcomRSP.jpg" TargetMode="External"/><Relationship Id="rId439" Type="http://schemas.openxmlformats.org/officeDocument/2006/relationships/hyperlink" Target="https://katalogsp.sk/gazdovske-speciality-bystriansky-s-r-o/" TargetMode="External"/><Relationship Id="rId317" Type="http://schemas.openxmlformats.org/officeDocument/2006/relationships/hyperlink" Target="https://katalogsp.sk/obecny-podnik-sluzieb-betliar-s-r-o-registrovany-socialny-podnik/" TargetMode="External"/><Relationship Id="rId438" Type="http://schemas.openxmlformats.org/officeDocument/2006/relationships/hyperlink" Target="https://katalogsp.sk/wp-content/uploads/2022/01/GAZDOVSKE-SPECIALITY-Bystriansky-E-katalog-RSP-1.jpg" TargetMode="External"/><Relationship Id="rId559" Type="http://schemas.openxmlformats.org/officeDocument/2006/relationships/hyperlink" Target="https://katalogsp.sk/wp-content/uploads/2022/01/Sweetrevelation2.jpg" TargetMode="External"/><Relationship Id="rId550" Type="http://schemas.openxmlformats.org/officeDocument/2006/relationships/hyperlink" Target="https://katalogsp.sk/j-j-m-t-s-r-o/" TargetMode="External"/><Relationship Id="rId312" Type="http://schemas.openxmlformats.org/officeDocument/2006/relationships/hyperlink" Target="https://katalogsp.sk/wp-content/uploads/2021/12/LIPA-logo-banner1.jpg" TargetMode="External"/><Relationship Id="rId433" Type="http://schemas.openxmlformats.org/officeDocument/2006/relationships/hyperlink" Target="https://katalogsp.sk/matky-v-praci-s-r-o/" TargetMode="External"/><Relationship Id="rId554" Type="http://schemas.openxmlformats.org/officeDocument/2006/relationships/hyperlink" Target="https://katalogsp.sk/adventim-n-o/" TargetMode="External"/><Relationship Id="rId311" Type="http://schemas.openxmlformats.org/officeDocument/2006/relationships/hyperlink" Target="https://katalogsp.sk/agrofarma-krskany-s-r-o/" TargetMode="External"/><Relationship Id="rId432" Type="http://schemas.openxmlformats.org/officeDocument/2006/relationships/hyperlink" Target="https://katalogsp.sk/wp-content/uploads/2021/12/Matky-v-praci-banner1.jpg" TargetMode="External"/><Relationship Id="rId553" Type="http://schemas.openxmlformats.org/officeDocument/2006/relationships/hyperlink" Target="https://katalogsp.sk/wp-content/uploads/2022/01/ekatalog_podnikanie-so-srdcomRSP.jpg" TargetMode="External"/><Relationship Id="rId310" Type="http://schemas.openxmlformats.org/officeDocument/2006/relationships/hyperlink" Target="https://katalogsp.sk/wp-content/uploads/2022/01/ekatalog_podnikanie-so-srdcomRSP.jpg" TargetMode="External"/><Relationship Id="rId431" Type="http://schemas.openxmlformats.org/officeDocument/2006/relationships/hyperlink" Target="https://katalogsp.sk/kondor-sp-s-r-o/" TargetMode="External"/><Relationship Id="rId552" Type="http://schemas.openxmlformats.org/officeDocument/2006/relationships/hyperlink" Target="https://katalogsp.sk/miror-s-r-o/" TargetMode="External"/><Relationship Id="rId430" Type="http://schemas.openxmlformats.org/officeDocument/2006/relationships/hyperlink" Target="https://katalogsp.sk/wp-content/uploads/2022/01/ekatalog_podnikanie-so-srdcomRSP.jpg" TargetMode="External"/><Relationship Id="rId551" Type="http://schemas.openxmlformats.org/officeDocument/2006/relationships/hyperlink" Target="https://katalogsp.sk/wp-content/uploads/2022/01/Miror3.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wp-content/uploads/2021/12/Oblatky-banner2-E-katalog-RSP.jpg" TargetMode="External"/><Relationship Id="rId2" Type="http://schemas.openxmlformats.org/officeDocument/2006/relationships/hyperlink" Target="https://katalogsp.sk/oblatky-s-r-o/" TargetMode="External"/><Relationship Id="rId3" Type="http://schemas.openxmlformats.org/officeDocument/2006/relationships/hyperlink" Target="https://katalogsp.sk/wp-content/uploads/2022/01/Celia-banner-E-katalogRSP6.jpg" TargetMode="External"/><Relationship Id="rId4" Type="http://schemas.openxmlformats.org/officeDocument/2006/relationships/hyperlink" Target="https://katalogsp.sk/celia-shop-s-r-o/"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33.75"/>
    <col customWidth="1" min="11" max="11" width="11.5"/>
    <col customWidth="1" min="12" max="12" width="17.13"/>
    <col customWidth="1" min="13" max="13" width="17.38"/>
    <col customWidth="1" min="14" max="14" width="31.63"/>
    <col customWidth="1" min="15" max="16" width="12.63"/>
    <col customWidth="1" min="17" max="17" width="15.75"/>
    <col customWidth="1" min="18" max="21" width="18.5"/>
    <col customWidth="1" min="22" max="22" width="20.0"/>
    <col customWidth="1" min="23" max="23" width="28.25"/>
    <col customWidth="1" min="24" max="24" width="32.88"/>
    <col customWidth="1" min="25" max="25" width="33.63"/>
    <col customWidth="1" min="26" max="26" width="8.13"/>
    <col customWidth="1" min="27" max="27" width="6.75"/>
    <col customWidth="1" min="28" max="28" width="9.38"/>
    <col customWidth="1" min="29" max="29" width="7.0"/>
    <col customWidth="1" min="30" max="30" width="9.88"/>
    <col customWidth="1" min="31" max="31" width="8.0"/>
    <col customWidth="1" min="32" max="32" width="8.63"/>
    <col customWidth="1" min="33" max="33" width="11.13"/>
    <col customWidth="1" min="34" max="34" width="6.38"/>
    <col customWidth="1" min="35" max="35" width="7.75"/>
    <col customWidth="1" min="36" max="36" width="15.38"/>
    <col customWidth="1" min="38" max="38" width="9.63"/>
    <col customWidth="1" min="39" max="39" width="7.88"/>
    <col customWidth="1" min="41" max="41" width="19.38"/>
    <col customWidth="1" min="42" max="42" width="14.63"/>
  </cols>
  <sheetData>
    <row r="1" ht="63.75" customHeight="1">
      <c r="A1" s="1" t="s">
        <v>0</v>
      </c>
      <c r="B1" s="2" t="s">
        <v>1</v>
      </c>
      <c r="C1" s="3" t="s">
        <v>2</v>
      </c>
      <c r="D1" s="4" t="s">
        <v>3</v>
      </c>
      <c r="E1" s="1" t="s">
        <v>4</v>
      </c>
      <c r="F1" s="4" t="s">
        <v>5</v>
      </c>
      <c r="G1" s="1" t="s">
        <v>6</v>
      </c>
      <c r="H1" s="4" t="s">
        <v>7</v>
      </c>
      <c r="I1" s="1" t="s">
        <v>8</v>
      </c>
      <c r="J1" s="1" t="s">
        <v>9</v>
      </c>
      <c r="K1" s="1" t="s">
        <v>10</v>
      </c>
      <c r="L1" s="1" t="s">
        <v>11</v>
      </c>
      <c r="M1" s="5" t="s">
        <v>12</v>
      </c>
      <c r="N1" s="6" t="s">
        <v>13</v>
      </c>
      <c r="O1" s="5" t="s">
        <v>14</v>
      </c>
      <c r="P1" s="5" t="s">
        <v>15</v>
      </c>
      <c r="Q1" s="5" t="s">
        <v>16</v>
      </c>
      <c r="R1" s="7" t="s">
        <v>17</v>
      </c>
      <c r="S1" s="7" t="s">
        <v>18</v>
      </c>
      <c r="T1" s="7" t="s">
        <v>19</v>
      </c>
      <c r="U1" s="7" t="s">
        <v>20</v>
      </c>
      <c r="V1" s="8" t="s">
        <v>21</v>
      </c>
      <c r="W1" s="7" t="s">
        <v>22</v>
      </c>
      <c r="X1" s="9" t="s">
        <v>23</v>
      </c>
      <c r="Y1" s="9" t="s">
        <v>24</v>
      </c>
      <c r="Z1" s="10" t="s">
        <v>25</v>
      </c>
      <c r="AA1" s="11" t="s">
        <v>26</v>
      </c>
      <c r="AB1" s="12" t="s">
        <v>27</v>
      </c>
      <c r="AC1" s="12" t="s">
        <v>28</v>
      </c>
      <c r="AD1" s="12" t="s">
        <v>29</v>
      </c>
      <c r="AE1" s="13" t="s">
        <v>30</v>
      </c>
      <c r="AF1" s="14" t="s">
        <v>31</v>
      </c>
      <c r="AG1" s="13" t="s">
        <v>32</v>
      </c>
      <c r="AH1" s="14" t="s">
        <v>33</v>
      </c>
      <c r="AI1" s="15" t="s">
        <v>34</v>
      </c>
      <c r="AJ1" s="15" t="s">
        <v>35</v>
      </c>
      <c r="AK1" s="15" t="s">
        <v>36</v>
      </c>
      <c r="AL1" s="16" t="s">
        <v>37</v>
      </c>
      <c r="AM1" s="17" t="s">
        <v>38</v>
      </c>
      <c r="AN1" s="17" t="s">
        <v>39</v>
      </c>
      <c r="AO1" s="18" t="s">
        <v>40</v>
      </c>
      <c r="AP1" s="19" t="s">
        <v>41</v>
      </c>
    </row>
    <row r="2" ht="15.75" customHeight="1">
      <c r="A2" s="20"/>
      <c r="B2" s="21" t="s">
        <v>42</v>
      </c>
      <c r="C2" s="21" t="s">
        <v>42</v>
      </c>
      <c r="D2" s="22"/>
      <c r="E2" s="23" t="s">
        <v>43</v>
      </c>
      <c r="F2" s="24" t="s">
        <v>42</v>
      </c>
      <c r="G2" s="25" t="s">
        <v>44</v>
      </c>
      <c r="H2" s="24" t="s">
        <v>42</v>
      </c>
      <c r="I2" s="25" t="s">
        <v>45</v>
      </c>
      <c r="J2" s="25" t="s">
        <v>46</v>
      </c>
      <c r="K2" s="25"/>
      <c r="L2" s="25" t="s">
        <v>47</v>
      </c>
      <c r="M2" s="26"/>
      <c r="N2" s="26"/>
      <c r="O2" s="27" t="s">
        <v>42</v>
      </c>
      <c r="P2" s="28" t="s">
        <v>48</v>
      </c>
      <c r="Q2" s="28" t="s">
        <v>49</v>
      </c>
      <c r="R2" s="29" t="s">
        <v>42</v>
      </c>
      <c r="S2" s="30" t="s">
        <v>42</v>
      </c>
      <c r="T2" s="30" t="s">
        <v>42</v>
      </c>
      <c r="U2" s="30" t="s">
        <v>42</v>
      </c>
      <c r="V2" s="31" t="s">
        <v>42</v>
      </c>
      <c r="W2" s="30" t="s">
        <v>42</v>
      </c>
      <c r="X2" s="32"/>
      <c r="Y2" s="32"/>
      <c r="Z2" s="33"/>
      <c r="AA2" s="33"/>
      <c r="AB2" s="32"/>
      <c r="AC2" s="34"/>
      <c r="AD2" s="35"/>
      <c r="AE2" s="34"/>
      <c r="AF2" s="35"/>
      <c r="AG2" s="35"/>
      <c r="AH2" s="35"/>
      <c r="AI2" s="35"/>
      <c r="AJ2" s="34"/>
      <c r="AK2" s="35"/>
      <c r="AL2" s="35"/>
      <c r="AM2" s="36"/>
      <c r="AN2" s="36"/>
      <c r="AO2" s="37"/>
      <c r="AP2" s="38"/>
    </row>
    <row r="3" ht="15.75" customHeight="1">
      <c r="A3" s="39"/>
      <c r="B3" s="40">
        <v>1.0</v>
      </c>
      <c r="C3" s="41" t="s">
        <v>50</v>
      </c>
      <c r="D3" s="42" t="s">
        <v>51</v>
      </c>
      <c r="E3" s="43" t="str">
        <f t="shared" ref="E3:E334" si="1">CONCATENATE(D3,", &amp;#32celé Slovensko")</f>
        <v>Prešovský kraj, &amp;#32celé Slovensko</v>
      </c>
      <c r="F3" s="42" t="s">
        <v>52</v>
      </c>
      <c r="G3" s="43" t="str">
        <f t="shared" ref="G3:G334" si="2">CONCATENATE(F3,", &amp;#32všetky kategórie")</f>
        <v>zvieratá, &amp;#32všetky kategórie</v>
      </c>
      <c r="H3" s="44" t="s">
        <v>53</v>
      </c>
      <c r="I3" s="45" t="str">
        <f t="shared" ref="I3:I334" si="3">CONCATENATE(H3,", &amp;#32všetky možnosti")</f>
        <v>1 - 5, &amp;#32všetky možnosti</v>
      </c>
      <c r="J3" s="46" t="str">
        <f t="shared" ref="J3:J334" si="4">AM3&amp;","&amp;AN3</f>
        <v>,</v>
      </c>
      <c r="K3" s="47">
        <f t="shared" ref="K3:K334" si="5">IF(LEN(U3)&gt;1, RAND()*TODAY(),RAND())</f>
        <v>38901.77022</v>
      </c>
      <c r="L3" s="46"/>
      <c r="M3" s="48" t="str">
        <f>IFERROR(__xludf.DUMMYFUNCTION("SPLIT(O3,"","")"),"Štefánikova 27")</f>
        <v>Štefánikova 27</v>
      </c>
      <c r="N3" s="48" t="str">
        <f>IFERROR(__xludf.DUMMYFUNCTION("""COMPUTED_VALUE""")," 066 01 Humenné ")</f>
        <v> 066 01 Humenné </v>
      </c>
      <c r="O3" s="49" t="s">
        <v>54</v>
      </c>
      <c r="P3" s="50">
        <v>48.9341288</v>
      </c>
      <c r="Q3" s="50">
        <v>21.9061811</v>
      </c>
      <c r="R3" s="51" t="s">
        <v>55</v>
      </c>
      <c r="S3" s="52" t="s">
        <v>56</v>
      </c>
      <c r="T3" s="53" t="s">
        <v>57</v>
      </c>
      <c r="U3" s="54" t="s">
        <v>58</v>
      </c>
      <c r="V3" s="55" t="s">
        <v>59</v>
      </c>
      <c r="W3" s="56" t="s">
        <v>60</v>
      </c>
      <c r="X3" s="57" t="s">
        <v>61</v>
      </c>
      <c r="Y3" s="58" t="s">
        <v>62</v>
      </c>
      <c r="Z3" s="59" t="s">
        <v>63</v>
      </c>
      <c r="AA3" s="60" t="s">
        <v>64</v>
      </c>
      <c r="AB3" s="61"/>
      <c r="AC3" s="62"/>
      <c r="AD3" s="63"/>
      <c r="AE3" s="64"/>
      <c r="AF3" s="65"/>
      <c r="AG3" s="66"/>
      <c r="AH3" s="67"/>
      <c r="AI3" s="65"/>
      <c r="AJ3" s="65"/>
      <c r="AK3" s="66"/>
      <c r="AL3" s="67"/>
      <c r="AM3" s="36"/>
      <c r="AN3" s="65"/>
      <c r="AO3" s="68" t="str">
        <f t="shared" ref="AO3:AO334" si="6">REPLACE_ACCENTED(C3&amp;" "&amp;G3&amp;" "&amp;N3&amp;" "&amp;R3&amp;" "&amp;S3&amp;" "&amp;X3&amp;" "&amp;Y3&amp;" "&amp;Z3&amp;" "&amp;AB3&amp;" "&amp;AC3&amp;" "&amp;AD3&amp;" "&amp;AF3&amp;" "&amp;AG3&amp;" "&amp;AH3&amp;" "&amp;AJ3&amp;" "&amp;AK3&amp;" "&amp;AL3&amp;" "&amp;AM3&amp;" "&amp;AN3)</f>
        <v>POMAHAJ a CHRAN, obcianske zdruzenie zvierata, &amp;#32vsetky kategorie  066 01 Humenne  Zabezpecujeme zakonny odchyt tulavych zvierat a naslednu starostlivost o ne. Chranime zvierata, zivotne prostredie, prepajame tuto cinnost s trhom prace, na ktorom vyhladavame znevyhodnene a zranitelne skupiny obyvatelov, ktorym ponukame moznost zamestnania a osobneho rozvoja (napr. jeden z nasich dobrovolnikov sa postupne stal zamestnancom a aktualne studuje kynologiu).  Karantenna stanica Humenske Labky Ponukame psikov a macky. pes, macka, ochrana zvierat, utulok           </v>
      </c>
      <c r="AP3" s="69" t="s">
        <v>41</v>
      </c>
    </row>
    <row r="4" ht="15.75" customHeight="1">
      <c r="A4" s="45"/>
      <c r="B4" s="70">
        <v>2.0</v>
      </c>
      <c r="C4" s="41" t="s">
        <v>65</v>
      </c>
      <c r="D4" s="42" t="s">
        <v>66</v>
      </c>
      <c r="E4" s="43" t="str">
        <f t="shared" si="1"/>
        <v>Žilinský kraj, &amp;#32celé Slovensko</v>
      </c>
      <c r="F4" s="71" t="s">
        <v>67</v>
      </c>
      <c r="G4" s="43" t="str">
        <f t="shared" si="2"/>
        <v>odpady a recyklácia, auto-moto, iné (tovary a služby), &amp;#32všetky kategórie</v>
      </c>
      <c r="H4" s="72" t="s">
        <v>68</v>
      </c>
      <c r="I4" s="45" t="str">
        <f t="shared" si="3"/>
        <v>16 - 20, &amp;#32všetky možnosti</v>
      </c>
      <c r="J4" s="46" t="str">
        <f t="shared" si="4"/>
        <v>,Register partnerov VS</v>
      </c>
      <c r="K4" s="47">
        <f t="shared" si="5"/>
        <v>26174.63324</v>
      </c>
      <c r="L4" s="45"/>
      <c r="M4" s="48" t="str">
        <f>IFERROR(__xludf.DUMMYFUNCTION("SPLIT(O4,"","")"),"Krasňany 285")</f>
        <v>Krasňany 285</v>
      </c>
      <c r="N4" s="48" t="str">
        <f>IFERROR(__xludf.DUMMYFUNCTION("""COMPUTED_VALUE""")," 013 03 Krasňany")</f>
        <v> 013 03 Krasňany</v>
      </c>
      <c r="O4" s="49" t="s">
        <v>69</v>
      </c>
      <c r="P4" s="50">
        <v>49.2145131</v>
      </c>
      <c r="Q4" s="50">
        <v>18.8827902</v>
      </c>
      <c r="R4" s="73" t="s">
        <v>70</v>
      </c>
      <c r="S4" s="52" t="s">
        <v>71</v>
      </c>
      <c r="T4" s="74" t="s">
        <v>72</v>
      </c>
      <c r="U4" s="75" t="s">
        <v>73</v>
      </c>
      <c r="V4" s="55" t="s">
        <v>74</v>
      </c>
      <c r="W4" s="76" t="s">
        <v>75</v>
      </c>
      <c r="X4" s="77" t="s">
        <v>76</v>
      </c>
      <c r="Y4" s="78" t="s">
        <v>77</v>
      </c>
      <c r="Z4" s="63" t="s">
        <v>78</v>
      </c>
      <c r="AA4" s="79" t="s">
        <v>64</v>
      </c>
      <c r="AB4" s="65"/>
      <c r="AC4" s="66"/>
      <c r="AD4" s="67"/>
      <c r="AE4" s="65"/>
      <c r="AF4" s="65"/>
      <c r="AG4" s="66"/>
      <c r="AH4" s="67"/>
      <c r="AI4" s="65"/>
      <c r="AJ4" s="65"/>
      <c r="AK4" s="66"/>
      <c r="AL4" s="67"/>
      <c r="AM4" s="52"/>
      <c r="AN4" s="80" t="s">
        <v>39</v>
      </c>
      <c r="AO4" s="68" t="str">
        <f t="shared" si="6"/>
        <v>Krasplast spol. s r.o. odpady a recyklacia, auto-moto, ine (tovary a sluzby), &amp;#32vsetky kategorie  013 03 Krasnany Montaz jednoduchych komponentov pre automobilovy priemysel,  vyroba gazovych vyrobkov, triedenie a drvenie cistych priemyselnych plastov - vyroba plastovej drviny, balenie a distribucia cistiacich a priemyselnych rohozi. Zamestnavame zamestnancov so zdravotnym znevyhodnenim, umoznujeme aj inkluziu obcanov s tazsim zdravotnym postihnutim v pracovnom procese. Krasplast Montaz jednoduchych komponentov pre automobilovy priemysel, vyroba gazovych vyrobkov, triedenie a drvenie cistych plastov - vyroba plastovej drviny, balenie a distribucia cistiacich a priemyselnych rohozi plastova drvina, cistiace rohoze, priemyselne rohoze, rucne operacie, automotive, montaz           Register partnerov VS</v>
      </c>
      <c r="AP4" s="69" t="s">
        <v>41</v>
      </c>
    </row>
    <row r="5" ht="15.75" customHeight="1">
      <c r="A5" s="45"/>
      <c r="B5" s="70">
        <v>3.0</v>
      </c>
      <c r="C5" s="41" t="s">
        <v>79</v>
      </c>
      <c r="D5" s="42" t="s">
        <v>80</v>
      </c>
      <c r="E5" s="43" t="str">
        <f t="shared" si="1"/>
        <v>Trnavský kraj, &amp;#32celé Slovensko</v>
      </c>
      <c r="F5" s="71" t="s">
        <v>81</v>
      </c>
      <c r="G5" s="43" t="str">
        <f t="shared" si="2"/>
        <v>obaly, reklama, iné (tovary a služby), kovovýroba, &amp;#32všetky kategórie</v>
      </c>
      <c r="H5" s="44" t="s">
        <v>82</v>
      </c>
      <c r="I5" s="45" t="str">
        <f t="shared" si="3"/>
        <v>11 - 15, &amp;#32všetky možnosti</v>
      </c>
      <c r="J5" s="46" t="str">
        <f t="shared" si="4"/>
        <v>,Register partnerov VS</v>
      </c>
      <c r="K5" s="47">
        <f t="shared" si="5"/>
        <v>12004.57424</v>
      </c>
      <c r="L5" s="45"/>
      <c r="M5" s="48" t="str">
        <f>IFERROR(__xludf.DUMMYFUNCTION("SPLIT(O5,"","")"),"Kasárenská 1504/51")</f>
        <v>Kasárenská 1504/51</v>
      </c>
      <c r="N5" s="48" t="str">
        <f>IFERROR(__xludf.DUMMYFUNCTION("""COMPUTED_VALUE""")," 905 01 Senica")</f>
        <v> 905 01 Senica</v>
      </c>
      <c r="O5" s="49" t="s">
        <v>83</v>
      </c>
      <c r="P5" s="50">
        <v>48.6707591</v>
      </c>
      <c r="Q5" s="50">
        <v>17.3535012</v>
      </c>
      <c r="R5" s="73" t="s">
        <v>84</v>
      </c>
      <c r="S5" s="52" t="s">
        <v>85</v>
      </c>
      <c r="T5" s="81" t="s">
        <v>86</v>
      </c>
      <c r="U5" s="75" t="s">
        <v>87</v>
      </c>
      <c r="V5" s="55" t="s">
        <v>88</v>
      </c>
      <c r="W5" s="76" t="s">
        <v>89</v>
      </c>
      <c r="X5" s="77" t="s">
        <v>90</v>
      </c>
      <c r="Y5" s="78" t="s">
        <v>91</v>
      </c>
      <c r="Z5" s="63" t="s">
        <v>92</v>
      </c>
      <c r="AA5" s="79" t="s">
        <v>64</v>
      </c>
      <c r="AB5" s="65"/>
      <c r="AC5" s="66"/>
      <c r="AD5" s="67"/>
      <c r="AE5" s="65"/>
      <c r="AF5" s="65"/>
      <c r="AG5" s="66"/>
      <c r="AH5" s="67"/>
      <c r="AI5" s="65"/>
      <c r="AJ5" s="65"/>
      <c r="AK5" s="66"/>
      <c r="AL5" s="67"/>
      <c r="AM5" s="52"/>
      <c r="AN5" s="80" t="s">
        <v>39</v>
      </c>
      <c r="AO5" s="68" t="str">
        <f t="shared" si="6"/>
        <v>CNCteam, s.r.o. obaly, reklama, ine (tovary a sluzby), kovovyroba, &amp;#32vsetky kategorie  905 01 Senica Tlac, vyroba obalov, vyroba kartonovych krabic, CNC frezovanie, reklama. Zamestnavame prevazne ludi s telesnym znevyhodnenim. CNCteam Vyroba kartonovych obalov, reklamna tlac, CNC frezovanie. kartonove krabice, 3D reklama, obaly, karton, CNC, kovovyroba           Register partnerov VS</v>
      </c>
      <c r="AP5" s="82"/>
    </row>
    <row r="6" ht="15.75" customHeight="1">
      <c r="A6" s="45"/>
      <c r="B6" s="70">
        <v>4.0</v>
      </c>
      <c r="C6" s="41" t="s">
        <v>93</v>
      </c>
      <c r="D6" s="42" t="s">
        <v>94</v>
      </c>
      <c r="E6" s="43" t="str">
        <f t="shared" si="1"/>
        <v>Bratislavský kraj, &amp;#32celé Slovensko</v>
      </c>
      <c r="F6" s="42" t="s">
        <v>95</v>
      </c>
      <c r="G6" s="43" t="str">
        <f t="shared" si="2"/>
        <v>čistiace a upratovacie služby, ochrana a bezpečnosť, vzdelávanie, účtovníctvo a poradenstvo, kultúra a šport, krása-zdravie-relax, reklama, odevy a obuv, iné (tovary a služby), &amp;#32všetky kategórie</v>
      </c>
      <c r="H6" s="44" t="s">
        <v>96</v>
      </c>
      <c r="I6" s="45" t="str">
        <f t="shared" si="3"/>
        <v>6 - 10, &amp;#32všetky možnosti</v>
      </c>
      <c r="J6" s="46" t="str">
        <f t="shared" si="4"/>
        <v>,</v>
      </c>
      <c r="K6" s="47">
        <f t="shared" si="5"/>
        <v>12077.76237</v>
      </c>
      <c r="L6" s="45"/>
      <c r="M6" s="48" t="str">
        <f>IFERROR(__xludf.DUMMYFUNCTION("SPLIT(O6,"","")"),"Betliarska 22")</f>
        <v>Betliarska 22</v>
      </c>
      <c r="N6" s="48" t="str">
        <f>IFERROR(__xludf.DUMMYFUNCTION("""COMPUTED_VALUE""")," 851 07 Bratislava - mestská časť Petržalka")</f>
        <v> 851 07 Bratislava - mestská časť Petržalka</v>
      </c>
      <c r="O6" s="49" t="s">
        <v>97</v>
      </c>
      <c r="P6" s="50">
        <v>48.0986015999999</v>
      </c>
      <c r="Q6" s="50">
        <v>17.1128697</v>
      </c>
      <c r="R6" s="73" t="s">
        <v>98</v>
      </c>
      <c r="S6" s="52" t="s">
        <v>99</v>
      </c>
      <c r="T6" s="81" t="s">
        <v>100</v>
      </c>
      <c r="U6" s="75" t="s">
        <v>101</v>
      </c>
      <c r="V6" s="55" t="s">
        <v>102</v>
      </c>
      <c r="W6" s="76" t="s">
        <v>103</v>
      </c>
      <c r="X6" s="77" t="s">
        <v>104</v>
      </c>
      <c r="Y6" s="78" t="s">
        <v>105</v>
      </c>
      <c r="Z6" s="63" t="s">
        <v>106</v>
      </c>
      <c r="AA6" s="79" t="s">
        <v>64</v>
      </c>
      <c r="AB6" s="65"/>
      <c r="AC6" s="66"/>
      <c r="AD6" s="67"/>
      <c r="AE6" s="65"/>
      <c r="AF6" s="65"/>
      <c r="AG6" s="66"/>
      <c r="AH6" s="67"/>
      <c r="AI6" s="65"/>
      <c r="AJ6" s="65"/>
      <c r="AK6" s="66"/>
      <c r="AL6" s="67"/>
      <c r="AM6" s="36"/>
      <c r="AN6" s="65"/>
      <c r="AO6" s="68" t="str">
        <f t="shared" si="6"/>
        <v>LAW &amp; POLITICAL SCIENCE AGENCY s.r.o., r. s. p., skratka L&amp;P s.r.o., r. s. p. cistiace a upratovacie sluzby, ochrana a bezpecnost, vzdelavanie, uctovnictvo a poradenstvo, kultura a sport, krasa-zdravie-relax, reklama, odevy a obuv, ine (tovary a sluzby), &amp;#32vsetky kategorie  851 07 Bratislava - mestska cast Petrzalka Patrime medzi stabilne a silne spolocnosti v Slovenskej republike. Svojim portfoliom sluzieb a ich komplexnostou sme jedinecni a rozumieme korporatnym procesom. Prinasame kvalitne sluzby, menime postoje ludi a zbavujeme ich predsudkov. Prinasame moderny pohlad na socialne podnikanie a sny o vzajomnej uzitocnosti a prospesnosti znevyhodnenych a zranitelnych ludi na otvorenom trhu pretvarame na realitu.
Nase sluzby su zamerane na:
- administrativu,
- poradensku cinnost v oblasti GDPR, BOZP a PO,
- marketing a reklamne predmety,
- potlac predmetov,
- skolenia zamestnancov,
- organizovanie eventov a firemnych akcii,
- graficke prace a dizajn,
- sluzby na kluc.
Transformujeme dobre napady do atraktivnych produktov a sluzieb pre nasich zakaznikov a partnerov. Budeme pocteni, ak si nas zvolite ako svojho dodavatela ci partnera.
 Nasa spolocnost je spolocensky prospesna v dvoch smeroch.  Prvy je integracny socialny podnik, ktory zamestnava znevyhodnene a zranitelne osoby. 
Druhy je vseobecny socialny podnik, co je v nasom podani sluzba pridanej spolocenskej hodnoty, a to v poskytovani informovanosti pre FO a PO v oblasti integracie a socializacie ludi so zdravotnym znevyhodnenim do spolocenskeho a pracovneho zivota. 
Uvedena sluzba je bezplatna a je sucastou kazdej nasej sluzby, ci uz existujucej alebo novovznikajucej. Nasou snahou je zvysovat povedomie o vzajomnej prospesnosti a uzitocnosti spoluprace medzi zdravou populaciou a populaciou so zdravotnym znevyhodnenim.  
Pre fyzicke osoby je sluzba zamerana na:
a) 	oboznamenie sa s moznostami uplatnenia sa na trhu prace,
b) 	ziskanie podpory formou kompenzacii v sukromnom a pracovnom zivote,
c) 	analyzu stavu fyzickych osob, ci splnaju podmienky aby mali narok na body a) a b); ide napriklad o moznosti ziskania kompenzacii na osobnu asistenciu, kompenzacne pomocky, napr. invalidny vozik, PC, multifunkcne zariadenie, vycvik s pomockou, kupu osobneho automobilu a pod.
Pre pravnicke osoby je sluzba zamerana na:
a) 	oboznamenie sa s moznostami uplatnenia integracie a socializacie ludi so zdravotnym znevyhodnenim na trhu prace,
b) 	ziskanie podpory formou kompenzacii v pracovnom zivote,
c) 	analyza stavu pravnickych osob, ci splnaju podmienky aby mali narok na body a) a b); ide napriklad o moznosti ziskania kompenzacii na pracovnu asistenciu, tvorbu pracovnych miest, bezbarierovost pracovisk a pod.
 LAW &amp; POLITICAL SCIENCE AGENCY s.r.o., r. s. p. , skratka L&amp;P s.r.o., r. s .p. Integracny socialny podnik sa zameriava na poskytovanie komercnych sluzieb, ako:
- aAdministrativa,
- graficke prace,
- oOrganizovanie eventov, firemnych akcii,
- sSkolenia a mentoring,
- 	BOZP a P,O 
- ochrana osobnych udajov GDPR
- potlac predmetov,
- poradenstvo v oblasti zamestnavania znevyhodnenych uchadzacov o zamestnanie
 administrativa, grafika, reklamne predmety, BOZP, GDPR, PO, eventy, firemne akcie, skolenia, sluzby na kluc, potlac predmetov, poradenstvo, ochranne pracovne pomocky           </v>
      </c>
      <c r="AP6" s="69" t="s">
        <v>41</v>
      </c>
    </row>
    <row r="7" ht="15.75" customHeight="1">
      <c r="A7" s="45"/>
      <c r="B7" s="70">
        <v>5.0</v>
      </c>
      <c r="C7" s="41" t="s">
        <v>107</v>
      </c>
      <c r="D7" s="42" t="s">
        <v>51</v>
      </c>
      <c r="E7" s="43" t="str">
        <f t="shared" si="1"/>
        <v>Prešovský kraj, &amp;#32celé Slovensko</v>
      </c>
      <c r="F7" s="71" t="s">
        <v>108</v>
      </c>
      <c r="G7" s="43" t="str">
        <f t="shared" si="2"/>
        <v>čistiace a upratovacie služby, stavebníctvo, &amp;#32všetky kategórie</v>
      </c>
      <c r="H7" s="44" t="s">
        <v>53</v>
      </c>
      <c r="I7" s="45" t="str">
        <f t="shared" si="3"/>
        <v>1 - 5, &amp;#32všetky možnosti</v>
      </c>
      <c r="J7" s="46" t="str">
        <f t="shared" si="4"/>
        <v>,Register partnerov VS</v>
      </c>
      <c r="K7" s="47">
        <f t="shared" si="5"/>
        <v>39621.04351</v>
      </c>
      <c r="L7" s="45"/>
      <c r="M7" s="48" t="str">
        <f>IFERROR(__xludf.DUMMYFUNCTION("SPLIT(O7,"","")"),"Lesnica 26")</f>
        <v>Lesnica 26</v>
      </c>
      <c r="N7" s="48" t="str">
        <f>IFERROR(__xludf.DUMMYFUNCTION("""COMPUTED_VALUE""")," 065 33 Lesnica")</f>
        <v> 065 33 Lesnica</v>
      </c>
      <c r="O7" s="49" t="s">
        <v>109</v>
      </c>
      <c r="P7" s="50">
        <v>49.40023</v>
      </c>
      <c r="Q7" s="50">
        <v>20.4730448</v>
      </c>
      <c r="R7" s="78" t="s">
        <v>110</v>
      </c>
      <c r="S7" s="52" t="s">
        <v>111</v>
      </c>
      <c r="T7" s="81" t="s">
        <v>86</v>
      </c>
      <c r="U7" s="75" t="s">
        <v>112</v>
      </c>
      <c r="V7" s="55" t="s">
        <v>113</v>
      </c>
      <c r="W7" s="76" t="s">
        <v>114</v>
      </c>
      <c r="X7" s="77" t="s">
        <v>115</v>
      </c>
      <c r="Y7" s="83">
        <v>0.0</v>
      </c>
      <c r="Z7" s="63" t="s">
        <v>116</v>
      </c>
      <c r="AA7" s="79" t="s">
        <v>64</v>
      </c>
      <c r="AB7" s="65"/>
      <c r="AC7" s="66"/>
      <c r="AD7" s="67"/>
      <c r="AE7" s="65"/>
      <c r="AF7" s="65"/>
      <c r="AG7" s="66"/>
      <c r="AH7" s="67"/>
      <c r="AI7" s="65"/>
      <c r="AJ7" s="65"/>
      <c r="AK7" s="66"/>
      <c r="AL7" s="67"/>
      <c r="AM7" s="52"/>
      <c r="AN7" s="80" t="s">
        <v>39</v>
      </c>
      <c r="AO7" s="68" t="str">
        <f t="shared" si="6"/>
        <v>Lesnica - tradicia Pienin s.r.o., r.s.p. cistiace a upratovacie sluzby, stavebnictvo, &amp;#32vsetky kategorie  065 33 Lesnica Cistiace a upratovacie sluzby, pripravne prace k realizacii stavby, zimna a letna udrzba komunikacii. Sme zamestnavatelom osob zo zranitelnych skupin a znevyhodnenych osob. nemame 0 cistiace sluzby, upratovanie, pripravne prace k realizacii stavby, zimna udrzba komunikacii, letna udrzba komunikacii, pripravne prace, stavba, stavebne prace           Register partnerov VS</v>
      </c>
      <c r="AP7" s="82"/>
    </row>
    <row r="8" ht="15.75" customHeight="1">
      <c r="A8" s="45"/>
      <c r="B8" s="70">
        <v>6.0</v>
      </c>
      <c r="C8" s="41" t="s">
        <v>117</v>
      </c>
      <c r="D8" s="42" t="s">
        <v>80</v>
      </c>
      <c r="E8" s="43" t="str">
        <f t="shared" si="1"/>
        <v>Trnavský kraj, &amp;#32celé Slovensko</v>
      </c>
      <c r="F8" s="71" t="s">
        <v>118</v>
      </c>
      <c r="G8" s="43" t="str">
        <f t="shared" si="2"/>
        <v>vzdelávanie, pre deti, odpady a recyklácia, iné (tovary a služby), &amp;#32všetky kategórie</v>
      </c>
      <c r="H8" s="44" t="s">
        <v>82</v>
      </c>
      <c r="I8" s="45" t="str">
        <f t="shared" si="3"/>
        <v>11 - 15, &amp;#32všetky možnosti</v>
      </c>
      <c r="J8" s="46" t="str">
        <f t="shared" si="4"/>
        <v>,Register partnerov VS</v>
      </c>
      <c r="K8" s="47">
        <f t="shared" si="5"/>
        <v>27188.20519</v>
      </c>
      <c r="L8" s="45"/>
      <c r="M8" s="48" t="str">
        <f>IFERROR(__xludf.DUMMYFUNCTION("SPLIT(O8,"","")"),"Ulica Hospodárska 45")</f>
        <v>Ulica Hospodárska 45</v>
      </c>
      <c r="N8" s="48" t="str">
        <f>IFERROR(__xludf.DUMMYFUNCTION("""COMPUTED_VALUE""")," 917 01 Trnava ")</f>
        <v> 917 01 Trnava </v>
      </c>
      <c r="O8" s="49" t="s">
        <v>119</v>
      </c>
      <c r="P8" s="50">
        <v>48.3742558999999</v>
      </c>
      <c r="Q8" s="50">
        <v>17.5819493</v>
      </c>
      <c r="R8" s="78" t="s">
        <v>120</v>
      </c>
      <c r="S8" s="52" t="s">
        <v>121</v>
      </c>
      <c r="T8" s="81" t="s">
        <v>122</v>
      </c>
      <c r="U8" s="75" t="s">
        <v>123</v>
      </c>
      <c r="V8" s="84" t="s">
        <v>124</v>
      </c>
      <c r="W8" s="76" t="s">
        <v>125</v>
      </c>
      <c r="X8" s="77" t="s">
        <v>126</v>
      </c>
      <c r="Y8" s="78" t="s">
        <v>127</v>
      </c>
      <c r="Z8" s="63" t="s">
        <v>128</v>
      </c>
      <c r="AA8" s="85" t="s">
        <v>129</v>
      </c>
      <c r="AB8" s="65" t="s">
        <v>130</v>
      </c>
      <c r="AC8" s="66" t="s">
        <v>131</v>
      </c>
      <c r="AD8" s="67" t="s">
        <v>132</v>
      </c>
      <c r="AE8" s="65" t="s">
        <v>64</v>
      </c>
      <c r="AF8" s="65"/>
      <c r="AG8" s="66"/>
      <c r="AH8" s="67"/>
      <c r="AI8" s="65"/>
      <c r="AJ8" s="65"/>
      <c r="AK8" s="66"/>
      <c r="AL8" s="67"/>
      <c r="AM8" s="52"/>
      <c r="AN8" s="80" t="s">
        <v>39</v>
      </c>
      <c r="AO8" s="68" t="str">
        <f t="shared" si="6"/>
        <v>SVDM s. r. o. vzdelavanie, pre deti, odpady a recyklacia, ine (tovary a sluzby), &amp;#32vsetky kategorie  917 01 Trnava  Primarne sa spolocnost vo vsetkych svojich aktivitach sustredi na podporu cirkularnej ekonomiky. Prostrednictvom tovarov (bezobalova drogeria), sluzieb (konzultacie, odborne poradenstvo v oblasti CE), podujati (kurzy, swapy, prednasky), vzdelavania (verejnost a skoly) a prevadzkovania reuse centier dava zakaznikom nastroje na udrzatelnejsi zivot,  ohladuplnejsi k prirode i k ostatnym.  Spolocensky dopad spociva v ochrane zivotneho prostredia, vzdelavani a vychove, rozvoji duchovnych a kulturnych hodnot a v poskytovani socialnej pomoci organizaciam a ludom v nudzi. Dopadom je budovanie zodpovednej, uvedomelej a spravodlivej spolocnosti prostrednictvom osvojovania si novych zrucnosti a vedomosti, ako i generovanie socialneho kapitalu.
 Baterkaren Baterkaren v sebe skryva bezobalovu drogeriu, miesto pre podujatia, vzdelavanie, dobrovolnictvo a 1. reuse centrum na Slovensku, v ktorom mesacne vratime do obehu viac ako 1000 ks zdanlivo nepotrebnych veci (oblecenie, knihy, hracky, rastliny, ...). bezobalova drogeria, prirodna kozmetika, potreby do domacnosti, sady na tvorenie, konzultacie, poradenstvo, cirkularna ekonomika, vzdelavanie, kurzy, swapy, second hand, komunita, dobrovolnictvo, aktivizmus  Reuse Centrum Back2Life Prevadzka sa zameriava vylucne na kolobeh predmetov. Reuse centrum je miestom, do ktoreho mozu zakaznici priniest nepotrebne, no funkcne predmety a odniest si predmety prinesene inymi zakaznikmi za symbolicke prispevky.  Najdu tu potreby do domacnosti, knihy, hracky, potreby na cestovanie ci sport, detske potreby, ... reuse centrum, bazar, cirkularna ekonomika, z druhej ruky, komunita, knihy, hracky, domacnost, dom a zahrada, dekoracie, darceky, ekologia,        Register partnerov VS</v>
      </c>
      <c r="AP8" s="82"/>
    </row>
    <row r="9" ht="15.75" customHeight="1">
      <c r="A9" s="45"/>
      <c r="B9" s="70">
        <v>7.0</v>
      </c>
      <c r="C9" s="41" t="s">
        <v>133</v>
      </c>
      <c r="D9" s="42" t="s">
        <v>134</v>
      </c>
      <c r="E9" s="43" t="str">
        <f t="shared" si="1"/>
        <v>Trenčiansky kraj, &amp;#32celé Slovensko</v>
      </c>
      <c r="F9" s="71" t="s">
        <v>135</v>
      </c>
      <c r="G9" s="43" t="str">
        <f t="shared" si="2"/>
        <v>čistiace a upratovacie služby, poľnohospodárstvo a lesníctvo, stavebníctvo, doprava, ubytovacie a stravovacie služby, odpady a recyklácia, dom a záhrada, &amp;#32všetky kategórie</v>
      </c>
      <c r="H9" s="44" t="s">
        <v>96</v>
      </c>
      <c r="I9" s="45" t="str">
        <f t="shared" si="3"/>
        <v>6 - 10, &amp;#32všetky možnosti</v>
      </c>
      <c r="J9" s="46" t="str">
        <f t="shared" si="4"/>
        <v>,Register partnerov VS</v>
      </c>
      <c r="K9" s="47">
        <f t="shared" si="5"/>
        <v>25920.75186</v>
      </c>
      <c r="L9" s="45"/>
      <c r="M9" s="48" t="str">
        <f>IFERROR(__xludf.DUMMYFUNCTION("SPLIT(O9,"","")"),"Nová Bošáca 79")</f>
        <v>Nová Bošáca 79</v>
      </c>
      <c r="N9" s="48" t="str">
        <f>IFERROR(__xludf.DUMMYFUNCTION("""COMPUTED_VALUE""")," 913 08 Nová Bošáca")</f>
        <v> 913 08 Nová Bošáca</v>
      </c>
      <c r="O9" s="49" t="s">
        <v>136</v>
      </c>
      <c r="P9" s="50">
        <v>48.8798128</v>
      </c>
      <c r="Q9" s="50">
        <v>17.7974994</v>
      </c>
      <c r="R9" s="73" t="s">
        <v>137</v>
      </c>
      <c r="S9" s="52" t="s">
        <v>138</v>
      </c>
      <c r="T9" s="81" t="s">
        <v>86</v>
      </c>
      <c r="U9" s="75" t="s">
        <v>139</v>
      </c>
      <c r="V9" s="55" t="s">
        <v>140</v>
      </c>
      <c r="W9" s="76" t="s">
        <v>141</v>
      </c>
      <c r="X9" s="77" t="s">
        <v>142</v>
      </c>
      <c r="Y9" s="78" t="s">
        <v>143</v>
      </c>
      <c r="Z9" s="63" t="s">
        <v>144</v>
      </c>
      <c r="AA9" s="79" t="s">
        <v>64</v>
      </c>
      <c r="AB9" s="65"/>
      <c r="AC9" s="66"/>
      <c r="AD9" s="67"/>
      <c r="AE9" s="65"/>
      <c r="AF9" s="65"/>
      <c r="AG9" s="66"/>
      <c r="AH9" s="67"/>
      <c r="AI9" s="65"/>
      <c r="AJ9" s="65"/>
      <c r="AK9" s="66"/>
      <c r="AL9" s="67"/>
      <c r="AM9" s="52"/>
      <c r="AN9" s="80" t="s">
        <v>39</v>
      </c>
      <c r="AO9" s="68" t="str">
        <f t="shared" si="6"/>
        <v>Obecne sluzby Nova Bosaca s. r. o. cistiace a upratovacie sluzby, polnohospodarstvo a lesnictvo, stavebnictvo, doprava, ubytovacie a stravovacie sluzby, odpady a recyklacia, dom a zahrada, &amp;#32vsetky kategorie  913 08 Nova Bosaca Ponuka hlavnych pracovnych cinnosti: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a vodovodov, zemne, vykopove a buracie prace, prace so zvihacim zariadenim, s hydraulickou rukou, oprava verejneho osvetlenia, verejneho rozhlasu, cistiace a upratovacie sluzby, udrzba budov, prenajom vysuvneho rebrika, party stanov, zahradnych pivnych setov, prenajom vibracnej dosky, ubytovacie sluzby, vyroba a rozvod tepla, vykon cinnosti stavbyveduceho, kalendar,  cennik sluzieb, odpady, vzory ziadosti, SMS rozhlas Integracia obcanov so zdravotnym znevyhodnenim, vykon pracovnych cinnosti v prospech obcanov obce - verejneho zaujmu. Obecne sluzby Nova Bosaca s.r.o.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prevadzkovanie verejnych vodovodov, zemne, vykopove a buracie prace, prace so zvihacim zariadenim, hydraulickou rukou, oprava verejneho osvetlenia, verejneho rozhlasu, cistiace a upratovacie sluzby, udrzba budov, prenajom vysuvneho rebrika, party stanov,  zahradnych pivnych setov, prenajom vibracnej dosky, ubytovacie sluzby, vyroba tepla, rozvod tepla, vykon cinnosti stavbyveduceho stavebna cinnost, zemne prace, buracie prace, kosenie, vyroba tepla, sprava bytovych domov, autobusove zastavky, lavicky, uprava verejnych priestranstiev, triedenie odpadov, verejne osvetlenie, verejna zelen, opravy, kanalizacie           Register partnerov VS</v>
      </c>
      <c r="AP9" s="82"/>
    </row>
    <row r="10" ht="15.75" customHeight="1">
      <c r="A10" s="45"/>
      <c r="B10" s="70">
        <v>8.0</v>
      </c>
      <c r="C10" s="41" t="s">
        <v>145</v>
      </c>
      <c r="D10" s="42" t="s">
        <v>66</v>
      </c>
      <c r="E10" s="43" t="str">
        <f t="shared" si="1"/>
        <v>Žilinský kraj, &amp;#32celé Slovensko</v>
      </c>
      <c r="F10" s="71" t="s">
        <v>146</v>
      </c>
      <c r="G10" s="43" t="str">
        <f t="shared" si="2"/>
        <v>čistiace a upratovacie služby, poľnohospodárstvo a lesníctvo, dom a záhrada, účtovníctvo a poradenstvo, odpady a recyklácia, &amp;#32všetky kategórie</v>
      </c>
      <c r="H10" s="44" t="s">
        <v>68</v>
      </c>
      <c r="I10" s="45" t="str">
        <f t="shared" si="3"/>
        <v>16 - 20, &amp;#32všetky možnosti</v>
      </c>
      <c r="J10" s="46" t="str">
        <f t="shared" si="4"/>
        <v>,Register partnerov VS</v>
      </c>
      <c r="K10" s="47">
        <f t="shared" si="5"/>
        <v>27286.39705</v>
      </c>
      <c r="L10" s="45"/>
      <c r="M10" s="48" t="str">
        <f>IFERROR(__xludf.DUMMYFUNCTION("SPLIT(O10,"","")"),"Partizánska 1859/33")</f>
        <v>Partizánska 1859/33</v>
      </c>
      <c r="N10" s="48" t="str">
        <f>IFERROR(__xludf.DUMMYFUNCTION("""COMPUTED_VALUE""")," 038 53 Turany ")</f>
        <v> 038 53 Turany </v>
      </c>
      <c r="O10" s="49" t="s">
        <v>147</v>
      </c>
      <c r="P10" s="50">
        <v>49.1196470999999</v>
      </c>
      <c r="Q10" s="50">
        <v>19.0369088</v>
      </c>
      <c r="R10" s="73" t="s">
        <v>148</v>
      </c>
      <c r="S10" s="52" t="s">
        <v>149</v>
      </c>
      <c r="T10" s="81" t="s">
        <v>86</v>
      </c>
      <c r="U10" s="75" t="s">
        <v>150</v>
      </c>
      <c r="V10" s="55" t="s">
        <v>151</v>
      </c>
      <c r="W10" s="76" t="s">
        <v>152</v>
      </c>
      <c r="X10" s="77" t="s">
        <v>153</v>
      </c>
      <c r="Y10" s="78" t="s">
        <v>154</v>
      </c>
      <c r="Z10" s="63" t="s">
        <v>155</v>
      </c>
      <c r="AA10" s="79" t="s">
        <v>64</v>
      </c>
      <c r="AB10" s="65"/>
      <c r="AC10" s="66"/>
      <c r="AD10" s="67"/>
      <c r="AE10" s="65"/>
      <c r="AF10" s="65"/>
      <c r="AG10" s="66"/>
      <c r="AH10" s="67"/>
      <c r="AI10" s="65"/>
      <c r="AJ10" s="65"/>
      <c r="AK10" s="66"/>
      <c r="AL10" s="67"/>
      <c r="AM10" s="52"/>
      <c r="AN10" s="80" t="s">
        <v>39</v>
      </c>
      <c r="AO10" s="68" t="str">
        <f t="shared" si="6"/>
        <v>MH ASIST, s. r. o. cistiace a upratovacie sluzby, polnohospodarstvo a lesnictvo, dom a zahrada, uctovnictvo a poradenstvo, odpady a recyklacia, &amp;#32vsetky kategorie  038 53 Turany  Spolocnost MH ASIST vznikla vo februari 2020, ako spolocnost, ktora sa zaobera lesopestevnou cinnostou (vysadba a osetrovanie lesa), ako aj upratovacimi pracami v ramci regionu. V tejto dobe sa sustredujeme na buducu nosnu cinnost spolocnosti, a to je poskytovanie sluzieb pri spracovani a zhodnocovani BRO a BRKO ( biologicky rozlozitelne a kuchynske odpady) formou edukacie, zabezpecenia technologickeho zazemia, ale aj realne poskytovanie spracovania vlastnou technikou. Momentalne pracujeme aj na vybavovani povoleni pre zriadenie ambulantnej kompostarne.  Nielen ze zamestnavame zranitelne a znevyhodnene osoby, ale sa snazime posobit aj poradensky pre ostatne socialne podniky, nakolko sme absolvovali schvalovaci proces v ramci vyzvy INVESTICNA POMOC PRE SOCIALNE PODNIKY - NENAVRATNA ZLOZKA a tak isto posobit edukativne v oblasti ekologie. MH ASIST Lesopestevna cinnost, upratovacie prace, sluzby pri spracovani a zhodnocovani BRO a BRKO, poradenska cinnost pri spracovani BRO a BRKO a zabezpecovanie technickeho a technologickeho zazemia. spracovanie BRO a BRKO, dodavka technologii skladovania a spracovania BRO a BRKO, biologicky odpad, odpadove technologie           Register partnerov VS</v>
      </c>
      <c r="AP10" s="82"/>
    </row>
    <row r="11" ht="15.75" customHeight="1">
      <c r="A11" s="45"/>
      <c r="B11" s="70">
        <v>9.0</v>
      </c>
      <c r="C11" s="41" t="s">
        <v>156</v>
      </c>
      <c r="D11" s="42" t="s">
        <v>134</v>
      </c>
      <c r="E11" s="43" t="str">
        <f t="shared" si="1"/>
        <v>Trenčiansky kraj, &amp;#32celé Slovensko</v>
      </c>
      <c r="F11" s="71" t="s">
        <v>157</v>
      </c>
      <c r="G11" s="43" t="str">
        <f t="shared" si="2"/>
        <v>cestovný ruch, vzdelávanie, pre deti, zvieratá, &amp;#32všetky kategórie</v>
      </c>
      <c r="H11" s="44" t="s">
        <v>96</v>
      </c>
      <c r="I11" s="45" t="str">
        <f t="shared" si="3"/>
        <v>6 - 10, &amp;#32všetky možnosti</v>
      </c>
      <c r="J11" s="46" t="str">
        <f t="shared" si="4"/>
        <v>,</v>
      </c>
      <c r="K11" s="47">
        <f t="shared" si="5"/>
        <v>19758.78104</v>
      </c>
      <c r="L11" s="45"/>
      <c r="M11" s="48" t="str">
        <f>IFERROR(__xludf.DUMMYFUNCTION("SPLIT(O11,"","")"),"Lubina 821")</f>
        <v>Lubina 821</v>
      </c>
      <c r="N11" s="48" t="str">
        <f>IFERROR(__xludf.DUMMYFUNCTION("""COMPUTED_VALUE""")," 916 12 Lubina")</f>
        <v> 916 12 Lubina</v>
      </c>
      <c r="O11" s="49" t="s">
        <v>158</v>
      </c>
      <c r="P11" s="50">
        <v>48.820016</v>
      </c>
      <c r="Q11" s="50">
        <v>17.7041792</v>
      </c>
      <c r="R11" s="73" t="s">
        <v>159</v>
      </c>
      <c r="S11" s="52" t="s">
        <v>160</v>
      </c>
      <c r="T11" s="81" t="s">
        <v>161</v>
      </c>
      <c r="U11" s="75" t="s">
        <v>162</v>
      </c>
      <c r="V11" s="55" t="s">
        <v>163</v>
      </c>
      <c r="W11" s="76" t="s">
        <v>164</v>
      </c>
      <c r="X11" s="77" t="s">
        <v>165</v>
      </c>
      <c r="Y11" s="78" t="s">
        <v>166</v>
      </c>
      <c r="Z11" s="63" t="s">
        <v>167</v>
      </c>
      <c r="AA11" s="79" t="s">
        <v>64</v>
      </c>
      <c r="AB11" s="65"/>
      <c r="AC11" s="66"/>
      <c r="AD11" s="67"/>
      <c r="AE11" s="65"/>
      <c r="AF11" s="65"/>
      <c r="AG11" s="66"/>
      <c r="AH11" s="67"/>
      <c r="AI11" s="65"/>
      <c r="AJ11" s="65"/>
      <c r="AK11" s="66"/>
      <c r="AL11" s="67"/>
      <c r="AM11" s="36"/>
      <c r="AN11" s="65"/>
      <c r="AO11" s="68" t="str">
        <f t="shared" si="6"/>
        <v>Minifarma s. r. o. cestovny ruch, vzdelavanie, pre deti, zvierata, &amp;#32vsetky kategorie  916 12 Lubina Spolocnost Minifarma s.r.o. bola zalozena v roku 2013. Jej hlavnou podnikatelskou cinnostou je cestovny ruch - prevadzkovanie detskeho arealu MiniFARMA, mimoskolska vzdelavacia cinnost a organizovanie podujati. Hlavnou myslienkou prevadzky Minifarma je poskytnut detom a ich rodicom co najvacsi zazitok z priameho kontaktu so zvieratkami v lone krasnej prirody.  MiniFARMA zamestnava a bude zamestnavat zranitelne a znevyhodnene osoby. Ich zamestnavanim spolocnost sleduje ciel ich socialneho zaclenenia. MiniFARMA prevadzkuje detsky vonkajsi areal, zamerany na prezentaciu hospodarskych zvierat a na aktivny oddych rodin v prirode. V neposlednom rade, MiniFARMA organizuje tvorive dielne,  podujatia a workshopy v spolupraci s remeselnikmi a drobnymi zivnostnikmi.  MiniFARMA Hlavnou myslienkou prevadzky MiniFARMA je poskytnut detom a ich rodicom co najvacsi zazitok z priameho kontaktu so zvieratkami v lone krasnej prirody. Na priestore presahujucom jeden hektar zije celorocne viac ako 100 zvierat, ktore su jedinecne hlavne malym vzrastom. Zvierata si navstevnici mozu pozriet zblizka, krmit, hladkat ich alebo pozorovat, ako sa spravaju v ich prirodzenom prostredi. Sucastou prevadzky su aj oddychove zony – lavicky, ihriska, hojdacie siete, ci sedacie vaky. Pre navstevnikov su atraktivne aj pravidelne podujatia, konajuce sa na farme pri roznych prilezitostiach.  kontaktna farma, zazitok, vylet, zoo, organizovane skupiny           </v>
      </c>
      <c r="AP11" s="82"/>
    </row>
    <row r="12" ht="15.75" customHeight="1">
      <c r="A12" s="45"/>
      <c r="B12" s="70">
        <v>10.0</v>
      </c>
      <c r="C12" s="41" t="s">
        <v>168</v>
      </c>
      <c r="D12" s="42" t="s">
        <v>51</v>
      </c>
      <c r="E12" s="43" t="str">
        <f t="shared" si="1"/>
        <v>Prešovský kraj, &amp;#32celé Slovensko</v>
      </c>
      <c r="F12" s="71" t="s">
        <v>169</v>
      </c>
      <c r="G12" s="43" t="str">
        <f t="shared" si="2"/>
        <v>poľnohospodárstvo a lesníctvo, stavebníctvo, iné (tovary a služby), &amp;#32všetky kategórie</v>
      </c>
      <c r="H12" s="44" t="s">
        <v>170</v>
      </c>
      <c r="I12" s="45" t="str">
        <f t="shared" si="3"/>
        <v>21 a viac, &amp;#32všetky možnosti</v>
      </c>
      <c r="J12" s="46" t="str">
        <f t="shared" si="4"/>
        <v>,Register partnerov VS</v>
      </c>
      <c r="K12" s="47">
        <f t="shared" si="5"/>
        <v>994.6946176</v>
      </c>
      <c r="L12" s="45"/>
      <c r="M12" s="48" t="str">
        <f>IFERROR(__xludf.DUMMYFUNCTION("SPLIT(O12,"","")"),"Hlavná 154")</f>
        <v>Hlavná 154</v>
      </c>
      <c r="N12" s="48" t="str">
        <f>IFERROR(__xludf.DUMMYFUNCTION("""COMPUTED_VALUE""")," 086 41  Raslavice")</f>
        <v> 086 41  Raslavice</v>
      </c>
      <c r="O12" s="49" t="s">
        <v>171</v>
      </c>
      <c r="P12" s="50">
        <v>49.1541515</v>
      </c>
      <c r="Q12" s="50">
        <v>21.314614</v>
      </c>
      <c r="R12" s="73" t="s">
        <v>172</v>
      </c>
      <c r="S12" s="52" t="s">
        <v>173</v>
      </c>
      <c r="T12" s="81" t="s">
        <v>86</v>
      </c>
      <c r="U12" s="75" t="s">
        <v>174</v>
      </c>
      <c r="V12" s="55" t="s">
        <v>175</v>
      </c>
      <c r="W12" s="76" t="s">
        <v>176</v>
      </c>
      <c r="X12" s="77" t="s">
        <v>177</v>
      </c>
      <c r="Y12" s="78" t="s">
        <v>178</v>
      </c>
      <c r="Z12" s="63" t="s">
        <v>179</v>
      </c>
      <c r="AA12" s="79" t="s">
        <v>64</v>
      </c>
      <c r="AB12" s="65"/>
      <c r="AC12" s="66"/>
      <c r="AD12" s="67"/>
      <c r="AE12" s="65"/>
      <c r="AF12" s="65"/>
      <c r="AG12" s="66"/>
      <c r="AH12" s="67"/>
      <c r="AI12" s="65"/>
      <c r="AJ12" s="65"/>
      <c r="AK12" s="66"/>
      <c r="AL12" s="67"/>
      <c r="AM12" s="52"/>
      <c r="AN12" s="80" t="s">
        <v>39</v>
      </c>
      <c r="AO12" s="68" t="str">
        <f t="shared" si="6"/>
        <v>Obecne sluzby Raslavice, s. r. o. polnohospodarstvo a lesnictvo, stavebnictvo, ine (tovary a sluzby), &amp;#32vsetky kategorie  086 41  Raslavice Stavebna cinnost, autobusova doprava, vykopove prace strojom JCB, pestovanie a predaj zeleniny. Percentom zamestnavania znevyhodnenych osob. Obecne sluzby Raslavice, s.r.o. Stavebna cinnost, vykopove prace, predaj zeleniny. stavebne prace, predaj zeleniny, zemiaky, korenova zelenina, stavebne prace           Register partnerov VS</v>
      </c>
      <c r="AP12" s="69" t="s">
        <v>41</v>
      </c>
    </row>
    <row r="13" ht="15.75" customHeight="1">
      <c r="A13" s="45"/>
      <c r="B13" s="70">
        <v>11.0</v>
      </c>
      <c r="C13" s="41" t="s">
        <v>180</v>
      </c>
      <c r="D13" s="42" t="s">
        <v>181</v>
      </c>
      <c r="E13" s="43" t="str">
        <f t="shared" si="1"/>
        <v>Banskobystrický kraj, &amp;#32celé Slovensko</v>
      </c>
      <c r="F13" s="71" t="s">
        <v>182</v>
      </c>
      <c r="G13" s="43" t="str">
        <f t="shared" si="2"/>
        <v>nábytok a bytové doplnky, dom a záhrada, auto-moto, iné (tovary a služby), kovovýroba, &amp;#32všetky kategórie</v>
      </c>
      <c r="H13" s="44" t="s">
        <v>170</v>
      </c>
      <c r="I13" s="45" t="str">
        <f t="shared" si="3"/>
        <v>21 a viac, &amp;#32všetky možnosti</v>
      </c>
      <c r="J13" s="46" t="str">
        <f t="shared" si="4"/>
        <v>,Register partnerov VS</v>
      </c>
      <c r="K13" s="47">
        <f t="shared" si="5"/>
        <v>44547.85311</v>
      </c>
      <c r="L13" s="45"/>
      <c r="M13" s="48" t="str">
        <f>IFERROR(__xludf.DUMMYFUNCTION("SPLIT(O13,"","")"),"Sklárska 1958")</f>
        <v>Sklárska 1958</v>
      </c>
      <c r="N13" s="48" t="str">
        <f>IFERROR(__xludf.DUMMYFUNCTION("""COMPUTED_VALUE""")," 962 05 Hriňová")</f>
        <v> 962 05 Hriňová</v>
      </c>
      <c r="O13" s="49" t="s">
        <v>183</v>
      </c>
      <c r="P13" s="50">
        <v>48.596525</v>
      </c>
      <c r="Q13" s="50">
        <v>19.540742</v>
      </c>
      <c r="R13" s="78" t="s">
        <v>184</v>
      </c>
      <c r="S13" s="52" t="s">
        <v>185</v>
      </c>
      <c r="T13" s="81" t="s">
        <v>86</v>
      </c>
      <c r="U13" s="75" t="s">
        <v>186</v>
      </c>
      <c r="V13" s="55" t="s">
        <v>187</v>
      </c>
      <c r="W13" s="76" t="s">
        <v>188</v>
      </c>
      <c r="X13" s="77" t="s">
        <v>189</v>
      </c>
      <c r="Y13" s="78" t="s">
        <v>190</v>
      </c>
      <c r="Z13" s="63" t="s">
        <v>191</v>
      </c>
      <c r="AA13" s="79" t="s">
        <v>64</v>
      </c>
      <c r="AB13" s="65"/>
      <c r="AC13" s="66"/>
      <c r="AD13" s="67"/>
      <c r="AE13" s="65"/>
      <c r="AF13" s="65"/>
      <c r="AG13" s="66"/>
      <c r="AH13" s="67"/>
      <c r="AI13" s="65"/>
      <c r="AJ13" s="65"/>
      <c r="AK13" s="66"/>
      <c r="AL13" s="67"/>
      <c r="AM13" s="52"/>
      <c r="AN13" s="80" t="s">
        <v>39</v>
      </c>
      <c r="AO13" s="68" t="str">
        <f t="shared" si="6"/>
        <v>KNK NAKO, vyrobne druzstvo nabytok a bytove doplnky, dom a zahrada, auto-moto, ine (tovary a sluzby), kovovyroba, &amp;#32vsetky kategorie  962 05 Hrinova Sme tradicny slovensky vyrobca nabytkovych kovani a komponentov, ako aj inych vyrobkov z ocele, nerezovej ocele, hlinika, odliatkov zo zinkozliatiny alebo plastov pre nabytkarsky i automobilovy priemysel a ine odvetvia. Nasa firma je spolocensky prospesna v tom, ze zamestnavame znevyhodnene a zranitelne osoby, aby sa mohli pracovne realizovat, zaclenit sa do pracovneho prostredia.  KNK NAKO, vyrobne druzstvo, registrovany socialny podnik Nabytkove kovania, dielce pre automobilovy priemysel, kovovyroba. nabytkove kovania, dielce pre automobilovy priemysel, kovovyroba, ocelove konstrukcie na skolsky nabytok, konstrukcie na postele, stolicky, prezentacne stoly, voziky pre obchodne domy, nakupne voziky, komponenty na kovove a satnove skrinky, stlpiky zabradli, vetracie kryty strojov           Register partnerov VS</v>
      </c>
      <c r="AP13" s="69" t="s">
        <v>41</v>
      </c>
    </row>
    <row r="14" ht="15.75" customHeight="1">
      <c r="A14" s="45"/>
      <c r="B14" s="70">
        <v>12.0</v>
      </c>
      <c r="C14" s="41" t="s">
        <v>192</v>
      </c>
      <c r="D14" s="42" t="s">
        <v>80</v>
      </c>
      <c r="E14" s="43" t="str">
        <f t="shared" si="1"/>
        <v>Trnavský kraj, &amp;#32celé Slovensko</v>
      </c>
      <c r="F14" s="71" t="s">
        <v>193</v>
      </c>
      <c r="G14" s="43" t="str">
        <f t="shared" si="2"/>
        <v>elektro, počítačová a kancelárska technika, &amp;#32všetky kategórie</v>
      </c>
      <c r="H14" s="44" t="s">
        <v>82</v>
      </c>
      <c r="I14" s="45" t="str">
        <f t="shared" si="3"/>
        <v>11 - 15, &amp;#32všetky možnosti</v>
      </c>
      <c r="J14" s="46" t="str">
        <f t="shared" si="4"/>
        <v>,</v>
      </c>
      <c r="K14" s="47">
        <f t="shared" si="5"/>
        <v>38625.2978</v>
      </c>
      <c r="L14" s="45"/>
      <c r="M14" s="48" t="str">
        <f>IFERROR(__xludf.DUMMYFUNCTION("SPLIT(O14,"","")"),"Strojárenská 1C")</f>
        <v>Strojárenská 1C</v>
      </c>
      <c r="N14" s="48" t="str">
        <f>IFERROR(__xludf.DUMMYFUNCTION("""COMPUTED_VALUE""")," 917 02 Trnava")</f>
        <v> 917 02 Trnava</v>
      </c>
      <c r="O14" s="49" t="s">
        <v>194</v>
      </c>
      <c r="P14" s="50">
        <v>48.3548432</v>
      </c>
      <c r="Q14" s="50">
        <v>17.5719975</v>
      </c>
      <c r="R14" s="73" t="s">
        <v>195</v>
      </c>
      <c r="S14" s="52" t="s">
        <v>196</v>
      </c>
      <c r="T14" s="81" t="s">
        <v>197</v>
      </c>
      <c r="U14" s="75" t="s">
        <v>198</v>
      </c>
      <c r="V14" s="55" t="s">
        <v>199</v>
      </c>
      <c r="W14" s="76" t="s">
        <v>200</v>
      </c>
      <c r="X14" s="77" t="s">
        <v>201</v>
      </c>
      <c r="Y14" s="78" t="s">
        <v>202</v>
      </c>
      <c r="Z14" s="63" t="s">
        <v>203</v>
      </c>
      <c r="AA14" s="79" t="s">
        <v>64</v>
      </c>
      <c r="AB14" s="65"/>
      <c r="AC14" s="66"/>
      <c r="AD14" s="67"/>
      <c r="AE14" s="65"/>
      <c r="AF14" s="65"/>
      <c r="AG14" s="66"/>
      <c r="AH14" s="67"/>
      <c r="AI14" s="65"/>
      <c r="AJ14" s="65"/>
      <c r="AK14" s="66"/>
      <c r="AL14" s="67"/>
      <c r="AM14" s="36"/>
      <c r="AN14" s="65"/>
      <c r="AO14" s="68" t="str">
        <f t="shared" si="6"/>
        <v>AfB Slovakia s. r. o. elektro, pocitacova a kancelarska technika, &amp;#32vsetky kategorie  917 02 Trnava IT-sluzby a IT–remarketing; AfB je najvacsim neziskovym IT-podnikom v Europe, ktory posobi v Nemecku, Rakusku, Svajciarsku, Francuzsku a na Slovensku. Od roku 2004 sa AfB specializuje na preberanie vyradeneho hardveru od spolocnosti a verejnych institucii. Po zadokumentovanom vymazani dat a zrepasovani ho opatovne uvadza na trh.
Sklbenie dvoch najvyznamnejsich rozmerov nasej cinnosti, teda ekologickeho prinosu a podpory zamestnanosti ludi so zdravotnym znevyhodnenim z nas robi jedinecny podnik v oblasti IT na slovenskom trhu. Nasim partnerom ponukame mnozstvo rieseni starostlivosti o ich pouzity hardver, od zberu, cez certifikovane mazanie dat, az po jeho odpredaj zamestnancom i podporu neziskovych spolocnosti a organizacii, ci charitativnych projektov podla ich vyberu. Postarame sa o cely Vas hardver, odpadnu Vam starosti s jeho likvidaciou, odpredajom alebo mazanim dat. 75% zamestnancov tvoria ludia so zdravotnym znevyhodnenim, 100% zisku je reinvestovaneho do spolocnosti. AfB Slovakia s.r.o. Renovacia a repasovanie pouziteho IT hardveru. Pocitace, vypoctova technika, repasacia pocitacov           </v>
      </c>
      <c r="AP14" s="69" t="s">
        <v>41</v>
      </c>
    </row>
    <row r="15" ht="15.75" customHeight="1">
      <c r="A15" s="45"/>
      <c r="B15" s="70">
        <v>13.0</v>
      </c>
      <c r="C15" s="41" t="s">
        <v>204</v>
      </c>
      <c r="D15" s="42" t="s">
        <v>94</v>
      </c>
      <c r="E15" s="43" t="str">
        <f t="shared" si="1"/>
        <v>Bratislavský kraj, &amp;#32celé Slovensko</v>
      </c>
      <c r="F15" s="71" t="s">
        <v>205</v>
      </c>
      <c r="G15" s="43" t="str">
        <f t="shared" si="2"/>
        <v>čistiace a upratovacie služby, ubytovacie a stravovacie služby, cestovný ruch, vzdelávanie, &amp;#32všetky kategórie</v>
      </c>
      <c r="H15" s="44" t="s">
        <v>170</v>
      </c>
      <c r="I15" s="45" t="str">
        <f t="shared" si="3"/>
        <v>21 a viac, &amp;#32všetky možnosti</v>
      </c>
      <c r="J15" s="46" t="str">
        <f t="shared" si="4"/>
        <v>,</v>
      </c>
      <c r="K15" s="47">
        <f t="shared" si="5"/>
        <v>12331.52207</v>
      </c>
      <c r="L15" s="45"/>
      <c r="M15" s="48" t="str">
        <f>IFERROR(__xludf.DUMMYFUNCTION("SPLIT(O15,"","")"),"Alstrova 6073/153")</f>
        <v>Alstrova 6073/153</v>
      </c>
      <c r="N15" s="48" t="str">
        <f>IFERROR(__xludf.DUMMYFUNCTION("""COMPUTED_VALUE""")," 831 06 Bratislava - Rača ")</f>
        <v> 831 06 Bratislava - Rača </v>
      </c>
      <c r="O15" s="49" t="s">
        <v>206</v>
      </c>
      <c r="P15" s="50">
        <v>48.2123897</v>
      </c>
      <c r="Q15" s="50">
        <v>17.1482432</v>
      </c>
      <c r="R15" s="73" t="s">
        <v>207</v>
      </c>
      <c r="S15" s="52" t="s">
        <v>208</v>
      </c>
      <c r="T15" s="81" t="s">
        <v>209</v>
      </c>
      <c r="U15" s="75" t="s">
        <v>210</v>
      </c>
      <c r="V15" s="55" t="s">
        <v>211</v>
      </c>
      <c r="W15" s="76" t="s">
        <v>212</v>
      </c>
      <c r="X15" s="77" t="s">
        <v>213</v>
      </c>
      <c r="Y15" s="78" t="s">
        <v>214</v>
      </c>
      <c r="Z15" s="63" t="s">
        <v>215</v>
      </c>
      <c r="AA15" s="79" t="s">
        <v>64</v>
      </c>
      <c r="AB15" s="65"/>
      <c r="AC15" s="66"/>
      <c r="AD15" s="67"/>
      <c r="AE15" s="65"/>
      <c r="AF15" s="65"/>
      <c r="AG15" s="66"/>
      <c r="AH15" s="67"/>
      <c r="AI15" s="65"/>
      <c r="AJ15" s="65"/>
      <c r="AK15" s="66"/>
      <c r="AL15" s="67"/>
      <c r="AM15" s="36"/>
      <c r="AN15" s="65"/>
      <c r="AO15" s="68" t="str">
        <f t="shared" si="6"/>
        <v>Zdruzenie na pomoc ludom s mentalnym postihnutim v Slovenskej republike cistiace a upratovacie sluzby, ubytovacie a stravovacie sluzby, cestovny ruch, vzdelavanie, &amp;#32vsetky kategorie  831 06 Bratislava - Raca  V ramci podniku prevadzkujeme restauraciu, ubytovacie zariadenie a pracovnu. Zamestnavame ludi s mentalnym postihnutim a zaucame/pripravujeme ludi s mentalnym postihnutim na zamestnanie na otvorenom trhu prace. BIVIO Tepla kuchyna, studena kuchyna, catering, ubytovanie, seminarne priestory, pracovna. restauracia, hotel, pracovna, prenajom priestorov, socialne poradenstvo           </v>
      </c>
      <c r="AP15" s="69" t="s">
        <v>41</v>
      </c>
    </row>
    <row r="16" ht="15.75" customHeight="1">
      <c r="A16" s="45"/>
      <c r="B16" s="70">
        <v>14.0</v>
      </c>
      <c r="C16" s="41" t="s">
        <v>216</v>
      </c>
      <c r="D16" s="42" t="s">
        <v>217</v>
      </c>
      <c r="E16" s="43" t="str">
        <f t="shared" si="1"/>
        <v>Košický kraj, &amp;#32celé Slovensko</v>
      </c>
      <c r="F16" s="71" t="s">
        <v>218</v>
      </c>
      <c r="G16" s="43" t="str">
        <f t="shared" si="2"/>
        <v>ochrana a bezpečnosť, vzdelávanie, potraviny a nápoje, obaly, reklama, iné (tovary a služby), &amp;#32všetky kategórie</v>
      </c>
      <c r="H16" s="44" t="s">
        <v>53</v>
      </c>
      <c r="I16" s="45" t="str">
        <f t="shared" si="3"/>
        <v>1 - 5, &amp;#32všetky možnosti</v>
      </c>
      <c r="J16" s="46" t="str">
        <f t="shared" si="4"/>
        <v>,</v>
      </c>
      <c r="K16" s="47">
        <f t="shared" si="5"/>
        <v>28091.74989</v>
      </c>
      <c r="L16" s="45"/>
      <c r="M16" s="48" t="str">
        <f>IFERROR(__xludf.DUMMYFUNCTION("SPLIT(O16,"","")"),"Pod Horou 476/51")</f>
        <v>Pod Horou 476/51</v>
      </c>
      <c r="N16" s="48" t="str">
        <f>IFERROR(__xludf.DUMMYFUNCTION("""COMPUTED_VALUE""")," 040 16  Košice-Myslava")</f>
        <v> 040 16  Košice-Myslava</v>
      </c>
      <c r="O16" s="49" t="s">
        <v>219</v>
      </c>
      <c r="P16" s="50">
        <v>48.7091606</v>
      </c>
      <c r="Q16" s="50">
        <v>21.2015033</v>
      </c>
      <c r="R16" s="73" t="s">
        <v>220</v>
      </c>
      <c r="S16" s="86" t="s">
        <v>221</v>
      </c>
      <c r="T16" s="87" t="s">
        <v>86</v>
      </c>
      <c r="U16" s="75" t="s">
        <v>222</v>
      </c>
      <c r="V16" s="55" t="s">
        <v>223</v>
      </c>
      <c r="W16" s="76" t="s">
        <v>224</v>
      </c>
      <c r="X16" s="88" t="s">
        <v>225</v>
      </c>
      <c r="Y16" s="89" t="s">
        <v>220</v>
      </c>
      <c r="Z16" s="63" t="s">
        <v>226</v>
      </c>
      <c r="AA16" s="79" t="s">
        <v>64</v>
      </c>
      <c r="AB16" s="65"/>
      <c r="AC16" s="66"/>
      <c r="AD16" s="67"/>
      <c r="AE16" s="65"/>
      <c r="AF16" s="65"/>
      <c r="AG16" s="66"/>
      <c r="AH16" s="67"/>
      <c r="AI16" s="65"/>
      <c r="AJ16" s="65"/>
      <c r="AK16" s="66"/>
      <c r="AL16" s="67"/>
      <c r="AM16" s="36"/>
      <c r="AN16" s="65"/>
      <c r="AO16" s="68" t="str">
        <f t="shared" si="6"/>
        <v>Centrum Pointe, n.o. ochrana a bezpecnost, vzdelavanie, potraviny a napoje, obaly, reklama, ine (tovary a sluzby), &amp;#32vsetky kategorie  040 16  Kosice-Myslava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Prioritou je integracia znevyhodnenych, zranitelnych a ZTP osob do pracovneho procesu. Minimalny pomer takychto osob bude 50% vsetkych zamestnancov. Okrem pravidelneho rezimu suvisiaceho s pracovnym pomerom a pravidelneho prijmu je hlavnym pozitivom postupne vzdelavanie, zvysovanie kvalifikacie a ziskavanie informacii smerujucich k moznosti zalozenia vlastneho podnikania.  Centrum Pointe, n.o., r. s. p.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IT, marketing, priamy predaj, zdravy snack, pochutiny, zdrava vyziva           </v>
      </c>
      <c r="AP16" s="82"/>
    </row>
    <row r="17" ht="15.75" customHeight="1">
      <c r="A17" s="45"/>
      <c r="B17" s="70">
        <v>15.0</v>
      </c>
      <c r="C17" s="41" t="s">
        <v>227</v>
      </c>
      <c r="D17" s="42" t="s">
        <v>228</v>
      </c>
      <c r="E17" s="43" t="str">
        <f t="shared" si="1"/>
        <v>Nitriansky kraj, &amp;#32celé Slovensko</v>
      </c>
      <c r="F17" s="42" t="s">
        <v>229</v>
      </c>
      <c r="G17" s="43" t="str">
        <f t="shared" si="2"/>
        <v>účtovníctvo a poradenstvo, bižutéria a darčekové predmety, &amp;#32všetky kategórie</v>
      </c>
      <c r="H17" s="44" t="s">
        <v>96</v>
      </c>
      <c r="I17" s="45" t="str">
        <f t="shared" si="3"/>
        <v>6 - 10, &amp;#32všetky možnosti</v>
      </c>
      <c r="J17" s="46" t="str">
        <f t="shared" si="4"/>
        <v>,Register partnerov VS</v>
      </c>
      <c r="K17" s="47">
        <f t="shared" si="5"/>
        <v>3408.674655</v>
      </c>
      <c r="L17" s="45"/>
      <c r="M17" s="48" t="str">
        <f>IFERROR(__xludf.DUMMYFUNCTION("SPLIT(O17,"","")"),"Poštová 28")</f>
        <v>Poštová 28</v>
      </c>
      <c r="N17" s="48" t="str">
        <f>IFERROR(__xludf.DUMMYFUNCTION("""COMPUTED_VALUE""")," 937 01 Želiezovce")</f>
        <v> 937 01 Želiezovce</v>
      </c>
      <c r="O17" s="49" t="s">
        <v>230</v>
      </c>
      <c r="P17" s="50">
        <v>48.0511606</v>
      </c>
      <c r="Q17" s="50">
        <v>18.6649804</v>
      </c>
      <c r="R17" s="78" t="s">
        <v>231</v>
      </c>
      <c r="S17" s="86" t="s">
        <v>232</v>
      </c>
      <c r="T17" s="87" t="s">
        <v>86</v>
      </c>
      <c r="U17" s="75" t="s">
        <v>233</v>
      </c>
      <c r="V17" s="55" t="s">
        <v>234</v>
      </c>
      <c r="W17" s="76" t="s">
        <v>235</v>
      </c>
      <c r="X17" s="88" t="s">
        <v>236</v>
      </c>
      <c r="Y17" s="89" t="s">
        <v>237</v>
      </c>
      <c r="Z17" s="63" t="s">
        <v>238</v>
      </c>
      <c r="AA17" s="85" t="s">
        <v>129</v>
      </c>
      <c r="AB17" s="65" t="s">
        <v>239</v>
      </c>
      <c r="AC17" s="66" t="s">
        <v>240</v>
      </c>
      <c r="AD17" s="67" t="s">
        <v>241</v>
      </c>
      <c r="AE17" s="65" t="s">
        <v>64</v>
      </c>
      <c r="AF17" s="65"/>
      <c r="AG17" s="66"/>
      <c r="AH17" s="67"/>
      <c r="AI17" s="65"/>
      <c r="AJ17" s="65"/>
      <c r="AK17" s="66"/>
      <c r="AL17" s="67"/>
      <c r="AM17" s="52"/>
      <c r="AN17" s="80" t="s">
        <v>39</v>
      </c>
      <c r="AO17" s="68" t="str">
        <f t="shared" si="6"/>
        <v>ADMIX s.r.o. r.s.p. uctovnictvo a poradenstvo, bizuteria a darcekove predmety, &amp;#32vsetky kategorie  937 01 Zeliezovce Vyroba darcekovych a ozdobnych predmetov z koralok; poradenske, uctovnicke a administrativne sluzby; pomocne prace v domacnosti a zahrade. Ponukame poradenstvo zacinajucim podnikatelom, casto aj z radov nezamestnanych, pomahame obcanom, obcianskym zdruzeniam, chranenym dielnam poskytovanim administrativnych a uctovnickych sluzieb, osobam z etnickych mensin, aby sa mohli zaradit do pracovneho procesu a uplatnili sa aj ako zivnostnici.
Zaroven sa zaoberame rucnou vyrobou bizuterie a darcekovych predmetov z koralok, kde zamestnavame ludi tazko uplatnitelnych na trhu prace, t.j. osoby nad 50 rokov, absolventov, ZTP pracovnikov a dlhodobo nezamestnanych.
Prijimame objednavky aj na pomocne prace v domacnosti a v zahrade u odkazanych obyvatelov na vypomoc. Rucna vyroba suvenirov a bizuterie V tejto prevadzke zamestnavame znevyhodnene osoby, ktore rucne vyrabaju rozne darcekove a ozdobne predmety z koralok, napr.vianocne ozdoby - anjelikov, certov, mikulasov, ale aj rozne zvieratka, privesky, retiazky, zapichovacky napr.do kytic a magnetky. ozdoba, darcek, figurka, privesok, retiazka, magnetka, handmade, suveniry Uctovna kancelaria Ponukame vypracovanie danovych priznani, uctovne sluzby, administrativne sluzby, poradenstvo, pomoc pri vyplnani tlaciv, zastupovanie na uradoch. danove priznanie, uctovnictvo a poradenstvo, podnikanie        Register partnerov VS</v>
      </c>
      <c r="AP17" s="69"/>
    </row>
    <row r="18" ht="15.75" customHeight="1">
      <c r="A18" s="45"/>
      <c r="B18" s="70">
        <v>16.0</v>
      </c>
      <c r="C18" s="41" t="s">
        <v>242</v>
      </c>
      <c r="D18" s="42" t="s">
        <v>66</v>
      </c>
      <c r="E18" s="43" t="str">
        <f t="shared" si="1"/>
        <v>Žilinský kraj, &amp;#32celé Slovensko</v>
      </c>
      <c r="F18" s="71" t="s">
        <v>243</v>
      </c>
      <c r="G18" s="43" t="str">
        <f t="shared" si="2"/>
        <v>potraviny a nápoje, &amp;#32všetky kategórie</v>
      </c>
      <c r="H18" s="44" t="s">
        <v>53</v>
      </c>
      <c r="I18" s="45" t="str">
        <f t="shared" si="3"/>
        <v>1 - 5, &amp;#32všetky možnosti</v>
      </c>
      <c r="J18" s="46" t="str">
        <f t="shared" si="4"/>
        <v>,</v>
      </c>
      <c r="K18" s="47">
        <f t="shared" si="5"/>
        <v>36676.69752</v>
      </c>
      <c r="L18" s="45"/>
      <c r="M18" s="48" t="str">
        <f>IFERROR(__xludf.DUMMYFUNCTION("SPLIT(O18,"","")"),"Diaková 131")</f>
        <v>Diaková 131</v>
      </c>
      <c r="N18" s="48" t="str">
        <f>IFERROR(__xludf.DUMMYFUNCTION("""COMPUTED_VALUE""")," 038 02 Diaková")</f>
        <v> 038 02 Diaková</v>
      </c>
      <c r="O18" s="49" t="s">
        <v>244</v>
      </c>
      <c r="P18" s="50">
        <v>49.0509751</v>
      </c>
      <c r="Q18" s="50">
        <v>18.9640676</v>
      </c>
      <c r="R18" s="78" t="s">
        <v>245</v>
      </c>
      <c r="S18" s="52" t="s">
        <v>246</v>
      </c>
      <c r="T18" s="81" t="s">
        <v>86</v>
      </c>
      <c r="U18" s="75" t="s">
        <v>247</v>
      </c>
      <c r="V18" s="55" t="s">
        <v>248</v>
      </c>
      <c r="W18" s="76" t="s">
        <v>249</v>
      </c>
      <c r="X18" s="77" t="s">
        <v>250</v>
      </c>
      <c r="Y18" s="78" t="s">
        <v>251</v>
      </c>
      <c r="Z18" s="63" t="s">
        <v>252</v>
      </c>
      <c r="AA18" s="85" t="s">
        <v>129</v>
      </c>
      <c r="AB18" s="65" t="s">
        <v>253</v>
      </c>
      <c r="AC18" s="66" t="s">
        <v>254</v>
      </c>
      <c r="AD18" s="67" t="s">
        <v>255</v>
      </c>
      <c r="AE18" s="65" t="s">
        <v>64</v>
      </c>
      <c r="AF18" s="65"/>
      <c r="AG18" s="66"/>
      <c r="AH18" s="67"/>
      <c r="AI18" s="65"/>
      <c r="AJ18" s="65"/>
      <c r="AK18" s="66"/>
      <c r="AL18" s="67"/>
      <c r="AM18" s="36"/>
      <c r="AN18" s="65"/>
      <c r="AO18" s="68" t="str">
        <f t="shared" si="6"/>
        <v>Liana Blahova potraviny a napoje, &amp;#32vsetky kategorie  038 02 Diakova Predajna potravin a rozlicneho tovaru a Pohostinstvo  Nase potravinky su zaujimave a pre nasich zakaznikov atraktivne hlavne tym, ze ponukame kazdy den cerstve pecivo, ovocie a zeleninku, 3-krat do tyzdna ponukame cerstve zakusky i sezonne darcekove predmety. Pohostinstvo sme prisposobili hlavne pre mlade rodinky s detickami, ktorym sme vybudovali ihrisko s hrackami a preliezkami. Okrem mamiciek na MD nase sluzby ocenuju dochodcovia, ktori uz nechodia do mesta. Potraviny Blahova Liana Ponukame denne cerstve pecivo, ovocie a zeleninu, masove a mliecne vyrobky, priemyselny tovar, alko a nealko napoje, cerstve zakusky a krasne sezonne dekoracne predmety potraviny, rozlicny tovar, darceky, zakusky, priemyselny tovar, dekoracie Poctivy Drazkovsky vycap Pivo, vino, alko, nealko napoje pohostinstvo, potraviny        </v>
      </c>
      <c r="AP18" s="82"/>
    </row>
    <row r="19" ht="15.75" customHeight="1">
      <c r="A19" s="45"/>
      <c r="B19" s="70">
        <v>17.0</v>
      </c>
      <c r="C19" s="41" t="s">
        <v>256</v>
      </c>
      <c r="D19" s="42" t="s">
        <v>181</v>
      </c>
      <c r="E19" s="43" t="str">
        <f t="shared" si="1"/>
        <v>Banskobystrický kraj, &amp;#32celé Slovensko</v>
      </c>
      <c r="F19" s="71" t="s">
        <v>257</v>
      </c>
      <c r="G19" s="43" t="str">
        <f t="shared" si="2"/>
        <v>odevy a obuv, &amp;#32všetky kategórie</v>
      </c>
      <c r="H19" s="44" t="s">
        <v>96</v>
      </c>
      <c r="I19" s="45" t="str">
        <f t="shared" si="3"/>
        <v>6 - 10, &amp;#32všetky možnosti</v>
      </c>
      <c r="J19" s="46" t="str">
        <f t="shared" si="4"/>
        <v>,</v>
      </c>
      <c r="K19" s="47">
        <f t="shared" si="5"/>
        <v>32489.448</v>
      </c>
      <c r="L19" s="45"/>
      <c r="M19" s="48" t="str">
        <f>IFERROR(__xludf.DUMMYFUNCTION("SPLIT(O19,"","")"),"A. Hlinku 756/20")</f>
        <v>A. Hlinku 756/20</v>
      </c>
      <c r="N19" s="48" t="str">
        <f>IFERROR(__xludf.DUMMYFUNCTION("""COMPUTED_VALUE""")," 965 01 Žiar nad Hronom")</f>
        <v> 965 01 Žiar nad Hronom</v>
      </c>
      <c r="O19" s="49" t="s">
        <v>258</v>
      </c>
      <c r="P19" s="50">
        <v>48.5906933</v>
      </c>
      <c r="Q19" s="50">
        <v>18.8618844</v>
      </c>
      <c r="R19" s="78" t="s">
        <v>259</v>
      </c>
      <c r="S19" s="52" t="s">
        <v>260</v>
      </c>
      <c r="T19" s="81" t="s">
        <v>261</v>
      </c>
      <c r="U19" s="75" t="s">
        <v>262</v>
      </c>
      <c r="V19" s="55" t="s">
        <v>263</v>
      </c>
      <c r="W19" s="76" t="s">
        <v>264</v>
      </c>
      <c r="X19" s="77" t="s">
        <v>265</v>
      </c>
      <c r="Y19" s="78" t="s">
        <v>266</v>
      </c>
      <c r="Z19" s="63" t="s">
        <v>267</v>
      </c>
      <c r="AA19" s="79" t="s">
        <v>64</v>
      </c>
      <c r="AB19" s="65"/>
      <c r="AC19" s="66"/>
      <c r="AD19" s="67"/>
      <c r="AE19" s="65"/>
      <c r="AF19" s="65"/>
      <c r="AG19" s="66"/>
      <c r="AH19" s="67"/>
      <c r="AI19" s="65"/>
      <c r="AJ19" s="65"/>
      <c r="AK19" s="66"/>
      <c r="AL19" s="67"/>
      <c r="AM19" s="36"/>
      <c r="AN19" s="65"/>
      <c r="AO19" s="68" t="str">
        <f t="shared" si="6"/>
        <v>VEGAODEVY s. r. o.  odevy a obuv, &amp;#32vsetky kategorie  965 01 Ziar nad Hronom Vyroba pracovnych odevov a predaj OOPP Zamestnavanim zdravotne znevyhodnenych osob. VEGAODEVY s. r. o. Vyroba a predaj pracovnych odevov a OOPP pracovne odevy, ochranne pracovne prostriedky, pracovna obuv, pracovne rukavice, prilba, okuliare, maska, rusko, respirator, drogeria           </v>
      </c>
      <c r="AP19" s="69" t="s">
        <v>41</v>
      </c>
    </row>
    <row r="20" ht="15.75" customHeight="1">
      <c r="A20" s="45"/>
      <c r="B20" s="70">
        <v>18.0</v>
      </c>
      <c r="C20" s="41" t="s">
        <v>268</v>
      </c>
      <c r="D20" s="42" t="s">
        <v>66</v>
      </c>
      <c r="E20" s="43" t="str">
        <f t="shared" si="1"/>
        <v>Žilinský kraj, &amp;#32celé Slovensko</v>
      </c>
      <c r="F20" s="71" t="s">
        <v>169</v>
      </c>
      <c r="G20" s="43" t="str">
        <f t="shared" si="2"/>
        <v>poľnohospodárstvo a lesníctvo, stavebníctvo, iné (tovary a služby), &amp;#32všetky kategórie</v>
      </c>
      <c r="H20" s="44" t="s">
        <v>53</v>
      </c>
      <c r="I20" s="45" t="str">
        <f t="shared" si="3"/>
        <v>1 - 5, &amp;#32všetky možnosti</v>
      </c>
      <c r="J20" s="46" t="str">
        <f t="shared" si="4"/>
        <v>,</v>
      </c>
      <c r="K20" s="47">
        <f t="shared" si="5"/>
        <v>37103.93575</v>
      </c>
      <c r="L20" s="45"/>
      <c r="M20" s="48" t="str">
        <f>IFERROR(__xludf.DUMMYFUNCTION("SPLIT(O20,"","")"),"Belá-Dulice 385")</f>
        <v>Belá-Dulice 385</v>
      </c>
      <c r="N20" s="48" t="str">
        <f>IFERROR(__xludf.DUMMYFUNCTION("""COMPUTED_VALUE""")," 038 11 Belá-Dulice")</f>
        <v> 038 11 Belá-Dulice</v>
      </c>
      <c r="O20" s="49" t="s">
        <v>269</v>
      </c>
      <c r="P20" s="50">
        <v>49.0030059</v>
      </c>
      <c r="Q20" s="50">
        <v>18.9791489</v>
      </c>
      <c r="R20" s="73" t="s">
        <v>270</v>
      </c>
      <c r="S20" s="52" t="s">
        <v>271</v>
      </c>
      <c r="T20" s="81" t="s">
        <v>86</v>
      </c>
      <c r="U20" s="75" t="s">
        <v>272</v>
      </c>
      <c r="V20" s="55" t="s">
        <v>273</v>
      </c>
      <c r="W20" s="76" t="s">
        <v>274</v>
      </c>
      <c r="X20" s="77" t="s">
        <v>275</v>
      </c>
      <c r="Y20" s="78" t="s">
        <v>276</v>
      </c>
      <c r="Z20" s="63" t="s">
        <v>277</v>
      </c>
      <c r="AA20" s="79" t="s">
        <v>64</v>
      </c>
      <c r="AB20" s="65"/>
      <c r="AC20" s="66"/>
      <c r="AD20" s="67"/>
      <c r="AE20" s="65"/>
      <c r="AF20" s="65"/>
      <c r="AG20" s="66"/>
      <c r="AH20" s="67"/>
      <c r="AI20" s="65"/>
      <c r="AJ20" s="65"/>
      <c r="AK20" s="66"/>
      <c r="AL20" s="67"/>
      <c r="AM20" s="36"/>
      <c r="AN20" s="65"/>
      <c r="AO20" s="68" t="str">
        <f t="shared" si="6"/>
        <v>Obcianske zdruzenie JASENSKA DOLINA polnohospodarstvo a lesnictvo, stavebnictvo, ine (tovary a sluzby), &amp;#32vsetky kategorie  038 11 Bela-Dulice Uskutocnovanie stavieb a ich zmien, prace v polnohospodarstve - udrzbu verejnych priestranstiev. Vytvorenim pracovnych miest na vykonavanie verejnoprospesnych cinnosti, ochranu a tvorbu zivotneho prostredia. OZ Jasenska dolina, r.s.p. Pomocne stavebne prace , udrzba verejnych priestranstiev. zemne prace, kosenie, ochrana zivotneho prostredia           </v>
      </c>
      <c r="AP20" s="82"/>
    </row>
    <row r="21" ht="15.75" customHeight="1">
      <c r="A21" s="45"/>
      <c r="B21" s="70">
        <v>19.0</v>
      </c>
      <c r="C21" s="41" t="s">
        <v>278</v>
      </c>
      <c r="D21" s="42" t="s">
        <v>228</v>
      </c>
      <c r="E21" s="43" t="str">
        <f t="shared" si="1"/>
        <v>Nitriansky kraj, &amp;#32celé Slovensko</v>
      </c>
      <c r="F21" s="71" t="s">
        <v>279</v>
      </c>
      <c r="G21" s="43" t="str">
        <f t="shared" si="2"/>
        <v>ubytovacie a stravovacie služby, stavebníctvo, potraviny a nápoje, iné (tovary a služby), &amp;#32všetky kategórie</v>
      </c>
      <c r="H21" s="44" t="s">
        <v>170</v>
      </c>
      <c r="I21" s="45" t="str">
        <f t="shared" si="3"/>
        <v>21 a viac, &amp;#32všetky možnosti</v>
      </c>
      <c r="J21" s="46" t="str">
        <f t="shared" si="4"/>
        <v>,Register partnerov VS</v>
      </c>
      <c r="K21" s="47">
        <f t="shared" si="5"/>
        <v>44050.92282</v>
      </c>
      <c r="L21" s="45"/>
      <c r="M21" s="48" t="str">
        <f>IFERROR(__xludf.DUMMYFUNCTION("SPLIT(O21,"","")"),"Červenej armády 55")</f>
        <v>Červenej armády 55</v>
      </c>
      <c r="N21" s="48" t="str">
        <f>IFERROR(__xludf.DUMMYFUNCTION("""COMPUTED_VALUE""")," 935 32 Kalná nad Hronom")</f>
        <v> 935 32 Kalná nad Hronom</v>
      </c>
      <c r="O21" s="49" t="s">
        <v>280</v>
      </c>
      <c r="P21" s="50">
        <v>48.1984591</v>
      </c>
      <c r="Q21" s="50">
        <v>18.519184</v>
      </c>
      <c r="R21" s="73" t="s">
        <v>281</v>
      </c>
      <c r="S21" s="52" t="s">
        <v>282</v>
      </c>
      <c r="T21" s="81" t="s">
        <v>283</v>
      </c>
      <c r="U21" s="75" t="s">
        <v>284</v>
      </c>
      <c r="V21" s="55" t="s">
        <v>285</v>
      </c>
      <c r="W21" s="76" t="s">
        <v>286</v>
      </c>
      <c r="X21" s="77" t="s">
        <v>287</v>
      </c>
      <c r="Y21" s="78" t="s">
        <v>288</v>
      </c>
      <c r="Z21" s="63" t="s">
        <v>289</v>
      </c>
      <c r="AA21" s="85" t="s">
        <v>129</v>
      </c>
      <c r="AB21" s="65" t="s">
        <v>290</v>
      </c>
      <c r="AC21" s="66" t="s">
        <v>291</v>
      </c>
      <c r="AD21" s="67" t="s">
        <v>292</v>
      </c>
      <c r="AE21" s="90" t="s">
        <v>129</v>
      </c>
      <c r="AF21" s="65" t="s">
        <v>293</v>
      </c>
      <c r="AG21" s="66" t="s">
        <v>294</v>
      </c>
      <c r="AH21" s="67" t="s">
        <v>295</v>
      </c>
      <c r="AI21" s="91" t="s">
        <v>129</v>
      </c>
      <c r="AJ21" s="65" t="s">
        <v>296</v>
      </c>
      <c r="AK21" s="66" t="s">
        <v>297</v>
      </c>
      <c r="AL21" s="92" t="s">
        <v>298</v>
      </c>
      <c r="AM21" s="52"/>
      <c r="AN21" s="80" t="s">
        <v>39</v>
      </c>
      <c r="AO21" s="68" t="str">
        <f t="shared" si="6"/>
        <v>Sluzby Kalna s.r.o., r.s.p. ubytovacie a stravovacie sluzby, stavebnictvo, potraviny a napoje, ine (tovary a sluzby), &amp;#32vsetky kategorie  935 32 Kalna nad Hronom RSP ponuka zabezpecenie stravovania, upratovacie sluzby, prevadzkovanie dohladoveho pracoviska kameroveho systemu, stavebne prace, pestovatelske palenie ovocia, podnikanie v oblasti nakladania s inym ako nebezpecnym odpadom. Zamestnavame viac ako 30 percent zranitelnych a znevyhodnenych obyvatelov z okolia. Resti-Ka Zabezpecenie stravy pre seniorov a obyvatelov. restauracia Palen-ka, pestovatelska palenica Pestovatelske palenie ovocia. zakladanie kvasu, palenie ovocia, palenica Prevadzka dohladoveho pracoviska kameroveho systemu Zabezpecenie ochrany objektov a priestoru v obci Kalna nad Hronom. bezpecnost Stavebne prace stavebne prace stavebne prace, dokoncovacie stavebne prace  Register partnerov VS</v>
      </c>
      <c r="AP21" s="82"/>
    </row>
    <row r="22" ht="15.75" customHeight="1">
      <c r="A22" s="45"/>
      <c r="B22" s="70">
        <v>20.0</v>
      </c>
      <c r="C22" s="41" t="s">
        <v>299</v>
      </c>
      <c r="D22" s="42" t="s">
        <v>51</v>
      </c>
      <c r="E22" s="43" t="str">
        <f t="shared" si="1"/>
        <v>Prešovský kraj, &amp;#32celé Slovensko</v>
      </c>
      <c r="F22" s="71" t="s">
        <v>300</v>
      </c>
      <c r="G22" s="43" t="str">
        <f t="shared" si="2"/>
        <v>stavebníctvo, kovovýroba, &amp;#32všetky kategórie</v>
      </c>
      <c r="H22" s="44" t="s">
        <v>82</v>
      </c>
      <c r="I22" s="45" t="str">
        <f t="shared" si="3"/>
        <v>11 - 15, &amp;#32všetky možnosti</v>
      </c>
      <c r="J22" s="46" t="str">
        <f t="shared" si="4"/>
        <v>,Register partnerov VS</v>
      </c>
      <c r="K22" s="47">
        <f t="shared" si="5"/>
        <v>43883.3459</v>
      </c>
      <c r="L22" s="45"/>
      <c r="M22" s="48" t="str">
        <f>IFERROR(__xludf.DUMMYFUNCTION("SPLIT(O22,"","")"),"Lesná 10")</f>
        <v>Lesná 10</v>
      </c>
      <c r="N22" s="48" t="str">
        <f>IFERROR(__xludf.DUMMYFUNCTION("""COMPUTED_VALUE""")," 086 33 Zborov")</f>
        <v> 086 33 Zborov</v>
      </c>
      <c r="O22" s="49" t="s">
        <v>301</v>
      </c>
      <c r="P22" s="50">
        <v>49.3670277</v>
      </c>
      <c r="Q22" s="50">
        <v>21.3067647</v>
      </c>
      <c r="R22" s="73" t="s">
        <v>302</v>
      </c>
      <c r="S22" s="86" t="s">
        <v>303</v>
      </c>
      <c r="T22" s="87" t="s">
        <v>86</v>
      </c>
      <c r="U22" s="75" t="s">
        <v>304</v>
      </c>
      <c r="V22" s="55" t="s">
        <v>305</v>
      </c>
      <c r="W22" s="76" t="s">
        <v>306</v>
      </c>
      <c r="X22" s="88" t="s">
        <v>307</v>
      </c>
      <c r="Y22" s="89" t="s">
        <v>308</v>
      </c>
      <c r="Z22" s="63" t="s">
        <v>309</v>
      </c>
      <c r="AA22" s="79" t="s">
        <v>64</v>
      </c>
      <c r="AB22" s="65"/>
      <c r="AC22" s="66"/>
      <c r="AD22" s="67"/>
      <c r="AE22" s="65"/>
      <c r="AF22" s="65"/>
      <c r="AG22" s="66"/>
      <c r="AH22" s="67"/>
      <c r="AI22" s="65"/>
      <c r="AJ22" s="65"/>
      <c r="AK22" s="66"/>
      <c r="AL22" s="67"/>
      <c r="AM22" s="52"/>
      <c r="AN22" s="80" t="s">
        <v>39</v>
      </c>
      <c r="AO22" s="68" t="str">
        <f t="shared" si="6"/>
        <v>ZBOR - STAV, s. r. o. stavebnictvo, kovovyroba, &amp;#32vsetky kategorie  086 33 Zborov Predmet podnikatelskej cinnosti: 
Pripravne prace k realizacii stavby,
uskutocnovanie stavieb a ich zmien,
dokoncovacie stavebne prace pri realizacii exterierov a interierov,
vyroba nekovovych mineralnych vyrobkov a vyrobkov z betonu, sadry a cementu,
vyroba a opracovanie jednoduchych vyrobkov z kovu,
vyroba jednoduchych vyrobkov z dreva, korku, slamy, prutia a ich uprava, oprava a udrzba,
nakladna cestna doprava vozidlami s celkovou hmotnostou do 3,5 t vratane pripojneho vozidla,
prenajom hnutelnych veci,
kupa tovaru na ucely jeho predaja konecnemu spotrebitelovi (maloobchod) alebo inym prevadzkovatelom zivnosti (velkoobchod),
sprostredkovatelska cinnost v oblasti obchodu, sluzieb a vyroby,
skladovanie a pomocne cinnosti v doprave,
vykon cinnosti stavbyveduceho,
vykon cinnosti stavebneho dozoru. Hlavnym cielom RSP ZBOR - STAV, s. r. o. nie je iba vytvaranie zisku, ale predovsetkym dosahovanie meratelneho pozitivneho socialneho vplyvu poskytovanim spolocensky prospesnej sluzby na podporu regionalneho rozvoja a zamestnanosti. RSP ZBOR - STAV, s. r. o. Stavebna cinnost stavebne prace, kovovyroba, drevovyroba           Register partnerov VS</v>
      </c>
      <c r="AP22" s="82"/>
    </row>
    <row r="23" ht="15.75" customHeight="1">
      <c r="A23" s="45"/>
      <c r="B23" s="70">
        <v>21.0</v>
      </c>
      <c r="C23" s="41" t="s">
        <v>310</v>
      </c>
      <c r="D23" s="42" t="s">
        <v>80</v>
      </c>
      <c r="E23" s="43" t="str">
        <f t="shared" si="1"/>
        <v>Trnavský kraj, &amp;#32celé Slovensko</v>
      </c>
      <c r="F23" s="71" t="s">
        <v>311</v>
      </c>
      <c r="G23" s="43" t="str">
        <f t="shared" si="2"/>
        <v>dom a záhrada, poľnohospodárstvo a lesníctvo, vzdelávanie, iné (tovary a služby), &amp;#32všetky kategórie</v>
      </c>
      <c r="H23" s="44" t="s">
        <v>53</v>
      </c>
      <c r="I23" s="45" t="str">
        <f t="shared" si="3"/>
        <v>1 - 5, &amp;#32všetky možnosti</v>
      </c>
      <c r="J23" s="46" t="str">
        <f t="shared" si="4"/>
        <v>Servisné poukážky,</v>
      </c>
      <c r="K23" s="47">
        <f t="shared" si="5"/>
        <v>29703.87602</v>
      </c>
      <c r="L23" s="45"/>
      <c r="M23" s="48" t="str">
        <f>IFERROR(__xludf.DUMMYFUNCTION("SPLIT(O23,"","")"),"M. R. Štefánika 260/30")</f>
        <v>M. R. Štefánika 260/30</v>
      </c>
      <c r="N23" s="48" t="str">
        <f>IFERROR(__xludf.DUMMYFUNCTION("""COMPUTED_VALUE""")," 920 41 Leopoldov")</f>
        <v> 920 41 Leopoldov</v>
      </c>
      <c r="O23" s="49" t="s">
        <v>312</v>
      </c>
      <c r="P23" s="50">
        <v>48.4446435</v>
      </c>
      <c r="Q23" s="50">
        <v>17.7649804</v>
      </c>
      <c r="R23" s="73" t="s">
        <v>313</v>
      </c>
      <c r="S23" s="52" t="s">
        <v>314</v>
      </c>
      <c r="T23" s="81" t="s">
        <v>315</v>
      </c>
      <c r="U23" s="75" t="s">
        <v>316</v>
      </c>
      <c r="V23" s="55" t="s">
        <v>317</v>
      </c>
      <c r="W23" s="76" t="s">
        <v>318</v>
      </c>
      <c r="X23" s="77"/>
      <c r="Y23" s="78"/>
      <c r="Z23" s="63" t="s">
        <v>319</v>
      </c>
      <c r="AA23" s="79" t="s">
        <v>64</v>
      </c>
      <c r="AB23" s="65"/>
      <c r="AC23" s="66"/>
      <c r="AD23" s="67"/>
      <c r="AE23" s="65"/>
      <c r="AF23" s="65"/>
      <c r="AG23" s="66"/>
      <c r="AH23" s="67"/>
      <c r="AI23" s="65"/>
      <c r="AJ23" s="65"/>
      <c r="AK23" s="66"/>
      <c r="AL23" s="67"/>
      <c r="AM23" s="17" t="s">
        <v>320</v>
      </c>
      <c r="AN23" s="65"/>
      <c r="AO23" s="68" t="str">
        <f t="shared" si="6"/>
        <v>Ziva Zahrada, s. r. o. dom a zahrada, polnohospodarstvo a lesnictvo, vzdelavanie, ine (tovary a sluzby), &amp;#32vsetky kategorie  920 41 Leopoldov Svojim zakaznikom pomahame ozdravit ich zivotne prostredie a byt lepsie pripravenymi na klimaticke zmeny. 
1. Kompostujeme pre vysoky obsah prospesneho mikrobiomu s naslednou obnovou mikrobialne zdegradovanej pody.
2. Robime laboratorne analyzy mikrobialnej biomasy kompostu a pody. Vdaka nim vie zakaznik posudit, ako nalozit s kompostom neznamej kvality pre pouzitie pri konkretnej pode a rastline alebo potvrdit pritomnost parazitickych nematod.
3. Obcanom ponukame zahradne prace. Zahradny odpad kompostujeme a aplikujeme spat do zahrad, cim uzatvarame prirodny kolobeh zivin a zvysujeme mnozstvo uhlika viazaneho v pode.
4. Samospravam a obhospodarovatelom pody po celom Slovensku pomahame regenerovat zelen a biodiverzitu pody v zahradach, parkoch, na poliach, lukach a v lesoch. Pomahame realizovat naplnenie uhlikovych strategii. Odmenou je zaroven zdravsia zelen, vyssie vynosy, potraviny bohatsie na ziviny spojene s nizsou spotrebou vody, umeleho hnojenia a pesticidov.
5. Pomozeme postavit komunitnu zahradu situ na mieru od podpory pri jej koncipovani, cez stavanie az po udrziavanie aktivnej komunity.
6. Pomahame realizovat zelene strechy, zelene steny, vyvysene zahony a dalsie prace vyzadujuce si drevo- a kovovyrobu.
7. Pomozeme pri navrhovani a realizacii adaptacnych opatreni na klimaticke zmeny.
8. Robime prednasky a zazitkove stretnutia s cielom vzdelat zodpovednych pracovnikov, laicku verejnost aj deti v skolach o vyzname a sposobe regenerativneho hospodarenia s podou.
9. Existujucim zakaznikom ponukame kvalitny kompost vhodny na regeneraciu degradovanej pody alebo na ockovanie novych kompostovych zakladok. Ponukame tekute pripravky z kompostu urcene na okamzitu spotrebu. Regenerujeme mikrobiom degradovanej pody. Prispievame tym k zvyseniu produkcnej schopnosti pody, potravinovej sebestacnosti, zdraviu zelene a zivotneho prostredia. Zaroven dochadza k zlepseniu ekosystemovych sluzieb pody, akymi su viazanie uhlika a dusika v pode, k zadrziavaniu a fitrovaniu vody, schopnosti pody biodegradovat toxicke latky a ine. 
Robime vyskum a vyvoj nastrojov spojenych so setrnym obrabanim pody a aplikaciou prospesneho mikrobiomu na podu ci uz vo forme kompostu alebo tekutych pripravkov z kompostu. 
Vzdelavame o kompostovani zameranom na vysoky obsah prospesneho mikrobiomu, o ochrane pody a jej vztahu so zdravim zelene, zivotneho prostredia a cloveka. 
Integrujeme zdravotne znevyhodnenych a zranitelnych obcanov.   analyza pody, kompostovanie, obnova pody, regeneracia pody, zahradne prace, prednaska, zazitok          Servisne poukazky </v>
      </c>
      <c r="AP23" s="69" t="s">
        <v>41</v>
      </c>
    </row>
    <row r="24" ht="15.75" customHeight="1">
      <c r="A24" s="45"/>
      <c r="B24" s="70">
        <v>22.0</v>
      </c>
      <c r="C24" s="41" t="s">
        <v>321</v>
      </c>
      <c r="D24" s="42" t="s">
        <v>66</v>
      </c>
      <c r="E24" s="43" t="str">
        <f t="shared" si="1"/>
        <v>Žilinský kraj, &amp;#32celé Slovensko</v>
      </c>
      <c r="F24" s="71" t="s">
        <v>322</v>
      </c>
      <c r="G24" s="43" t="str">
        <f t="shared" si="2"/>
        <v>ochrana a bezpečnosť , &amp;#32všetky kategórie</v>
      </c>
      <c r="H24" s="44" t="s">
        <v>170</v>
      </c>
      <c r="I24" s="45" t="str">
        <f t="shared" si="3"/>
        <v>21 a viac, &amp;#32všetky možnosti</v>
      </c>
      <c r="J24" s="46" t="str">
        <f t="shared" si="4"/>
        <v>,Register partnerov VS</v>
      </c>
      <c r="K24" s="47">
        <f t="shared" si="5"/>
        <v>17627.02712</v>
      </c>
      <c r="L24" s="45"/>
      <c r="M24" s="48" t="str">
        <f>IFERROR(__xludf.DUMMYFUNCTION("SPLIT(O24,"","")"),"Oravské Veselé 440")</f>
        <v>Oravské Veselé 440</v>
      </c>
      <c r="N24" s="48" t="str">
        <f>IFERROR(__xludf.DUMMYFUNCTION("""COMPUTED_VALUE""")," 029 62 Oravské Veselé")</f>
        <v> 029 62 Oravské Veselé</v>
      </c>
      <c r="O24" s="49" t="s">
        <v>323</v>
      </c>
      <c r="P24" s="50">
        <v>49.4961873</v>
      </c>
      <c r="Q24" s="50">
        <v>19.3694416</v>
      </c>
      <c r="R24" s="78" t="s">
        <v>324</v>
      </c>
      <c r="S24" s="52" t="s">
        <v>325</v>
      </c>
      <c r="T24" s="81" t="s">
        <v>326</v>
      </c>
      <c r="U24" s="75" t="s">
        <v>327</v>
      </c>
      <c r="V24" s="55" t="s">
        <v>328</v>
      </c>
      <c r="W24" s="76" t="s">
        <v>329</v>
      </c>
      <c r="X24" s="77" t="s">
        <v>321</v>
      </c>
      <c r="Y24" s="78" t="s">
        <v>330</v>
      </c>
      <c r="Z24" s="63" t="s">
        <v>331</v>
      </c>
      <c r="AA24" s="79" t="s">
        <v>64</v>
      </c>
      <c r="AB24" s="65"/>
      <c r="AC24" s="66"/>
      <c r="AD24" s="67"/>
      <c r="AE24" s="65"/>
      <c r="AF24" s="65"/>
      <c r="AG24" s="66"/>
      <c r="AH24" s="67"/>
      <c r="AI24" s="65"/>
      <c r="AJ24" s="65"/>
      <c r="AK24" s="66"/>
      <c r="AL24" s="67"/>
      <c r="AM24" s="52"/>
      <c r="AN24" s="80" t="s">
        <v>39</v>
      </c>
      <c r="AO24" s="68" t="str">
        <f t="shared" si="6"/>
        <v>KASprof-SECURITY agency s.r.o, r.s.p ochrana a bezpecnost , &amp;#32vsetky kategorie  029 62 Oravske Vesele KASprof SECURITY agency s.r.o, r.s.p na trhu posobi v oblasti straznej sluzby a sukromnej bezpecnosti uz 25 rokov v zmysle § 3 pism. a), b), c), d), e), f), g), h)  i) zakona o sukromnej bezpecnosti na zaklade licencie cislo: PS 001159 vydanej Krajskym riaditelstvom Policajneho zboru v Ziline dna 13.8.2020. Zaroven sme prevadzkovatelom technickej sluzby podla § 7 zakona o sukromnej bezpecnosti, na zaklade licencie cislo: PT001618 vydanej Krajskym riaditelstvom Policajneho zboru v Ziline dna 12.08.2015. 
Snazime sa profilovat  z hladiska odbornosti ako aj kvality na produktivnu a rozvijajucu sa spolocnost, pricom nam zalezi na odbornom raste nasich zamestnancov a skvalitnovani nasich sluzieb. Medzi zakladne sluzby z portfolia spolocnosti patria: ochrana majetku a osob, prevadzka zabezpecovacich a poplachovych systemov.
 Vytvorenim pracovnych prilezitosti pre znevyhodnene a zranitelne osoby, zaroven naplname ciel pri vytvarani spolocensky prospesnej sluzby, a to podporou regionalneho rozvoja a zamestnanosti.
 KASprof-SECURITY agency s.r.o, r.s.p Poskytovanie bezpecnostnej sluzby formou pripojenia na pult centralizovanej ochrany a na videopult. bezpecnostna sluzba, kamerove systemy, zabezpecovacie systemy           Register partnerov VS</v>
      </c>
      <c r="AP24" s="82"/>
    </row>
    <row r="25" ht="15.75" customHeight="1">
      <c r="A25" s="45"/>
      <c r="B25" s="70">
        <v>23.0</v>
      </c>
      <c r="C25" s="41" t="s">
        <v>332</v>
      </c>
      <c r="D25" s="42" t="s">
        <v>66</v>
      </c>
      <c r="E25" s="43" t="str">
        <f t="shared" si="1"/>
        <v>Žilinský kraj, &amp;#32celé Slovensko</v>
      </c>
      <c r="F25" s="42" t="s">
        <v>333</v>
      </c>
      <c r="G25" s="43" t="str">
        <f t="shared" si="2"/>
        <v>cestovný ruch, krása-zdravie-relax, odevy a obuv, iné (tovary a služby), &amp;#32všetky kategórie</v>
      </c>
      <c r="H25" s="44" t="s">
        <v>53</v>
      </c>
      <c r="I25" s="45" t="str">
        <f t="shared" si="3"/>
        <v>1 - 5, &amp;#32všetky možnosti</v>
      </c>
      <c r="J25" s="46" t="str">
        <f t="shared" si="4"/>
        <v>,</v>
      </c>
      <c r="K25" s="47">
        <f t="shared" si="5"/>
        <v>37511.25545</v>
      </c>
      <c r="L25" s="45"/>
      <c r="M25" s="48" t="str">
        <f>IFERROR(__xludf.DUMMYFUNCTION("SPLIT(O25,"","")"),"Likavka 65")</f>
        <v>Likavka 65</v>
      </c>
      <c r="N25" s="48" t="str">
        <f>IFERROR(__xludf.DUMMYFUNCTION("""COMPUTED_VALUE""")," 034 95 Likavka")</f>
        <v> 034 95 Likavka</v>
      </c>
      <c r="O25" s="49" t="s">
        <v>334</v>
      </c>
      <c r="P25" s="50">
        <v>49.086976</v>
      </c>
      <c r="Q25" s="50">
        <v>19.3076885</v>
      </c>
      <c r="R25" s="78" t="s">
        <v>335</v>
      </c>
      <c r="S25" s="52" t="s">
        <v>336</v>
      </c>
      <c r="T25" s="81" t="s">
        <v>337</v>
      </c>
      <c r="U25" s="75" t="s">
        <v>338</v>
      </c>
      <c r="V25" s="55" t="s">
        <v>339</v>
      </c>
      <c r="W25" s="76" t="s">
        <v>340</v>
      </c>
      <c r="X25" s="77" t="s">
        <v>341</v>
      </c>
      <c r="Y25" s="78" t="s">
        <v>342</v>
      </c>
      <c r="Z25" s="63" t="s">
        <v>343</v>
      </c>
      <c r="AA25" s="79" t="s">
        <v>64</v>
      </c>
      <c r="AB25" s="65"/>
      <c r="AC25" s="66"/>
      <c r="AD25" s="67"/>
      <c r="AE25" s="65"/>
      <c r="AF25" s="65"/>
      <c r="AG25" s="66"/>
      <c r="AH25" s="67"/>
      <c r="AI25" s="65"/>
      <c r="AJ25" s="65"/>
      <c r="AK25" s="66"/>
      <c r="AL25" s="67"/>
      <c r="AM25" s="36"/>
      <c r="AN25" s="65"/>
      <c r="AO25" s="68" t="str">
        <f t="shared" si="6"/>
        <v>VO VILE, s. r. o. cestovny ruch, krasa-zdravie-relax, odevy a obuv, ine (tovary a sluzby), &amp;#32vsetky kategorie  034 95 Likavka Prevadzkujeme Pozicovnu saun a zaoberame sa vyrobou a predajom oblecenia do wellness centier a do saun. Zamestnavame dvoch znevyhodnenych zamestnancov. VO VILE, s.r.o. - Pozicovna saun Poziciavame sauny - saunu klientovi dovezieme k domu, chate, hotelu a po skonceni najmu si ju prideme prevziat. 
Zaoberame sa tiez vyrobou a predajom saunovacieho textilu - v ponuke mame jednodielne a dvojdielne oblecenie do saun pre damy, pre panov, ponukame tiez saunovacie klobuciky. V nasom saunovacom obleceni ste aj v saune krasni. sauna, wellness, pozicovna, rent, mobilna sauna, sauny, prenajom           </v>
      </c>
      <c r="AP25" s="69" t="s">
        <v>41</v>
      </c>
    </row>
    <row r="26" ht="15.75" customHeight="1">
      <c r="A26" s="45"/>
      <c r="B26" s="70">
        <v>24.0</v>
      </c>
      <c r="C26" s="41" t="s">
        <v>344</v>
      </c>
      <c r="D26" s="42" t="s">
        <v>80</v>
      </c>
      <c r="E26" s="43" t="str">
        <f t="shared" si="1"/>
        <v>Trnavský kraj, &amp;#32celé Slovensko</v>
      </c>
      <c r="F26" s="71" t="s">
        <v>345</v>
      </c>
      <c r="G26" s="43" t="str">
        <f t="shared" si="2"/>
        <v>potraviny a nápoje, reklama, obaly, odevy a obuv, bižutéria a darčekové predmety, iné (tovary a služby), &amp;#32všetky kategórie</v>
      </c>
      <c r="H26" s="44" t="s">
        <v>170</v>
      </c>
      <c r="I26" s="45" t="str">
        <f t="shared" si="3"/>
        <v>21 a viac, &amp;#32všetky možnosti</v>
      </c>
      <c r="J26" s="46" t="str">
        <f t="shared" si="4"/>
        <v>,Register partnerov VS</v>
      </c>
      <c r="K26" s="47">
        <f t="shared" si="5"/>
        <v>35374.43206</v>
      </c>
      <c r="L26" s="45"/>
      <c r="M26" s="48" t="str">
        <f>IFERROR(__xludf.DUMMYFUNCTION("SPLIT(O26,"","")"),"Kukorelliho 7179/12")</f>
        <v>Kukorelliho 7179/12</v>
      </c>
      <c r="N26" s="48" t="str">
        <f>IFERROR(__xludf.DUMMYFUNCTION("""COMPUTED_VALUE""")," 921 01 Piešťany")</f>
        <v> 921 01 Piešťany</v>
      </c>
      <c r="O26" s="49" t="s">
        <v>346</v>
      </c>
      <c r="P26" s="50">
        <v>48.5911483999999</v>
      </c>
      <c r="Q26" s="50">
        <v>17.824363</v>
      </c>
      <c r="R26" s="93" t="s">
        <v>347</v>
      </c>
      <c r="S26" s="52" t="s">
        <v>348</v>
      </c>
      <c r="T26" s="81" t="s">
        <v>349</v>
      </c>
      <c r="U26" s="75" t="s">
        <v>350</v>
      </c>
      <c r="V26" s="55" t="s">
        <v>351</v>
      </c>
      <c r="W26" s="76" t="s">
        <v>352</v>
      </c>
      <c r="X26" s="77" t="s">
        <v>353</v>
      </c>
      <c r="Y26" s="78" t="s">
        <v>354</v>
      </c>
      <c r="Z26" s="63" t="s">
        <v>355</v>
      </c>
      <c r="AA26" s="79" t="s">
        <v>64</v>
      </c>
      <c r="AB26" s="65"/>
      <c r="AC26" s="66"/>
      <c r="AD26" s="67"/>
      <c r="AE26" s="65"/>
      <c r="AF26" s="65"/>
      <c r="AG26" s="66"/>
      <c r="AH26" s="67"/>
      <c r="AI26" s="65"/>
      <c r="AJ26" s="65"/>
      <c r="AK26" s="66"/>
      <c r="AL26" s="67"/>
      <c r="AM26" s="52"/>
      <c r="AN26" s="80" t="s">
        <v>39</v>
      </c>
      <c r="AO26" s="68" t="str">
        <f t="shared" si="6"/>
        <v>SLOVENSKA CHRANENA DIELNA s.r.o. potraviny a napoje, reklama, obaly, odevy a obuv, bizuteria a darcekove predmety, ine (tovary a sluzby), &amp;#32vsetky kategorie  921 01 Piestany Pre nasich klientov, ktorymi su najma firmy, obce, OZ, organizacie, skoly, sportove kluby a pod., ponukame v ramci 5 dielni velmi siroke portfolio nasich sluzieb.
V krajcirskej dielni vykonavame krajcirske prace rozneho druhu, aj specificke na mieru, ale najcastejsie sitie pracovneho a sportoveho oblecenia. Dokazeme plnofarebne celoplosne potlacit polyesterovu latku a nasledne z nej sit oblecenie.
V grafickej dielni okrem standartnych grafickych prac aj potlacame a vyrabame reklamne predmety, textil, kalendare, diare. Mame nakupene stroje na plnofarebnu potlac bannerov, roll-up bannerov, plagatov, nalepiek, stroj na sietotlac, tampoprint, razbu, laserovanie na rozne povrchy.
V cukrarni pecieme prioritne medovniky a rozne druhy cajoveho peciva, pocas roka v nej balime aj sypane caje, kavu, oriesky a susene ovocie.
V kreativnej dielni malujeme, vyrabame a zdobime pozdravy, kompletizujeme darcekove a vianocne balenia a vyrabame aj sviecky z vcelich platov.
V dielni manualnych prac, vdaka ktorej fungujeme celorocne, vykonavame balenie aj rozoberanie vyrobkov na dalsie spracovanie, skladanie skrutkovych zostav a krabiciek, kompletizaciu plastovych flasiek pre zvierata, triedenie a cistenie roznych zdravotne nezavadnych materialov.
Sme otvoreni akymkolvek novym vyzvam a radi vyskusame aj nove cinnosti, ak su v nasich priestoroch realizovatelne.  Zamestnavame celorocne 32 zamestnancov so zdravotnym znevyhodnenim. Vo stvrtom kvartali este priberame na vypomoc aj zaujemcov pracujucich na dohodu o vykonani prace, kde taktiez uprednostnujeme tych, co maju akekolvek znevyhodnenie.  Slovenska chranena dielna s.r.o. Sme skutocna chranena dielna s najsirsou ponukou sluzieb.
Sme vsestranni, flexibilni, obetavi.
Jednym pomahame a druhym usetrime. jednoducha manualna praca, montazne sady, triedenie, balenie, skladanie, potlac, sitie, UV potlac, sublimacia, laser, tampo print, vysivka, vysivanie loga, sietotlac, gravirovanie, vianocne pecivo, medovniky, pracovne oblecenie, sportove oblecenie, reklamne predmety, kalendare, diare, vyroba atypickych trofeji a medaili, balicky, darceky           Register partnerov VS</v>
      </c>
      <c r="AP26" s="69" t="s">
        <v>41</v>
      </c>
    </row>
    <row r="27" ht="15.75" customHeight="1">
      <c r="A27" s="45"/>
      <c r="B27" s="70">
        <v>25.0</v>
      </c>
      <c r="C27" s="41" t="s">
        <v>356</v>
      </c>
      <c r="D27" s="42" t="s">
        <v>217</v>
      </c>
      <c r="E27" s="43" t="str">
        <f t="shared" si="1"/>
        <v>Košický kraj, &amp;#32celé Slovensko</v>
      </c>
      <c r="F27" s="71" t="s">
        <v>357</v>
      </c>
      <c r="G27" s="43" t="str">
        <f t="shared" si="2"/>
        <v>čistiace a upratovacie služby, dom a záhrada, stavebníctvo, odpady a recyklácia, iné (tovary a služby), &amp;#32všetky kategórie</v>
      </c>
      <c r="H27" s="44" t="s">
        <v>170</v>
      </c>
      <c r="I27" s="45" t="str">
        <f t="shared" si="3"/>
        <v>21 a viac, &amp;#32všetky možnosti</v>
      </c>
      <c r="J27" s="46" t="str">
        <f t="shared" si="4"/>
        <v>,Register partnerov VS</v>
      </c>
      <c r="K27" s="47">
        <f t="shared" si="5"/>
        <v>23702.76662</v>
      </c>
      <c r="L27" s="45"/>
      <c r="M27" s="48" t="str">
        <f>IFERROR(__xludf.DUMMYFUNCTION("SPLIT(O27,"","")"),"Štefánikovo námestie 1")</f>
        <v>Štefánikovo námestie 1</v>
      </c>
      <c r="N27" s="48" t="str">
        <f>IFERROR(__xludf.DUMMYFUNCTION("""COMPUTED_VALUE""")," 052 01 Spišská Nová Ves")</f>
        <v> 052 01 Spišská Nová Ves</v>
      </c>
      <c r="O27" s="49" t="s">
        <v>358</v>
      </c>
      <c r="P27" s="50">
        <v>48.9468567</v>
      </c>
      <c r="Q27" s="50">
        <v>20.5586511</v>
      </c>
      <c r="R27" s="73" t="s">
        <v>359</v>
      </c>
      <c r="S27" s="52" t="s">
        <v>360</v>
      </c>
      <c r="T27" s="81" t="s">
        <v>361</v>
      </c>
      <c r="U27" s="75" t="s">
        <v>362</v>
      </c>
      <c r="V27" s="55" t="s">
        <v>363</v>
      </c>
      <c r="W27" s="76" t="s">
        <v>364</v>
      </c>
      <c r="X27" s="77" t="s">
        <v>365</v>
      </c>
      <c r="Y27" s="78" t="s">
        <v>366</v>
      </c>
      <c r="Z27" s="63" t="s">
        <v>367</v>
      </c>
      <c r="AA27" s="79" t="s">
        <v>64</v>
      </c>
      <c r="AB27" s="65"/>
      <c r="AC27" s="66"/>
      <c r="AD27" s="67"/>
      <c r="AE27" s="65"/>
      <c r="AF27" s="65"/>
      <c r="AG27" s="66"/>
      <c r="AH27" s="67"/>
      <c r="AI27" s="65"/>
      <c r="AJ27" s="65"/>
      <c r="AK27" s="66"/>
      <c r="AL27" s="67"/>
      <c r="AM27" s="52"/>
      <c r="AN27" s="80" t="s">
        <v>39</v>
      </c>
      <c r="AO27" s="68" t="str">
        <f t="shared" si="6"/>
        <v>MEPOS SNV s. r. o. cistiace a upratovacie sluzby, dom a zahrada, stavebnictvo, odpady a recyklacia, ine (tovary a sluzby), &amp;#32vsetky kategorie  052 01 Spisska Nova Ves Technicke sluzby, stavebna cinnost, zemne a vykopove prace, rekonstrukcie budov, chodnikov, upratovanie, zimna udrzba, zvisle dopravne znacenie, starostlivost o zelen, prevadzka kompostarne, MOM. Podpora zamestnanosti znevyhodnenych osob. Stredisko technickych sluzieb Technicka a stavebna cinnost, zemne prace, zvaracske prace, udrzba a rekonstrukcia chodnikov, budov. zemne prace, buranie, vykopove prace, chodniky, kosenie, zimna udrzba, bio odpad, kuchynsky odpad, zabradlie, znacky, zvisle dopravne znacenie           Register partnerov VS</v>
      </c>
      <c r="AP27" s="82"/>
    </row>
    <row r="28" ht="15.75" customHeight="1">
      <c r="A28" s="45"/>
      <c r="B28" s="70">
        <v>26.0</v>
      </c>
      <c r="C28" s="41" t="s">
        <v>368</v>
      </c>
      <c r="D28" s="42" t="s">
        <v>80</v>
      </c>
      <c r="E28" s="43" t="str">
        <f t="shared" si="1"/>
        <v>Trnavský kraj, &amp;#32celé Slovensko</v>
      </c>
      <c r="F28" s="71" t="s">
        <v>369</v>
      </c>
      <c r="G28" s="43" t="str">
        <f t="shared" si="2"/>
        <v>pre deti, &amp;#32všetky kategórie</v>
      </c>
      <c r="H28" s="44" t="s">
        <v>53</v>
      </c>
      <c r="I28" s="45" t="str">
        <f t="shared" si="3"/>
        <v>1 - 5, &amp;#32všetky možnosti</v>
      </c>
      <c r="J28" s="46" t="str">
        <f t="shared" si="4"/>
        <v>,</v>
      </c>
      <c r="K28" s="47">
        <f t="shared" si="5"/>
        <v>12414.41879</v>
      </c>
      <c r="L28" s="45"/>
      <c r="M28" s="48" t="str">
        <f>IFERROR(__xludf.DUMMYFUNCTION("SPLIT(O28,"","")"),"Niklová 2190")</f>
        <v>Niklová 2190</v>
      </c>
      <c r="N28" s="48" t="str">
        <f>IFERROR(__xludf.DUMMYFUNCTION("""COMPUTED_VALUE""")," 926 01 Sereď")</f>
        <v> 926 01 Sereď</v>
      </c>
      <c r="O28" s="49" t="s">
        <v>370</v>
      </c>
      <c r="P28" s="50">
        <v>48.2716992</v>
      </c>
      <c r="Q28" s="50">
        <v>17.7373134</v>
      </c>
      <c r="R28" s="73" t="s">
        <v>371</v>
      </c>
      <c r="S28" s="52" t="s">
        <v>372</v>
      </c>
      <c r="T28" s="81" t="s">
        <v>373</v>
      </c>
      <c r="U28" s="75" t="s">
        <v>374</v>
      </c>
      <c r="V28" s="55" t="s">
        <v>375</v>
      </c>
      <c r="W28" s="76" t="s">
        <v>376</v>
      </c>
      <c r="X28" s="77" t="s">
        <v>377</v>
      </c>
      <c r="Y28" s="78" t="s">
        <v>378</v>
      </c>
      <c r="Z28" s="63" t="s">
        <v>379</v>
      </c>
      <c r="AA28" s="79" t="s">
        <v>64</v>
      </c>
      <c r="AB28" s="65"/>
      <c r="AC28" s="66"/>
      <c r="AD28" s="67"/>
      <c r="AE28" s="65"/>
      <c r="AF28" s="65"/>
      <c r="AG28" s="66"/>
      <c r="AH28" s="67"/>
      <c r="AI28" s="65"/>
      <c r="AJ28" s="65"/>
      <c r="AK28" s="66"/>
      <c r="AL28" s="67"/>
      <c r="AM28" s="36"/>
      <c r="AN28" s="65"/>
      <c r="AO28" s="68" t="str">
        <f t="shared" si="6"/>
        <v>GOEL media s.r.o. pre deti, &amp;#32vsetky kategorie  926 01 Sered Sme rodinna firma zamerana na rodinu.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V nasej sijacej dielni zamestnavame ZTP osoby a nasim cielom je vytvorit viac pracovnych miest, vytvorit pre nasich zamestnancov co najlepsie pracovne prostredie. Podporujeme tiez rodiny s postihnutymi detmi, azylove domy, matky na materskej dovolenke roznymi materialmi na dalsiu tvorbu. KIDVAK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dieta, spanok, hacka, hniezdo, detska deka, ovcia vlna, uspavanie           </v>
      </c>
      <c r="AP28" s="69" t="s">
        <v>41</v>
      </c>
    </row>
    <row r="29" ht="15.75" customHeight="1">
      <c r="A29" s="45"/>
      <c r="B29" s="70">
        <v>27.0</v>
      </c>
      <c r="C29" s="41" t="s">
        <v>380</v>
      </c>
      <c r="D29" s="42" t="s">
        <v>94</v>
      </c>
      <c r="E29" s="43" t="str">
        <f t="shared" si="1"/>
        <v>Bratislavský kraj, &amp;#32celé Slovensko</v>
      </c>
      <c r="F29" s="71" t="s">
        <v>381</v>
      </c>
      <c r="G29" s="43" t="str">
        <f t="shared" si="2"/>
        <v>cestovný ruch, kultúra a šport, reklama, potraviny a nápoje, iné (tovary a služby), &amp;#32všetky kategórie</v>
      </c>
      <c r="H29" s="44" t="s">
        <v>53</v>
      </c>
      <c r="I29" s="45" t="str">
        <f t="shared" si="3"/>
        <v>1 - 5, &amp;#32všetky možnosti</v>
      </c>
      <c r="J29" s="46" t="str">
        <f t="shared" si="4"/>
        <v>,Register partnerov VS</v>
      </c>
      <c r="K29" s="47">
        <f t="shared" si="5"/>
        <v>19793.11404</v>
      </c>
      <c r="L29" s="45"/>
      <c r="M29" s="48" t="str">
        <f>IFERROR(__xludf.DUMMYFUNCTION("SPLIT(O29,"","")"),"Vinice 5562/3")</f>
        <v>Vinice 5562/3</v>
      </c>
      <c r="N29" s="48" t="str">
        <f>IFERROR(__xludf.DUMMYFUNCTION("""COMPUTED_VALUE""")," 902 03 Pezinok")</f>
        <v> 902 03 Pezinok</v>
      </c>
      <c r="O29" s="49" t="s">
        <v>382</v>
      </c>
      <c r="P29" s="50">
        <v>48.269578</v>
      </c>
      <c r="Q29" s="50">
        <v>17.2384144</v>
      </c>
      <c r="R29" s="93" t="s">
        <v>383</v>
      </c>
      <c r="S29" s="52" t="s">
        <v>384</v>
      </c>
      <c r="T29" s="81" t="s">
        <v>385</v>
      </c>
      <c r="U29" s="75" t="s">
        <v>386</v>
      </c>
      <c r="V29" s="55" t="s">
        <v>387</v>
      </c>
      <c r="W29" s="76" t="s">
        <v>388</v>
      </c>
      <c r="X29" s="77" t="s">
        <v>389</v>
      </c>
      <c r="Y29" s="78" t="s">
        <v>390</v>
      </c>
      <c r="Z29" s="63" t="s">
        <v>391</v>
      </c>
      <c r="AA29" s="85" t="s">
        <v>129</v>
      </c>
      <c r="AB29" s="65" t="s">
        <v>392</v>
      </c>
      <c r="AC29" s="66" t="s">
        <v>393</v>
      </c>
      <c r="AD29" s="67" t="s">
        <v>394</v>
      </c>
      <c r="AE29" s="65" t="s">
        <v>64</v>
      </c>
      <c r="AF29" s="65"/>
      <c r="AG29" s="66"/>
      <c r="AH29" s="67"/>
      <c r="AI29" s="65"/>
      <c r="AJ29" s="65"/>
      <c r="AK29" s="66"/>
      <c r="AL29" s="67"/>
      <c r="AM29" s="52"/>
      <c r="AN29" s="80" t="s">
        <v>39</v>
      </c>
      <c r="AO29" s="68" t="str">
        <f t="shared" si="6"/>
        <v>Majolika-R, s.r.o.  cestovny ruch, kultura a sport, reklama, potraviny a napoje, ine (tovary a sluzby), &amp;#32vsetky kategorie  902 03 Pezinok Firma sa viac ako 30 rokov venuje hlavne zachovavaniu tradicneho remesla –  vyrobe tradicnej slovenskej ludovej majoliky a uzitkovej keramiky s roznymi logami firiem, nazvami, ci menami. Od roku 2011 fungujeme ako Chranena dielna a do nasej prace sme zacali zaclenovat aj ludi s hendikepom. Pomalymi krocikmi a niekolkomesacnym az niekolkorocnym ucenim dnes nasi hendikepovani kolegovia vyrabaju nadherne vyrobky, na ktore sme vsetci velmi hrdi.
Spajame to najlepsie, co nas region ponuka – vyrobu tradicnej slovenskej ludovej majoliky a vinnu pivnicu, kde si mozu nasi zakaznici vychutnat poharik skveleho regionalneho vinka, ci pochutnat si na slovenskych specialitach.
nasu ponuku sme  rozsirili aj o textilnu vyrobu a spolocne sme zacali sit ochranne ruska. A kedze sme kreativna firma, zriadili sme aj malu prevadzku, kde dodnes predavame bubble waffle, corn-dogy a ine speciality. Momentalne nas mozete najst v areali prirodneho kupaliska Kuchajda v Bratislave a na parkovisku pod hradom Devin. V zimnych mesiacoch iba cez vikendy. V zmysle poskytovania spolocensky prospesnej sluzby podpory zamestnanosti zamestnavame zranitelne a znevyhodnene osoby. Ich zamestnavanim, sledujeme ciel ich (opatovneho) socialneho zaclenenia. Praca s hendikepovanymi a znevyhodnenymi ludmi je pre nas poslanim.
V zmysle poskytovania spolocensky prospesnej sluzby tvorby, rozvoja, ochrany, obnovy a prezentacie duchovnych a kulturnych hodnot nasa spolocnost zachovava dedicstvo nasich otcov – slovensku ludovu majoliku - pre dalsie generacie.  Majolika-R Exkurzie pre turistov, tvorive dielne, keramicke vyrobky pre firmy formou nahradneho plnenia keramika, majolika, slovenska ludova majolika, tvorive dielne, exkurzie Majolika-R Kuchajda Cerstva vyroba bubble-waffli a specialnych corn-dogov (parok v kukuricnom cesticku, aj vegetariansky) obcerstvenie, bubble-waffle, corn dogy, napoje, kava, ...        Register partnerov VS</v>
      </c>
      <c r="AP29" s="69" t="s">
        <v>41</v>
      </c>
    </row>
    <row r="30" ht="15.75" customHeight="1">
      <c r="A30" s="45"/>
      <c r="B30" s="70">
        <v>28.0</v>
      </c>
      <c r="C30" s="94" t="s">
        <v>395</v>
      </c>
      <c r="D30" s="42" t="s">
        <v>51</v>
      </c>
      <c r="E30" s="43" t="str">
        <f t="shared" si="1"/>
        <v>Prešovský kraj, &amp;#32celé Slovensko</v>
      </c>
      <c r="F30" s="71" t="s">
        <v>396</v>
      </c>
      <c r="G30" s="43" t="str">
        <f t="shared" si="2"/>
        <v>iné (tovary a služby), &amp;#32všetky kategórie</v>
      </c>
      <c r="H30" s="44" t="s">
        <v>170</v>
      </c>
      <c r="I30" s="45" t="str">
        <f t="shared" si="3"/>
        <v>21 a viac, &amp;#32všetky možnosti</v>
      </c>
      <c r="J30" s="46" t="str">
        <f t="shared" si="4"/>
        <v>,Register partnerov VS</v>
      </c>
      <c r="K30" s="47">
        <f t="shared" si="5"/>
        <v>33270.99667</v>
      </c>
      <c r="L30" s="45"/>
      <c r="M30" s="48" t="str">
        <f>IFERROR(__xludf.DUMMYFUNCTION("SPLIT(O30,"","")"),"Traktorová 589/1")</f>
        <v>Traktorová 589/1</v>
      </c>
      <c r="N30" s="48" t="str">
        <f>IFERROR(__xludf.DUMMYFUNCTION("""COMPUTED_VALUE""")," 058 01 Poprad")</f>
        <v> 058 01 Poprad</v>
      </c>
      <c r="O30" s="49" t="s">
        <v>397</v>
      </c>
      <c r="P30" s="50">
        <v>49.0586925</v>
      </c>
      <c r="Q30" s="50">
        <v>20.2793572</v>
      </c>
      <c r="R30" s="78" t="s">
        <v>398</v>
      </c>
      <c r="S30" s="52" t="s">
        <v>399</v>
      </c>
      <c r="T30" s="81" t="s">
        <v>86</v>
      </c>
      <c r="U30" s="75" t="s">
        <v>400</v>
      </c>
      <c r="V30" s="55" t="s">
        <v>401</v>
      </c>
      <c r="W30" s="76" t="s">
        <v>402</v>
      </c>
      <c r="X30" s="77" t="s">
        <v>403</v>
      </c>
      <c r="Y30" s="78" t="s">
        <v>404</v>
      </c>
      <c r="Z30" s="63" t="s">
        <v>405</v>
      </c>
      <c r="AA30" s="79" t="s">
        <v>64</v>
      </c>
      <c r="AB30" s="65"/>
      <c r="AC30" s="66"/>
      <c r="AD30" s="67"/>
      <c r="AE30" s="65"/>
      <c r="AF30" s="65"/>
      <c r="AG30" s="66"/>
      <c r="AH30" s="67"/>
      <c r="AI30" s="65"/>
      <c r="AJ30" s="65"/>
      <c r="AK30" s="66"/>
      <c r="AL30" s="67"/>
      <c r="AM30" s="52"/>
      <c r="AN30" s="80" t="s">
        <v>39</v>
      </c>
      <c r="AO30" s="68" t="str">
        <f t="shared" si="6"/>
        <v>UNICOL s.r.o., r.s.p. ine (tovary a sluzby), &amp;#32vsetky kategorie  058 01 Poprad Vyroba plastovych koncentratov pre vyrobu vlaken, vyrobu folii z plastov a rozne koncentraty aditiv do plastovej vyroby. Vyraba vyrobky uplatnitelne na europskom trhu s doplnenim vyrobkov, ktore su na trhu nedostatkove s vysokou spolocenskou a materialnou hodnotou  v oblasti chemickeho  priemyslu.  Unicol s.r.o. Vyroba plastovych koncentratov. plasty, plastove koncentraty, folie, masterbatch, vlakno farby, aditiva, vstrekovanie           Register partnerov VS</v>
      </c>
      <c r="AP30" s="69" t="s">
        <v>41</v>
      </c>
    </row>
    <row r="31" ht="15.75" customHeight="1">
      <c r="A31" s="45"/>
      <c r="B31" s="70">
        <v>29.0</v>
      </c>
      <c r="C31" s="94" t="s">
        <v>406</v>
      </c>
      <c r="D31" s="42" t="s">
        <v>181</v>
      </c>
      <c r="E31" s="43" t="str">
        <f t="shared" si="1"/>
        <v>Banskobystrický kraj, &amp;#32celé Slovensko</v>
      </c>
      <c r="F31" s="71" t="s">
        <v>407</v>
      </c>
      <c r="G31" s="43" t="str">
        <f t="shared" si="2"/>
        <v>poľnohospodárstvo a lesníctvo, dom a záhrada, &amp;#32všetky kategórie</v>
      </c>
      <c r="H31" s="44" t="s">
        <v>96</v>
      </c>
      <c r="I31" s="45" t="str">
        <f t="shared" si="3"/>
        <v>6 - 10, &amp;#32všetky možnosti</v>
      </c>
      <c r="J31" s="46" t="str">
        <f t="shared" si="4"/>
        <v>,Register partnerov VS</v>
      </c>
      <c r="K31" s="47">
        <f t="shared" si="5"/>
        <v>3051.436797</v>
      </c>
      <c r="L31" s="45"/>
      <c r="M31" s="48" t="str">
        <f>IFERROR(__xludf.DUMMYFUNCTION("SPLIT(O31,"","")"),"Rovňany 146")</f>
        <v>Rovňany 146</v>
      </c>
      <c r="N31" s="48" t="str">
        <f>IFERROR(__xludf.DUMMYFUNCTION("""COMPUTED_VALUE""")," 985 24 Rovňany")</f>
        <v> 985 24 Rovňany</v>
      </c>
      <c r="O31" s="49" t="s">
        <v>408</v>
      </c>
      <c r="P31" s="50">
        <v>48.4482326</v>
      </c>
      <c r="Q31" s="50">
        <v>19.7411424</v>
      </c>
      <c r="R31" s="73" t="s">
        <v>409</v>
      </c>
      <c r="S31" s="52" t="s">
        <v>410</v>
      </c>
      <c r="T31" s="81" t="s">
        <v>86</v>
      </c>
      <c r="U31" s="75" t="s">
        <v>411</v>
      </c>
      <c r="V31" s="55" t="s">
        <v>412</v>
      </c>
      <c r="W31" s="76" t="s">
        <v>413</v>
      </c>
      <c r="X31" s="77" t="s">
        <v>414</v>
      </c>
      <c r="Y31" s="78" t="s">
        <v>415</v>
      </c>
      <c r="Z31" s="63" t="s">
        <v>416</v>
      </c>
      <c r="AA31" s="79" t="s">
        <v>64</v>
      </c>
      <c r="AB31" s="65"/>
      <c r="AC31" s="66"/>
      <c r="AD31" s="67"/>
      <c r="AE31" s="65"/>
      <c r="AF31" s="65"/>
      <c r="AG31" s="66"/>
      <c r="AH31" s="67"/>
      <c r="AI31" s="65"/>
      <c r="AJ31" s="65"/>
      <c r="AK31" s="66"/>
      <c r="AL31" s="67"/>
      <c r="AM31" s="52"/>
      <c r="AN31" s="80" t="s">
        <v>39</v>
      </c>
      <c r="AO31" s="68" t="str">
        <f t="shared" si="6"/>
        <v>Agro – drevinovy ekosystem BBSK, s.r.o. "registrovany socialny podnik" polnohospodarstvo a lesnictvo, dom a zahrada, &amp;#32vsetky kategorie  985 24 Rovnany Socialny podnik je orientovany na agro - drevinovy ekosystem s chovom vciel. 
Socialny podnik reflektoval na aktualnu situaciu a  ponuka zakazky na kosenie a udrzbu zelene, cim chce pomoct mensim samospravam v Banskobystrickom samospravnom kraji v dobe pandemie, ktorej aktualne chyba potrebna pracovna sila. 
 Socialny polnohospodarsky podnik v Rovnanoch je uspesnym prikladom toho, ako sa prostrednictvom socialnej ekonomiky da vytvorit cesta na trh prace a dostojny zivot prave ludom, ktori su dlhodobo nezamestnani, zdravotne postihnuti alebo inak znevyhodneni. Spolocnost Agro – drevinovy ekosystem BBSK, s.r.o. "registrovany socialny podnik"  Socialny podnik ponuka kosenie zelene, opilovanie stromov, vyraba komponenty z dreva a predava ovocie a zeleninu. kosenie, udrzba zelene, opilovanie stromov, zemne prace, ovocie, zelenina, vyroba komponentov z dreva           Register partnerov VS</v>
      </c>
      <c r="AP31" s="82"/>
    </row>
    <row r="32" ht="15.75" customHeight="1">
      <c r="A32" s="45"/>
      <c r="B32" s="70">
        <v>30.0</v>
      </c>
      <c r="C32" s="94" t="s">
        <v>417</v>
      </c>
      <c r="D32" s="42" t="s">
        <v>181</v>
      </c>
      <c r="E32" s="43" t="str">
        <f t="shared" si="1"/>
        <v>Banskobystrický kraj, &amp;#32celé Slovensko</v>
      </c>
      <c r="F32" s="71" t="s">
        <v>418</v>
      </c>
      <c r="G32" s="43" t="str">
        <f t="shared" si="2"/>
        <v>doprava, vzdelávanie, kultúra a šport, odpady a recyklácia, reklama, pre deti, bižutéria a darčekové predmety, iné (tovary a služby), &amp;#32všetky kategórie</v>
      </c>
      <c r="H32" s="44" t="s">
        <v>53</v>
      </c>
      <c r="I32" s="45" t="str">
        <f t="shared" si="3"/>
        <v>1 - 5, &amp;#32všetky možnosti</v>
      </c>
      <c r="J32" s="46" t="str">
        <f t="shared" si="4"/>
        <v>,</v>
      </c>
      <c r="K32" s="47">
        <f t="shared" si="5"/>
        <v>31959.74716</v>
      </c>
      <c r="L32" s="45"/>
      <c r="M32" s="48" t="str">
        <f>IFERROR(__xludf.DUMMYFUNCTION("SPLIT(O32,"","")"),"Telgárt 82")</f>
        <v>Telgárt 82</v>
      </c>
      <c r="N32" s="48" t="str">
        <f>IFERROR(__xludf.DUMMYFUNCTION("""COMPUTED_VALUE""")," 976 73 Telgárt ")</f>
        <v> 976 73 Telgárt </v>
      </c>
      <c r="O32" s="49" t="s">
        <v>419</v>
      </c>
      <c r="P32" s="50">
        <v>48.8509509999999</v>
      </c>
      <c r="Q32" s="50">
        <v>20.202575</v>
      </c>
      <c r="R32" s="78" t="s">
        <v>420</v>
      </c>
      <c r="S32" s="52" t="s">
        <v>421</v>
      </c>
      <c r="T32" s="81" t="s">
        <v>422</v>
      </c>
      <c r="U32" s="75" t="s">
        <v>423</v>
      </c>
      <c r="V32" s="55" t="s">
        <v>424</v>
      </c>
      <c r="W32" s="76" t="s">
        <v>425</v>
      </c>
      <c r="X32" s="77" t="s">
        <v>426</v>
      </c>
      <c r="Y32" s="78" t="s">
        <v>427</v>
      </c>
      <c r="Z32" s="63" t="s">
        <v>428</v>
      </c>
      <c r="AA32" s="79" t="s">
        <v>64</v>
      </c>
      <c r="AB32" s="65"/>
      <c r="AC32" s="66"/>
      <c r="AD32" s="67"/>
      <c r="AE32" s="65"/>
      <c r="AF32" s="65"/>
      <c r="AG32" s="66"/>
      <c r="AH32" s="67"/>
      <c r="AI32" s="65"/>
      <c r="AJ32" s="65"/>
      <c r="AK32" s="66"/>
      <c r="AL32" s="67"/>
      <c r="AM32" s="36"/>
      <c r="AN32" s="65"/>
      <c r="AO32" s="68" t="str">
        <f t="shared" si="6"/>
        <v>Dreveno koliesko s.r.o. doprava, vzdelavanie, kultura a sport, odpady a recyklacia, reklama, pre deti, bizuteria a darcekove predmety, ine (tovary a sluzby), &amp;#32vsetky kategorie  976 73 Telgart  Pre ludi s obmedzenym uplatnenim na standardnom trhu prace poskytujeme prace z domu. Vytvarame pracovne miesta, ktorych ucelom je vyroba drevenych reklamnych a darcekovych predmetov.  Zakladnym principom socialneho podniku Dreveno koliesko/Sucast zivota je vytvaranie pracovnych miest pre ludi s obmedzenym uplatnenim na standardnom trhu prace, a to poskytovanim prace z domu. Empatickym pristupom, respektovanim individualnych obmedzeni zamestnanca, umoznenim flexibilneho riadenia pracovnej doby a jej prisposobenia moznostiam a potrebam zamestnanca, napomahame sklbit pracovny zivot a starostlivost o rodinu v tazkej zivotnej situacii. Dreveno koliesko Jedna sa o pracu na doma s predpripravenymi polotovarmi - dekorovanie a spracovanie drevenych koliesok do finalnej podoby. darcekove predmety, reklamne darceky, edukativne sety pre MS a ZS           </v>
      </c>
      <c r="AP32" s="82"/>
    </row>
    <row r="33" ht="15.75" customHeight="1">
      <c r="A33" s="45"/>
      <c r="B33" s="70">
        <v>31.0</v>
      </c>
      <c r="C33" s="94" t="s">
        <v>429</v>
      </c>
      <c r="D33" s="42" t="s">
        <v>51</v>
      </c>
      <c r="E33" s="43" t="str">
        <f t="shared" si="1"/>
        <v>Prešovský kraj, &amp;#32celé Slovensko</v>
      </c>
      <c r="F33" s="71" t="s">
        <v>430</v>
      </c>
      <c r="G33" s="43" t="str">
        <f t="shared" si="2"/>
        <v>dom a záhrada, stavebníctvo, odevy a obuv, pre deti, bižutéria a darčekové predmety, kultúra a šport, &amp;#32všetky kategórie</v>
      </c>
      <c r="H33" s="44" t="s">
        <v>170</v>
      </c>
      <c r="I33" s="45" t="str">
        <f t="shared" si="3"/>
        <v>21 a viac, &amp;#32všetky možnosti</v>
      </c>
      <c r="J33" s="46" t="str">
        <f t="shared" si="4"/>
        <v>Servisné poukážky,Register partnerov VS</v>
      </c>
      <c r="K33" s="47">
        <f t="shared" si="5"/>
        <v>27140.56278</v>
      </c>
      <c r="L33" s="45"/>
      <c r="M33" s="48" t="str">
        <f>IFERROR(__xludf.DUMMYFUNCTION("SPLIT(O33,"","")"),"Strojárska 2060/95")</f>
        <v>Strojárska 2060/95</v>
      </c>
      <c r="N33" s="48" t="str">
        <f>IFERROR(__xludf.DUMMYFUNCTION("""COMPUTED_VALUE""")," 069 01 Snina")</f>
        <v> 069 01 Snina</v>
      </c>
      <c r="O33" s="49" t="s">
        <v>431</v>
      </c>
      <c r="P33" s="50">
        <v>48.9879904</v>
      </c>
      <c r="Q33" s="50">
        <v>22.1514579</v>
      </c>
      <c r="R33" s="78" t="s">
        <v>432</v>
      </c>
      <c r="S33" s="52" t="s">
        <v>433</v>
      </c>
      <c r="T33" s="81" t="s">
        <v>86</v>
      </c>
      <c r="U33" s="75" t="s">
        <v>434</v>
      </c>
      <c r="V33" s="55" t="s">
        <v>435</v>
      </c>
      <c r="W33" s="95" t="s">
        <v>436</v>
      </c>
      <c r="X33" s="77" t="s">
        <v>437</v>
      </c>
      <c r="Y33" s="78" t="s">
        <v>438</v>
      </c>
      <c r="Z33" s="63" t="s">
        <v>439</v>
      </c>
      <c r="AA33" s="79" t="s">
        <v>64</v>
      </c>
      <c r="AB33" s="65"/>
      <c r="AC33" s="66"/>
      <c r="AD33" s="67"/>
      <c r="AE33" s="65"/>
      <c r="AF33" s="65"/>
      <c r="AG33" s="66"/>
      <c r="AH33" s="67"/>
      <c r="AI33" s="65"/>
      <c r="AJ33" s="65"/>
      <c r="AK33" s="66"/>
      <c r="AL33" s="67"/>
      <c r="AM33" s="96" t="s">
        <v>320</v>
      </c>
      <c r="AN33" s="80" t="s">
        <v>39</v>
      </c>
      <c r="AO33" s="68" t="str">
        <f t="shared" si="6"/>
        <v>Mestsky podnik Snina, s. r. o.  dom a zahrada, stavebnictvo, odevy a obuv, pre deti, bizuteria a darcekove predmety, kultura a sport, &amp;#32vsetky kategorie  069 01 Snina Remeselna dielna - vysivane kroje, rucne vysivane vyrobky a darcekove predmety (e-shop www.pomozkupou.sk), stavebna cinnost, starostlivost o domacnost a zahradu, prevadzka plavarne a wellness. Zamestnavame znevyhodnenych uchadzacov o zamestnanie a zdravotne znevyhodnenych. Mestsky podnik Snina Rucne vyrabane darcekove predmety, sitie krojov, stavebna cinnost kroje, sperky, plavaren, wellness          Servisne poukazky Register partnerov VS</v>
      </c>
      <c r="AP33" s="69" t="s">
        <v>41</v>
      </c>
    </row>
    <row r="34" ht="15.75" customHeight="1">
      <c r="A34" s="45"/>
      <c r="B34" s="70">
        <v>32.0</v>
      </c>
      <c r="C34" s="94" t="s">
        <v>440</v>
      </c>
      <c r="D34" s="42" t="s">
        <v>228</v>
      </c>
      <c r="E34" s="43" t="str">
        <f t="shared" si="1"/>
        <v>Nitriansky kraj, &amp;#32celé Slovensko</v>
      </c>
      <c r="F34" s="71" t="s">
        <v>441</v>
      </c>
      <c r="G34" s="43" t="str">
        <f t="shared" si="2"/>
        <v>dom a záhrada, odpady a recyklácia, reklama, odevy a obuv, pre deti, bižutéria a darčekové predmety, zvieratá, &amp;#32všetky kategórie</v>
      </c>
      <c r="H34" s="44" t="s">
        <v>96</v>
      </c>
      <c r="I34" s="45" t="str">
        <f t="shared" si="3"/>
        <v>6 - 10, &amp;#32všetky možnosti</v>
      </c>
      <c r="J34" s="46" t="str">
        <f t="shared" si="4"/>
        <v>,Register partnerov VS</v>
      </c>
      <c r="K34" s="47">
        <f t="shared" si="5"/>
        <v>12674.14061</v>
      </c>
      <c r="L34" s="45"/>
      <c r="M34" s="48" t="str">
        <f>IFERROR(__xludf.DUMMYFUNCTION("SPLIT(O34,"","")"),"Nitrianska Blatnica 493")</f>
        <v>Nitrianska Blatnica 493</v>
      </c>
      <c r="N34" s="48" t="str">
        <f>IFERROR(__xludf.DUMMYFUNCTION("""COMPUTED_VALUE""")," 956 05 Nitrianska Blatnica")</f>
        <v> 956 05 Nitrianska Blatnica</v>
      </c>
      <c r="O34" s="49" t="s">
        <v>442</v>
      </c>
      <c r="P34" s="50">
        <v>48.5568375999999</v>
      </c>
      <c r="Q34" s="50">
        <v>17.9666089</v>
      </c>
      <c r="R34" s="78" t="s">
        <v>443</v>
      </c>
      <c r="S34" s="52" t="s">
        <v>444</v>
      </c>
      <c r="T34" s="81" t="s">
        <v>86</v>
      </c>
      <c r="U34" s="75" t="s">
        <v>445</v>
      </c>
      <c r="V34" s="55" t="s">
        <v>446</v>
      </c>
      <c r="W34" s="76" t="s">
        <v>447</v>
      </c>
      <c r="X34" s="77" t="s">
        <v>448</v>
      </c>
      <c r="Y34" s="78" t="s">
        <v>449</v>
      </c>
      <c r="Z34" s="59" t="s">
        <v>450</v>
      </c>
      <c r="AA34" s="79" t="s">
        <v>64</v>
      </c>
      <c r="AB34" s="65"/>
      <c r="AC34" s="66"/>
      <c r="AD34" s="97"/>
      <c r="AE34" s="65"/>
      <c r="AF34" s="65"/>
      <c r="AG34" s="66"/>
      <c r="AH34" s="67"/>
      <c r="AI34" s="65"/>
      <c r="AJ34" s="65"/>
      <c r="AK34" s="66"/>
      <c r="AL34" s="67"/>
      <c r="AM34" s="52"/>
      <c r="AN34" s="80" t="s">
        <v>39</v>
      </c>
      <c r="AO34" s="68" t="str">
        <f t="shared" si="6"/>
        <v>upcycle, s.r.o. dom a zahrada, odpady a recyklacia, reklama, odevy a obuv, pre deti, bizuteria a darcekove predmety, zvierata, &amp;#32vsetky kategorie  956 05 Nitrianska Blatnica Darcekove a reklamne predmety, male calunene vyrobky, vyrobky z latok, vyrobky z prebytkov vyroby sedaciek. Zamestnavame znevyhodnene osoby, vyuzivame materialy z vyroby sedaciek, ktore by inak skoncili na skladke - dostavaju druhu sancu ako reklamne a darcekove predmety. Upcycle s.r.o. Navleky na kvetinace, exterierove a interierove sedaky, zvieratka, pelechy pre zvierata. reklamne predmety, darcekove predmety, sedaky, podusky, pelech, pes,           Register partnerov VS</v>
      </c>
      <c r="AP34" s="69" t="s">
        <v>41</v>
      </c>
    </row>
    <row r="35" ht="15.75" customHeight="1">
      <c r="A35" s="45"/>
      <c r="B35" s="70">
        <v>33.0</v>
      </c>
      <c r="C35" s="94" t="s">
        <v>451</v>
      </c>
      <c r="D35" s="42" t="s">
        <v>217</v>
      </c>
      <c r="E35" s="43" t="str">
        <f t="shared" si="1"/>
        <v>Košický kraj, &amp;#32celé Slovensko</v>
      </c>
      <c r="F35" s="71" t="s">
        <v>452</v>
      </c>
      <c r="G35" s="43" t="str">
        <f t="shared" si="2"/>
        <v>čistiace a upratovacie služby, stavebníctvo, kultúra a šport, reklama, dom a záhrada, &amp;#32všetky kategórie</v>
      </c>
      <c r="H35" s="44" t="s">
        <v>96</v>
      </c>
      <c r="I35" s="45" t="str">
        <f t="shared" si="3"/>
        <v>6 - 10, &amp;#32všetky možnosti</v>
      </c>
      <c r="J35" s="46" t="str">
        <f t="shared" si="4"/>
        <v>,Register partnerov VS</v>
      </c>
      <c r="K35" s="47">
        <f t="shared" si="5"/>
        <v>42530.06198</v>
      </c>
      <c r="L35" s="45"/>
      <c r="M35" s="48" t="str">
        <f>IFERROR(__xludf.DUMMYFUNCTION("SPLIT(O35,"","")"),"Teplička 83")</f>
        <v>Teplička 83</v>
      </c>
      <c r="N35" s="48" t="str">
        <f>IFERROR(__xludf.DUMMYFUNCTION("""COMPUTED_VALUE""")," 052 01 Teplička")</f>
        <v> 052 01 Teplička</v>
      </c>
      <c r="O35" s="49" t="s">
        <v>453</v>
      </c>
      <c r="P35" s="50">
        <v>48.9085568</v>
      </c>
      <c r="Q35" s="50">
        <v>20.5890743</v>
      </c>
      <c r="R35" s="73" t="s">
        <v>454</v>
      </c>
      <c r="S35" s="52" t="s">
        <v>455</v>
      </c>
      <c r="T35" s="81" t="s">
        <v>86</v>
      </c>
      <c r="U35" s="75" t="s">
        <v>456</v>
      </c>
      <c r="V35" s="55" t="s">
        <v>457</v>
      </c>
      <c r="W35" s="76" t="s">
        <v>458</v>
      </c>
      <c r="X35" s="77" t="s">
        <v>451</v>
      </c>
      <c r="Y35" s="78" t="s">
        <v>459</v>
      </c>
      <c r="Z35" s="63" t="s">
        <v>460</v>
      </c>
      <c r="AA35" s="79" t="s">
        <v>64</v>
      </c>
      <c r="AB35" s="65"/>
      <c r="AC35" s="66"/>
      <c r="AD35" s="67"/>
      <c r="AE35" s="65"/>
      <c r="AF35" s="65"/>
      <c r="AG35" s="66"/>
      <c r="AH35" s="67"/>
      <c r="AI35" s="65"/>
      <c r="AJ35" s="65"/>
      <c r="AK35" s="66"/>
      <c r="AL35" s="67"/>
      <c r="AM35" s="52"/>
      <c r="AN35" s="80" t="s">
        <v>39</v>
      </c>
      <c r="AO35" s="68" t="str">
        <f t="shared" si="6"/>
        <v>T-servis Teplicka, s.r.o. cistiace a upratovacie sluzby, stavebnictvo, kultura a sport, reklama, dom a zahrada, &amp;#32vsetky kategorie  052 01 Teplicka Stavebna cinnost, sitie obecnych vlajok, organizovanie spolocenskych podujati. Zamestnavanim znevyhodnenych osob a ich integraciou do spolocnosti. T-servis Teplicka, s.r.o. Realizacia stavieb, obnova verejnych priestranstiev, organizacia spolocenskych podujati. vlajky obce, nakupne tasky z latky, revitalizacia zelene, prenajom zariadeni           Register partnerov VS</v>
      </c>
      <c r="AP35" s="82"/>
    </row>
    <row r="36" ht="15.75" customHeight="1">
      <c r="A36" s="45"/>
      <c r="B36" s="70">
        <v>34.0</v>
      </c>
      <c r="C36" s="98" t="s">
        <v>461</v>
      </c>
      <c r="D36" s="42" t="s">
        <v>181</v>
      </c>
      <c r="E36" s="43" t="str">
        <f t="shared" si="1"/>
        <v>Banskobystrický kraj, &amp;#32celé Slovensko</v>
      </c>
      <c r="F36" s="71" t="s">
        <v>462</v>
      </c>
      <c r="G36" s="43" t="str">
        <f t="shared" si="2"/>
        <v>potraviny a nápoje, iné (tovary a služby), &amp;#32všetky kategórie</v>
      </c>
      <c r="H36" s="44" t="s">
        <v>82</v>
      </c>
      <c r="I36" s="45" t="str">
        <f t="shared" si="3"/>
        <v>11 - 15, &amp;#32všetky možnosti</v>
      </c>
      <c r="J36" s="46" t="str">
        <f t="shared" si="4"/>
        <v>,Register partnerov VS</v>
      </c>
      <c r="K36" s="47">
        <f t="shared" si="5"/>
        <v>5723.616404</v>
      </c>
      <c r="L36" s="45"/>
      <c r="M36" s="48" t="str">
        <f>IFERROR(__xludf.DUMMYFUNCTION("SPLIT(O36,"","")"),"Príboj 552/62")</f>
        <v>Príboj 552/62</v>
      </c>
      <c r="N36" s="48" t="str">
        <f>IFERROR(__xludf.DUMMYFUNCTION("""COMPUTED_VALUE""")," 976 13 Slovenská Ľupča")</f>
        <v> 976 13 Slovenská Ľupča</v>
      </c>
      <c r="O36" s="49" t="s">
        <v>463</v>
      </c>
      <c r="P36" s="50">
        <v>48.7517456</v>
      </c>
      <c r="Q36" s="50">
        <v>19.2338247</v>
      </c>
      <c r="R36" s="78" t="s">
        <v>464</v>
      </c>
      <c r="S36" s="52" t="s">
        <v>465</v>
      </c>
      <c r="T36" s="81" t="s">
        <v>86</v>
      </c>
      <c r="U36" s="75" t="s">
        <v>466</v>
      </c>
      <c r="V36" s="84" t="s">
        <v>467</v>
      </c>
      <c r="W36" s="76" t="s">
        <v>468</v>
      </c>
      <c r="X36" s="77" t="s">
        <v>469</v>
      </c>
      <c r="Y36" s="78" t="s">
        <v>470</v>
      </c>
      <c r="Z36" s="63" t="s">
        <v>471</v>
      </c>
      <c r="AA36" s="79" t="s">
        <v>64</v>
      </c>
      <c r="AB36" s="65"/>
      <c r="AC36" s="66"/>
      <c r="AD36" s="67"/>
      <c r="AE36" s="65"/>
      <c r="AF36" s="65"/>
      <c r="AG36" s="66"/>
      <c r="AH36" s="67"/>
      <c r="AI36" s="65"/>
      <c r="AJ36" s="65"/>
      <c r="AK36" s="66"/>
      <c r="AL36" s="67"/>
      <c r="AM36" s="52"/>
      <c r="AN36" s="80" t="s">
        <v>39</v>
      </c>
      <c r="AO36" s="68" t="str">
        <f t="shared" si="6"/>
        <v>Pavel MALEC s.r.o., registrovany socialny podnik potraviny a napoje, ine (tovary a sluzby), &amp;#32vsetky kategorie  976 13 Slovenska Lupca Vyroba a predaj kupelnych oblatok. Pracovne miesta su obsadene pracovnikmi ZTP. Pavel Malec s.r.o., registrovany socialny podnik Vyroba kupelnych oblatok. cukrovinky, oblatky, kupelne oblatky           Register partnerov VS</v>
      </c>
      <c r="AP36" s="69" t="s">
        <v>41</v>
      </c>
    </row>
    <row r="37" ht="15.75" customHeight="1">
      <c r="A37" s="45"/>
      <c r="B37" s="70">
        <v>35.0</v>
      </c>
      <c r="C37" s="98" t="s">
        <v>472</v>
      </c>
      <c r="D37" s="42" t="s">
        <v>181</v>
      </c>
      <c r="E37" s="43" t="str">
        <f t="shared" si="1"/>
        <v>Banskobystrický kraj, &amp;#32celé Slovensko</v>
      </c>
      <c r="F37" s="71" t="s">
        <v>473</v>
      </c>
      <c r="G37" s="43" t="str">
        <f t="shared" si="2"/>
        <v>stavebníctvo, ubytovacie a stravovacie služby, kultúra a šport, iné (tovary a služby), &amp;#32všetky kategórie</v>
      </c>
      <c r="H37" s="44" t="s">
        <v>82</v>
      </c>
      <c r="I37" s="45" t="str">
        <f t="shared" si="3"/>
        <v>11 - 15, &amp;#32všetky možnosti</v>
      </c>
      <c r="J37" s="46" t="str">
        <f t="shared" si="4"/>
        <v>,Register partnerov VS</v>
      </c>
      <c r="K37" s="47">
        <f t="shared" si="5"/>
        <v>8900.998215</v>
      </c>
      <c r="L37" s="45"/>
      <c r="M37" s="48" t="str">
        <f>IFERROR(__xludf.DUMMYFUNCTION("SPLIT(O37,"","")"),"Židlovo 414/5")</f>
        <v>Židlovo 414/5</v>
      </c>
      <c r="N37" s="48" t="str">
        <f>IFERROR(__xludf.DUMMYFUNCTION("""COMPUTED_VALUE""")," 977 01 Brezno")</f>
        <v> 977 01 Brezno</v>
      </c>
      <c r="O37" s="49" t="s">
        <v>474</v>
      </c>
      <c r="P37" s="50">
        <v>48.807894</v>
      </c>
      <c r="Q37" s="50">
        <v>19.6481734</v>
      </c>
      <c r="R37" s="78" t="s">
        <v>475</v>
      </c>
      <c r="S37" s="52" t="s">
        <v>476</v>
      </c>
      <c r="T37" s="81" t="s">
        <v>477</v>
      </c>
      <c r="U37" s="75" t="s">
        <v>478</v>
      </c>
      <c r="V37" s="55" t="s">
        <v>479</v>
      </c>
      <c r="W37" s="76" t="s">
        <v>480</v>
      </c>
      <c r="X37" s="77" t="s">
        <v>472</v>
      </c>
      <c r="Y37" s="78" t="s">
        <v>481</v>
      </c>
      <c r="Z37" s="63" t="s">
        <v>482</v>
      </c>
      <c r="AA37" s="79" t="s">
        <v>64</v>
      </c>
      <c r="AB37" s="65"/>
      <c r="AC37" s="66"/>
      <c r="AD37" s="67"/>
      <c r="AE37" s="65"/>
      <c r="AF37" s="65"/>
      <c r="AG37" s="66"/>
      <c r="AH37" s="67"/>
      <c r="AI37" s="65"/>
      <c r="AJ37" s="65"/>
      <c r="AK37" s="66"/>
      <c r="AL37" s="67"/>
      <c r="AM37" s="52"/>
      <c r="AN37" s="80" t="s">
        <v>39</v>
      </c>
      <c r="AO37" s="68" t="str">
        <f t="shared" si="6"/>
        <v>HARIKOE s.r.o. stavebnictvo, ubytovacie a stravovacie sluzby, kultura a sport, ine (tovary a sluzby), &amp;#32vsetky kategorie  977 01 Brezno Svojim zakaznikom ponukame stavebne prace, vratane vykopovych a zemnych prac, ako aj izolacie stavieb striekanou penou strojom wintermann xpress. V ramci stavebnej cinnosti sa taktiez venujeme vyrobe modularnych domov. Okrem stavebnych prac sa nasa spolocnost venuje aj organizovaniu kulturnych, zabavnych, sportovych a spolocenskych udalosti, teambuildingov, technickemu zabezpeceniu roznych podujati a poskytovaniu cateringu. Zamestnavame zdravotne znevyhodnene osoby. HARIKOE s.r.o. Ponukame stavebne prace, zemne a vykopove prace, vyrobu modularnych domov, organizovanie sportovych, zabavnych a spolocenskych udalosti, catering. stavebne prace, zemne prace, vykopove prace, buracie prace, modularne domy, catering, spolocenske udalosti, teambuilding           Register partnerov VS</v>
      </c>
      <c r="AP37" s="69" t="s">
        <v>41</v>
      </c>
    </row>
    <row r="38" ht="15.75" customHeight="1">
      <c r="A38" s="45"/>
      <c r="B38" s="70">
        <v>36.0</v>
      </c>
      <c r="C38" s="98" t="s">
        <v>483</v>
      </c>
      <c r="D38" s="42" t="s">
        <v>134</v>
      </c>
      <c r="E38" s="43" t="str">
        <f t="shared" si="1"/>
        <v>Trenčiansky kraj, &amp;#32celé Slovensko</v>
      </c>
      <c r="F38" s="71" t="s">
        <v>484</v>
      </c>
      <c r="G38" s="43" t="str">
        <f t="shared" si="2"/>
        <v>auto-moto, &amp;#32všetky kategórie</v>
      </c>
      <c r="H38" s="44" t="s">
        <v>96</v>
      </c>
      <c r="I38" s="45" t="str">
        <f t="shared" si="3"/>
        <v>6 - 10, &amp;#32všetky možnosti</v>
      </c>
      <c r="J38" s="46" t="str">
        <f t="shared" si="4"/>
        <v>,</v>
      </c>
      <c r="K38" s="47">
        <f t="shared" si="5"/>
        <v>9952.524818</v>
      </c>
      <c r="L38" s="45"/>
      <c r="M38" s="48" t="str">
        <f>IFERROR(__xludf.DUMMYFUNCTION("SPLIT(O38,"","")"),"Sama Chalupku 295/2")</f>
        <v>Sama Chalupku 295/2</v>
      </c>
      <c r="N38" s="48" t="str">
        <f>IFERROR(__xludf.DUMMYFUNCTION("""COMPUTED_VALUE""")," 971 01 Prievidza")</f>
        <v> 971 01 Prievidza</v>
      </c>
      <c r="O38" s="49" t="s">
        <v>485</v>
      </c>
      <c r="P38" s="50">
        <v>48.7759716</v>
      </c>
      <c r="Q38" s="50">
        <v>18.6027833</v>
      </c>
      <c r="R38" s="78" t="s">
        <v>486</v>
      </c>
      <c r="S38" s="52" t="s">
        <v>487</v>
      </c>
      <c r="T38" s="81" t="s">
        <v>488</v>
      </c>
      <c r="U38" s="75" t="s">
        <v>489</v>
      </c>
      <c r="V38" s="55" t="s">
        <v>490</v>
      </c>
      <c r="W38" s="76" t="s">
        <v>491</v>
      </c>
      <c r="X38" s="77" t="s">
        <v>492</v>
      </c>
      <c r="Y38" s="78" t="s">
        <v>493</v>
      </c>
      <c r="Z38" s="63" t="s">
        <v>494</v>
      </c>
      <c r="AA38" s="79" t="s">
        <v>64</v>
      </c>
      <c r="AB38" s="65"/>
      <c r="AC38" s="66"/>
      <c r="AD38" s="67"/>
      <c r="AE38" s="65"/>
      <c r="AF38" s="65"/>
      <c r="AG38" s="66"/>
      <c r="AH38" s="67"/>
      <c r="AI38" s="65"/>
      <c r="AJ38" s="65"/>
      <c r="AK38" s="66"/>
      <c r="AL38" s="67"/>
      <c r="AM38" s="36"/>
      <c r="AN38" s="65"/>
      <c r="AO38" s="68" t="str">
        <f t="shared" si="6"/>
        <v>Naburalsom s. r. o. auto-moto, &amp;#32vsetky kategorie  971 01 Prievidza Spolocnost sa zaobera predovsetkym maloobchodnym a velkoobchodnym predajom automobilovych suciastok, a to prostrednictvom internetoveho predaja cez weby www.naburalsom.sk a www.autodielyshop.sk. Odberatelom je na 90 % koncovy zakaznik. Zamestnavanim znevyhodnenych uchadzacov o zamestnanie. Naburalsom s.r.o. RSP Ponukame autodoplnky a autopotreby. autodoplnky, autopotreby, autodiely           </v>
      </c>
      <c r="AP38" s="82"/>
    </row>
    <row r="39" ht="15.75" customHeight="1">
      <c r="A39" s="45"/>
      <c r="B39" s="70">
        <v>37.0</v>
      </c>
      <c r="C39" s="98" t="s">
        <v>495</v>
      </c>
      <c r="D39" s="42" t="s">
        <v>134</v>
      </c>
      <c r="E39" s="43" t="str">
        <f t="shared" si="1"/>
        <v>Trenčiansky kraj, &amp;#32celé Slovensko</v>
      </c>
      <c r="F39" s="71" t="s">
        <v>496</v>
      </c>
      <c r="G39" s="43" t="str">
        <f t="shared" si="2"/>
        <v>poľnohospodárstvo a lesníctvo, dom a záhrada, bižutéria a darčekové predmety, iné (tovary a služby), zvieratá, &amp;#32všetky kategórie</v>
      </c>
      <c r="H39" s="44" t="s">
        <v>53</v>
      </c>
      <c r="I39" s="45" t="str">
        <f t="shared" si="3"/>
        <v>1 - 5, &amp;#32všetky možnosti</v>
      </c>
      <c r="J39" s="46" t="str">
        <f t="shared" si="4"/>
        <v>,</v>
      </c>
      <c r="K39" s="47">
        <f t="shared" si="5"/>
        <v>43794.59748</v>
      </c>
      <c r="L39" s="45"/>
      <c r="M39" s="48" t="str">
        <f>IFERROR(__xludf.DUMMYFUNCTION("SPLIT(O39,"","")"),"Trenčianska cesta 24")</f>
        <v>Trenčianska cesta 24</v>
      </c>
      <c r="N39" s="48" t="str">
        <f>IFERROR(__xludf.DUMMYFUNCTION("""COMPUTED_VALUE""")," 915 01 Nové Mesto nad Váhom")</f>
        <v> 915 01 Nové Mesto nad Váhom</v>
      </c>
      <c r="O39" s="49" t="s">
        <v>497</v>
      </c>
      <c r="P39" s="50">
        <v>48.7512926</v>
      </c>
      <c r="Q39" s="50">
        <v>17.8395139</v>
      </c>
      <c r="R39" s="73" t="s">
        <v>498</v>
      </c>
      <c r="S39" s="52" t="s">
        <v>499</v>
      </c>
      <c r="T39" s="81" t="s">
        <v>500</v>
      </c>
      <c r="U39" s="75" t="s">
        <v>501</v>
      </c>
      <c r="V39" s="55" t="s">
        <v>502</v>
      </c>
      <c r="W39" s="76" t="s">
        <v>503</v>
      </c>
      <c r="X39" s="77" t="s">
        <v>504</v>
      </c>
      <c r="Y39" s="78" t="s">
        <v>505</v>
      </c>
      <c r="Z39" s="63" t="s">
        <v>506</v>
      </c>
      <c r="AA39" s="79" t="s">
        <v>64</v>
      </c>
      <c r="AB39" s="65"/>
      <c r="AC39" s="66"/>
      <c r="AD39" s="67"/>
      <c r="AE39" s="65"/>
      <c r="AF39" s="65"/>
      <c r="AG39" s="66"/>
      <c r="AH39" s="67"/>
      <c r="AI39" s="65"/>
      <c r="AJ39" s="65"/>
      <c r="AK39" s="66"/>
      <c r="AL39" s="67"/>
      <c r="AM39" s="36"/>
      <c r="AN39" s="65"/>
      <c r="AO39" s="68" t="str">
        <f t="shared" si="6"/>
        <v>ZIPA plus s. r. o. polnohospodarstvo a lesnictvo, dom a zahrada, bizuteria a darcekove predmety, ine (tovary a sluzby), zvierata, &amp;#32vsetky kategorie  915 01 Nove Mesto nad Vahom Zameriavame sa najma na predaj klampiarskych vyrobkov, ponukame kompletny zlabovy system: zlaby, zvody, haky, vypustne kolena, horne kolena na zber dazdovej vody, aj na tenkostenny a hrubostenny program pouzivany na kurenie.                                                        Mame siroku ponuku postrekov proti skodcom, rozne pasce, zahradny sortiment - kvetinace, motyky, hrable, krompace, pily, sekery, krhle, postrekovace, kosacky, ochranne pomocky ako rukavice, okuliare, ochranny odev, gumaky.                                                                                      Dalej ponukame redukcie k celkovemu zavlazovaciemu systemu - hadice, rozprasovace, bazeny, bazenovu chemiu a tiez drogeriu, ako su mopy, kyble, handry na podlahu, mydla a podobne. Okrem ineho mame v ponuke aj sezonny tovar - zavaracie pohare, viecka, flase, sudy na ovocie, kompostery, kontajnerove nadoby, sortiment pre drobnochovatelov - napajacky a krmiva pre hydinu, jaslicky.                                                                                                                 Nas podnik ponuka tiez predaj celosezonnych vyrobkov a vlastnej tvorby z oblasti keramiky a aranzovanie vencov k akejkolvek prilezitosti.  Dolezitym aspektom nasej vynimocnosti je prepojenie planovania vyroby a predaja doplnkoveho a darcekoveho sortimentu so zamestnavanim pracovnikov, z ktorych cast je zo skupiny zdravotne znevyhodnenych osob. Uplatnujeme principy "kolektivneho riadenia" a reinvestovania zisku spat do podnikania. A v neposlednom rade, originalita kazdeho jedneho rucne vypracovaneho vyrobku robi pracu a vysledny produkt vynimocnym a originalnym. Dom a zahrada Prevadzkaren sa zaobera predajom klampiarskeho a zahradneho sortimentu. Zaroven ponuka sluzby v aranzovani vencov, vencekov, ikeban a vyrobu keramiky podla poziadavky zakaznika. zahradnictvo, klampiarstvo, drobnochovatelstvo, keramika, kvety, aranzovanie, drogeria, poradenstvo, kosenie, bazen, zavlazovanie, kotlinka, kvetinac, pracovne odevy           </v>
      </c>
      <c r="AP39" s="82"/>
    </row>
    <row r="40" ht="15.75" customHeight="1">
      <c r="A40" s="45"/>
      <c r="B40" s="70">
        <v>38.0</v>
      </c>
      <c r="C40" s="98" t="s">
        <v>507</v>
      </c>
      <c r="D40" s="42" t="s">
        <v>66</v>
      </c>
      <c r="E40" s="43" t="str">
        <f t="shared" si="1"/>
        <v>Žilinský kraj, &amp;#32celé Slovensko</v>
      </c>
      <c r="F40" s="71" t="s">
        <v>508</v>
      </c>
      <c r="G40" s="43" t="str">
        <f t="shared" si="2"/>
        <v>dom a záhrada, nábytok a bytové doplnky, &amp;#32všetky kategórie</v>
      </c>
      <c r="H40" s="44" t="s">
        <v>96</v>
      </c>
      <c r="I40" s="45" t="str">
        <f t="shared" si="3"/>
        <v>6 - 10, &amp;#32všetky možnosti</v>
      </c>
      <c r="J40" s="46" t="str">
        <f t="shared" si="4"/>
        <v>,Register partnerov VS</v>
      </c>
      <c r="K40" s="47">
        <f t="shared" si="5"/>
        <v>41484.11926</v>
      </c>
      <c r="L40" s="45"/>
      <c r="M40" s="48" t="str">
        <f>IFERROR(__xludf.DUMMYFUNCTION("SPLIT(O40,"","")"),"Svätoplukova 3230/5")</f>
        <v>Svätoplukova 3230/5</v>
      </c>
      <c r="N40" s="48" t="str">
        <f>IFERROR(__xludf.DUMMYFUNCTION("""COMPUTED_VALUE""")," 010 01 Žilina")</f>
        <v> 010 01 Žilina</v>
      </c>
      <c r="O40" s="49" t="s">
        <v>509</v>
      </c>
      <c r="P40" s="50">
        <v>49.2060417</v>
      </c>
      <c r="Q40" s="50">
        <v>18.7465654</v>
      </c>
      <c r="R40" s="78" t="s">
        <v>510</v>
      </c>
      <c r="S40" s="52" t="s">
        <v>511</v>
      </c>
      <c r="T40" s="81" t="s">
        <v>86</v>
      </c>
      <c r="U40" s="75" t="s">
        <v>512</v>
      </c>
      <c r="V40" s="55" t="s">
        <v>490</v>
      </c>
      <c r="W40" s="76" t="s">
        <v>491</v>
      </c>
      <c r="X40" s="77" t="s">
        <v>513</v>
      </c>
      <c r="Y40" s="78" t="s">
        <v>514</v>
      </c>
      <c r="Z40" s="63" t="s">
        <v>515</v>
      </c>
      <c r="AA40" s="79" t="s">
        <v>64</v>
      </c>
      <c r="AB40" s="65"/>
      <c r="AC40" s="66"/>
      <c r="AD40" s="67"/>
      <c r="AE40" s="65"/>
      <c r="AF40" s="65"/>
      <c r="AG40" s="66"/>
      <c r="AH40" s="67"/>
      <c r="AI40" s="65"/>
      <c r="AJ40" s="65"/>
      <c r="AK40" s="66"/>
      <c r="AL40" s="67"/>
      <c r="AM40" s="52"/>
      <c r="AN40" s="80" t="s">
        <v>39</v>
      </c>
      <c r="AO40" s="68" t="str">
        <f t="shared" si="6"/>
        <v>WMS, s. r. o. dom a zahrada, nabytok a bytove doplnky, &amp;#32vsetky kategorie  010 01 Zilina Venujeme sa najma prevadzkovaniu internetoveho obchodu. Tovary a sluzby su ponukane
prostrednictvom online predaja na webstranke www.ZdriemniSi.sk.
Nase produkty: matrace, podlozky, doplnky do spalne. Zamestnanost znevyhodnenych a zranitelnych osob. WMS s.r.o. Ponukame matrace, podlozky, doplnky do spalne. matrace, podlozky, doplnky do spalne           Register partnerov VS</v>
      </c>
      <c r="AP40" s="69" t="s">
        <v>41</v>
      </c>
    </row>
    <row r="41" ht="15.75" customHeight="1">
      <c r="A41" s="45"/>
      <c r="B41" s="70">
        <v>39.0</v>
      </c>
      <c r="C41" s="98" t="s">
        <v>516</v>
      </c>
      <c r="D41" s="42" t="s">
        <v>134</v>
      </c>
      <c r="E41" s="43" t="str">
        <f t="shared" si="1"/>
        <v>Trenčiansky kraj, &amp;#32celé Slovensko</v>
      </c>
      <c r="F41" s="71" t="s">
        <v>517</v>
      </c>
      <c r="G41" s="43" t="str">
        <f t="shared" si="2"/>
        <v>čistiace a upratovacie služby, pre deti, &amp;#32všetky kategórie</v>
      </c>
      <c r="H41" s="44" t="s">
        <v>82</v>
      </c>
      <c r="I41" s="45" t="str">
        <f t="shared" si="3"/>
        <v>11 - 15, &amp;#32všetky možnosti</v>
      </c>
      <c r="J41" s="46" t="str">
        <f t="shared" si="4"/>
        <v>,Register partnerov VS</v>
      </c>
      <c r="K41" s="47">
        <f t="shared" si="5"/>
        <v>18304.32485</v>
      </c>
      <c r="L41" s="45"/>
      <c r="M41" s="48" t="str">
        <f>IFERROR(__xludf.DUMMYFUNCTION("SPLIT(O41,"","")"),"Diviacka Nová Ves 124")</f>
        <v>Diviacka Nová Ves 124</v>
      </c>
      <c r="N41" s="48" t="str">
        <f>IFERROR(__xludf.DUMMYFUNCTION("""COMPUTED_VALUE""")," 972 24 Diviacka Nová Ves")</f>
        <v> 972 24 Diviacka Nová Ves</v>
      </c>
      <c r="O41" s="49" t="s">
        <v>518</v>
      </c>
      <c r="P41" s="50">
        <v>48.7495961</v>
      </c>
      <c r="Q41" s="50">
        <v>18.4972566</v>
      </c>
      <c r="R41" s="78" t="s">
        <v>519</v>
      </c>
      <c r="S41" s="52" t="s">
        <v>511</v>
      </c>
      <c r="T41" s="81" t="s">
        <v>86</v>
      </c>
      <c r="U41" s="75" t="s">
        <v>520</v>
      </c>
      <c r="V41" s="55" t="s">
        <v>490</v>
      </c>
      <c r="W41" s="76" t="s">
        <v>521</v>
      </c>
      <c r="X41" s="77" t="s">
        <v>522</v>
      </c>
      <c r="Y41" s="78" t="s">
        <v>523</v>
      </c>
      <c r="Z41" s="63" t="s">
        <v>524</v>
      </c>
      <c r="AA41" s="79" t="s">
        <v>64</v>
      </c>
      <c r="AB41" s="65"/>
      <c r="AC41" s="66"/>
      <c r="AD41" s="67"/>
      <c r="AE41" s="65"/>
      <c r="AF41" s="65"/>
      <c r="AG41" s="66"/>
      <c r="AH41" s="67"/>
      <c r="AI41" s="65"/>
      <c r="AJ41" s="65"/>
      <c r="AK41" s="66"/>
      <c r="AL41" s="67"/>
      <c r="AM41" s="52"/>
      <c r="AN41" s="80" t="s">
        <v>39</v>
      </c>
      <c r="AO41" s="68" t="str">
        <f t="shared" si="6"/>
        <v>SINO, o. z., r. s. p. cistiace a upratovacie sluzby, pre deti, &amp;#32vsetky kategorie  972 24 Diviacka Nova Ves Vykonavame upratovacie sluzby, sluzby opatrovania deti v domacnosti, rozne ine sluzby. Zamestnanost znevyhodnenych a zranitelnych osob. SINO o.z. RSP Vykonavame upratovacie sluzby a opatrovanie deti v domacom prostredi. upratovanie, upratovacie sluzby, opatrovanie deti v domacom prostredi, babysitting           Register partnerov VS</v>
      </c>
      <c r="AP41" s="69" t="s">
        <v>41</v>
      </c>
    </row>
    <row r="42" ht="15.75" customHeight="1">
      <c r="A42" s="45"/>
      <c r="B42" s="70">
        <v>40.0</v>
      </c>
      <c r="C42" s="98" t="s">
        <v>525</v>
      </c>
      <c r="D42" s="42" t="s">
        <v>217</v>
      </c>
      <c r="E42" s="43" t="str">
        <f t="shared" si="1"/>
        <v>Košický kraj, &amp;#32celé Slovensko</v>
      </c>
      <c r="F42" s="71" t="s">
        <v>526</v>
      </c>
      <c r="G42" s="43" t="str">
        <f t="shared" si="2"/>
        <v>ubytovacie a stravovacie služby, potraviny a nápoje, &amp;#32všetky kategórie</v>
      </c>
      <c r="H42" s="44" t="s">
        <v>82</v>
      </c>
      <c r="I42" s="45" t="str">
        <f t="shared" si="3"/>
        <v>11 - 15, &amp;#32všetky možnosti</v>
      </c>
      <c r="J42" s="46" t="str">
        <f t="shared" si="4"/>
        <v>,Register partnerov VS</v>
      </c>
      <c r="K42" s="47">
        <f t="shared" si="5"/>
        <v>39098.2422</v>
      </c>
      <c r="L42" s="45"/>
      <c r="M42" s="48" t="str">
        <f>IFERROR(__xludf.DUMMYFUNCTION("SPLIT(O42,"","")"),"Honce 121")</f>
        <v>Honce 121</v>
      </c>
      <c r="N42" s="48" t="str">
        <f>IFERROR(__xludf.DUMMYFUNCTION("""COMPUTED_VALUE""")," 049 32 Honce")</f>
        <v> 049 32 Honce</v>
      </c>
      <c r="O42" s="49" t="s">
        <v>527</v>
      </c>
      <c r="P42" s="50">
        <v>48.6675429999999</v>
      </c>
      <c r="Q42" s="50">
        <v>20.4060969</v>
      </c>
      <c r="R42" s="73" t="s">
        <v>528</v>
      </c>
      <c r="S42" s="52" t="s">
        <v>529</v>
      </c>
      <c r="T42" s="81" t="s">
        <v>86</v>
      </c>
      <c r="U42" s="75" t="s">
        <v>530</v>
      </c>
      <c r="V42" s="55" t="s">
        <v>531</v>
      </c>
      <c r="W42" s="76" t="s">
        <v>532</v>
      </c>
      <c r="X42" s="77" t="s">
        <v>533</v>
      </c>
      <c r="Y42" s="78" t="s">
        <v>534</v>
      </c>
      <c r="Z42" s="63" t="s">
        <v>535</v>
      </c>
      <c r="AA42" s="85" t="s">
        <v>129</v>
      </c>
      <c r="AB42" s="65" t="s">
        <v>536</v>
      </c>
      <c r="AC42" s="66" t="s">
        <v>537</v>
      </c>
      <c r="AD42" s="67" t="s">
        <v>538</v>
      </c>
      <c r="AE42" s="65" t="s">
        <v>64</v>
      </c>
      <c r="AF42" s="65"/>
      <c r="AG42" s="66"/>
      <c r="AH42" s="67"/>
      <c r="AI42" s="65"/>
      <c r="AJ42" s="65"/>
      <c r="AK42" s="66"/>
      <c r="AL42" s="67"/>
      <c r="AM42" s="52"/>
      <c r="AN42" s="80" t="s">
        <v>39</v>
      </c>
      <c r="AO42" s="68" t="str">
        <f t="shared" si="6"/>
        <v>FAUSTULUS, s. r. o., r.s.p. ubytovacie a stravovacie sluzby, potraviny a napoje, &amp;#32vsetky kategorie  049 32 Honce Rychle obcerstvenie. % zamestnanosti znevyhodnenych a zranitelnych osob. Deaf kebab Roznava Rychle obcerstvenie - kebab rychle obcerstvenie, kebab Pohostinstvo u suseda Pohostinstvo - krcma Pohostinstvo        Register partnerov VS</v>
      </c>
      <c r="AP42" s="82"/>
    </row>
    <row r="43" ht="15.75" customHeight="1">
      <c r="A43" s="45"/>
      <c r="B43" s="70">
        <v>41.0</v>
      </c>
      <c r="C43" s="98" t="s">
        <v>539</v>
      </c>
      <c r="D43" s="42" t="s">
        <v>181</v>
      </c>
      <c r="E43" s="43" t="str">
        <f t="shared" si="1"/>
        <v>Banskobystrický kraj, &amp;#32celé Slovensko</v>
      </c>
      <c r="F43" s="71" t="s">
        <v>540</v>
      </c>
      <c r="G43" s="43" t="str">
        <f t="shared" si="2"/>
        <v>kultúra a šport, odevy a obuv, bižutéria a darčekové predmety, &amp;#32všetky kategórie</v>
      </c>
      <c r="H43" s="44" t="s">
        <v>96</v>
      </c>
      <c r="I43" s="45" t="str">
        <f t="shared" si="3"/>
        <v>6 - 10, &amp;#32všetky možnosti</v>
      </c>
      <c r="J43" s="46" t="str">
        <f t="shared" si="4"/>
        <v>,Register partnerov VS</v>
      </c>
      <c r="K43" s="47">
        <f t="shared" si="5"/>
        <v>44084.48186</v>
      </c>
      <c r="L43" s="45"/>
      <c r="M43" s="48" t="str">
        <f>IFERROR(__xludf.DUMMYFUNCTION("SPLIT(O43,"","")"),"Záhradná 933/3A")</f>
        <v>Záhradná 933/3A</v>
      </c>
      <c r="N43" s="48" t="str">
        <f>IFERROR(__xludf.DUMMYFUNCTION("""COMPUTED_VALUE""")," 962 12 Detva")</f>
        <v> 962 12 Detva</v>
      </c>
      <c r="O43" s="49" t="s">
        <v>541</v>
      </c>
      <c r="P43" s="50">
        <v>48.5416581</v>
      </c>
      <c r="Q43" s="50">
        <v>19.4046866</v>
      </c>
      <c r="R43" s="78" t="s">
        <v>542</v>
      </c>
      <c r="S43" s="52" t="s">
        <v>543</v>
      </c>
      <c r="T43" s="81" t="s">
        <v>544</v>
      </c>
      <c r="U43" s="75" t="s">
        <v>545</v>
      </c>
      <c r="V43" s="55" t="s">
        <v>546</v>
      </c>
      <c r="W43" s="76" t="s">
        <v>547</v>
      </c>
      <c r="X43" s="77" t="s">
        <v>548</v>
      </c>
      <c r="Y43" s="78" t="s">
        <v>549</v>
      </c>
      <c r="Z43" s="63" t="s">
        <v>550</v>
      </c>
      <c r="AA43" s="79" t="s">
        <v>64</v>
      </c>
      <c r="AB43" s="65"/>
      <c r="AC43" s="66"/>
      <c r="AD43" s="67"/>
      <c r="AE43" s="65"/>
      <c r="AF43" s="65"/>
      <c r="AG43" s="66"/>
      <c r="AH43" s="67"/>
      <c r="AI43" s="65"/>
      <c r="AJ43" s="65"/>
      <c r="AK43" s="66"/>
      <c r="AL43" s="67"/>
      <c r="AM43" s="52"/>
      <c r="AN43" s="80" t="s">
        <v>39</v>
      </c>
      <c r="AO43" s="68" t="str">
        <f t="shared" si="6"/>
        <v>Slovenske ludove umenie - Helena Fekiacova s. r. o. kultura a sport, odevy a obuv, bizuteria a darcekove predmety, &amp;#32vsetky kategorie  962 12 Detva Zaoberame sa vyrobou a predajom ludovo-umeleckych vyrobkov. Venujeme sa tiez vyrobe ludovych sucasti , etno mody, ludovych doplnkov a v neposlednom rade aj liturgickych odevov a doplnkov. Nas registrovany socialny podnik zamestnava zdravotne znevyhodnene osoby a osoby, ktore si dlhodobo nemozu najst pracu. Slovenske ludove umenie - Helena Fekiacova s.r.o. Zaoberame sa vyrobou a predajom ludovo-umeleckych vyrobkov, ludovych krojov, ludovych doplnkov, etno mody a liturgickych textilii. ludove kroje, etno moda, liturgicke textilie, ludove doplnky           Register partnerov VS</v>
      </c>
      <c r="AP43" s="82"/>
    </row>
    <row r="44" ht="15.75" customHeight="1">
      <c r="A44" s="45"/>
      <c r="B44" s="70">
        <v>42.0</v>
      </c>
      <c r="C44" s="98" t="s">
        <v>551</v>
      </c>
      <c r="D44" s="42" t="s">
        <v>94</v>
      </c>
      <c r="E44" s="43" t="str">
        <f t="shared" si="1"/>
        <v>Bratislavský kraj, &amp;#32celé Slovensko</v>
      </c>
      <c r="F44" s="71" t="s">
        <v>243</v>
      </c>
      <c r="G44" s="43" t="str">
        <f t="shared" si="2"/>
        <v>potraviny a nápoje, &amp;#32všetky kategórie</v>
      </c>
      <c r="H44" s="44" t="s">
        <v>53</v>
      </c>
      <c r="I44" s="45" t="str">
        <f t="shared" si="3"/>
        <v>1 - 5, &amp;#32všetky možnosti</v>
      </c>
      <c r="J44" s="46" t="str">
        <f t="shared" si="4"/>
        <v>,</v>
      </c>
      <c r="K44" s="47">
        <f t="shared" si="5"/>
        <v>40925.47853</v>
      </c>
      <c r="L44" s="45"/>
      <c r="M44" s="48" t="str">
        <f>IFERROR(__xludf.DUMMYFUNCTION("SPLIT(O44,"","")"),"Račianska 1509/31")</f>
        <v>Račianska 1509/31</v>
      </c>
      <c r="N44" s="48" t="str">
        <f>IFERROR(__xludf.DUMMYFUNCTION("""COMPUTED_VALUE""")," 831 02 Bratislava")</f>
        <v> 831 02 Bratislava</v>
      </c>
      <c r="O44" s="49" t="s">
        <v>552</v>
      </c>
      <c r="P44" s="50">
        <v>48.1617195</v>
      </c>
      <c r="Q44" s="50">
        <v>17.1233805</v>
      </c>
      <c r="R44" s="78" t="s">
        <v>553</v>
      </c>
      <c r="S44" s="52" t="s">
        <v>554</v>
      </c>
      <c r="T44" s="81" t="s">
        <v>555</v>
      </c>
      <c r="U44" s="75" t="s">
        <v>556</v>
      </c>
      <c r="V44" s="55" t="s">
        <v>557</v>
      </c>
      <c r="W44" s="76" t="s">
        <v>558</v>
      </c>
      <c r="X44" s="77" t="s">
        <v>559</v>
      </c>
      <c r="Y44" s="78" t="s">
        <v>560</v>
      </c>
      <c r="Z44" s="63" t="s">
        <v>561</v>
      </c>
      <c r="AA44" s="79" t="s">
        <v>64</v>
      </c>
      <c r="AB44" s="65"/>
      <c r="AC44" s="66"/>
      <c r="AD44" s="67"/>
      <c r="AE44" s="65"/>
      <c r="AF44" s="65"/>
      <c r="AG44" s="66"/>
      <c r="AH44" s="67"/>
      <c r="AI44" s="65"/>
      <c r="AJ44" s="65"/>
      <c r="AK44" s="66"/>
      <c r="AL44" s="67"/>
      <c r="AM44" s="36"/>
      <c r="AN44" s="65"/>
      <c r="AO44" s="68" t="str">
        <f t="shared" si="6"/>
        <v>Cacaofe s. r. o. potraviny a napoje, &amp;#32vsetky kategorie  831 02 Bratislava Cacaofe s.r.o. je mensia firma, ktora pod znackou Kakaw Co+ dovaza 
a distribuuje premiove kakao a kakaove produkty z Latinskej Ameriky 
na Slovensko uz od roku 2018.
Tento rok sa splnila aj druha cast sna a stali sme sa socialnym 
podnikom s vlastnou integracnou baliarnou, v ktorej sa tazsie 
zamestnatelni ludia ucia pracovnym navykom, zodpovednosti 
a sebadovere.
 Spolocnost prispieva k dosahovaniu pozitivneho socialneho vplyvu poskytovanim spolocensky prospesnej sluzby v oblasti zamestnanosti, a to zamestnavanim znevyhodnenych a/alebo zranitelnych osob. Tieto si tak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Kakaw Co+ Ponukame vyber toho najchutnejsieho, najzdravsieho 
a najzaujimavejsieho odrodoveho kakaa, cokolady a vyrobkov z nich, co sme ochutnali a spoznali v Latinskej Amerike. 
Tieto produkty pochadzaju z indianskych komunit, ktore pouzivaju 
kakao uz tisicky rokov a v minulosti ho povazovali za jedlo Bohov, urcene len pre vyvolenych. odrodove kakao, kava, cokolada, susene ovocie, kakaove snacks, produkty na pripravu kakaovych a cokoladovych napojov           </v>
      </c>
      <c r="AP44" s="69" t="s">
        <v>41</v>
      </c>
    </row>
    <row r="45" ht="15.75" customHeight="1">
      <c r="A45" s="45"/>
      <c r="B45" s="70">
        <v>43.0</v>
      </c>
      <c r="C45" s="98" t="s">
        <v>562</v>
      </c>
      <c r="D45" s="42" t="s">
        <v>228</v>
      </c>
      <c r="E45" s="43" t="str">
        <f t="shared" si="1"/>
        <v>Nitriansky kraj, &amp;#32celé Slovensko</v>
      </c>
      <c r="F45" s="71" t="s">
        <v>243</v>
      </c>
      <c r="G45" s="43" t="str">
        <f t="shared" si="2"/>
        <v>potraviny a nápoje, &amp;#32všetky kategórie</v>
      </c>
      <c r="H45" s="44" t="s">
        <v>53</v>
      </c>
      <c r="I45" s="45" t="str">
        <f t="shared" si="3"/>
        <v>1 - 5, &amp;#32všetky možnosti</v>
      </c>
      <c r="J45" s="46" t="str">
        <f t="shared" si="4"/>
        <v>,Register partnerov VS</v>
      </c>
      <c r="K45" s="47">
        <f t="shared" si="5"/>
        <v>19356.10991</v>
      </c>
      <c r="L45" s="45"/>
      <c r="M45" s="48" t="str">
        <f>IFERROR(__xludf.DUMMYFUNCTION("SPLIT(O45,"","")"),"Čeľadince 3")</f>
        <v>Čeľadince 3</v>
      </c>
      <c r="N45" s="48" t="str">
        <f>IFERROR(__xludf.DUMMYFUNCTION("""COMPUTED_VALUE""")," 956 16 Čeľadince")</f>
        <v> 956 16 Čeľadince</v>
      </c>
      <c r="O45" s="49" t="s">
        <v>563</v>
      </c>
      <c r="P45" s="50">
        <v>48.5099445</v>
      </c>
      <c r="Q45" s="50">
        <v>18.1712845</v>
      </c>
      <c r="R45" s="78" t="s">
        <v>564</v>
      </c>
      <c r="S45" s="52" t="s">
        <v>565</v>
      </c>
      <c r="T45" s="81" t="s">
        <v>566</v>
      </c>
      <c r="U45" s="75" t="s">
        <v>567</v>
      </c>
      <c r="V45" s="55" t="s">
        <v>568</v>
      </c>
      <c r="W45" s="76" t="s">
        <v>569</v>
      </c>
      <c r="X45" s="77" t="s">
        <v>570</v>
      </c>
      <c r="Y45" s="78" t="s">
        <v>564</v>
      </c>
      <c r="Z45" s="63" t="s">
        <v>571</v>
      </c>
      <c r="AA45" s="79" t="s">
        <v>64</v>
      </c>
      <c r="AB45" s="65"/>
      <c r="AC45" s="66"/>
      <c r="AD45" s="67"/>
      <c r="AE45" s="65"/>
      <c r="AF45" s="65"/>
      <c r="AG45" s="66"/>
      <c r="AH45" s="67"/>
      <c r="AI45" s="65"/>
      <c r="AJ45" s="65"/>
      <c r="AK45" s="66"/>
      <c r="AL45" s="67"/>
      <c r="AM45" s="52"/>
      <c r="AN45" s="80" t="s">
        <v>39</v>
      </c>
      <c r="AO45" s="68" t="str">
        <f t="shared" si="6"/>
        <v>Cevas s. r. o. potraviny a napoje, &amp;#32vsetky kategorie  956 16 Celadince Vyrabame a ponukame domace cestoviny. Integrujeme zdravotne a socialne znevyhodnenych zamestnancov do pracovneho procesu a poskytujeme sluzby zdravotne a socialne znevyhodnenym spoluobcanom. Cevas s. r. .o. Vyrabame a ponukame domace cestoviny. cestoviny, gastro, slize           Register partnerov VS</v>
      </c>
      <c r="AP45" s="82"/>
    </row>
    <row r="46" ht="15.75" customHeight="1">
      <c r="A46" s="45"/>
      <c r="B46" s="70">
        <v>44.0</v>
      </c>
      <c r="C46" s="98" t="s">
        <v>572</v>
      </c>
      <c r="D46" s="42" t="s">
        <v>217</v>
      </c>
      <c r="E46" s="43" t="str">
        <f t="shared" si="1"/>
        <v>Košický kraj, &amp;#32celé Slovensko</v>
      </c>
      <c r="F46" s="71" t="s">
        <v>573</v>
      </c>
      <c r="G46" s="43" t="str">
        <f t="shared" si="2"/>
        <v>dom a záhrada, stavebníctvo, kultúra a šport, odevy a obuv, nábytok a bytové doplnky, bižutéria a darčekové predmety, kovovýroba, &amp;#32všetky kategórie</v>
      </c>
      <c r="H46" s="44" t="s">
        <v>82</v>
      </c>
      <c r="I46" s="45" t="str">
        <f t="shared" si="3"/>
        <v>11 - 15, &amp;#32všetky možnosti</v>
      </c>
      <c r="J46" s="46" t="str">
        <f t="shared" si="4"/>
        <v>,</v>
      </c>
      <c r="K46" s="47">
        <f t="shared" si="5"/>
        <v>9277.128021</v>
      </c>
      <c r="L46" s="45"/>
      <c r="M46" s="48" t="str">
        <f>IFERROR(__xludf.DUMMYFUNCTION("SPLIT(O46,"","")"),"Oľšavská 24")</f>
        <v>Oľšavská 24</v>
      </c>
      <c r="N46" s="48" t="str">
        <f>IFERROR(__xludf.DUMMYFUNCTION("""COMPUTED_VALUE""")," 044 24 Poproč")</f>
        <v> 044 24 Poproč</v>
      </c>
      <c r="O46" s="49" t="s">
        <v>574</v>
      </c>
      <c r="P46" s="50">
        <v>48.7143654</v>
      </c>
      <c r="Q46" s="50">
        <v>20.9802042</v>
      </c>
      <c r="R46" s="73" t="s">
        <v>575</v>
      </c>
      <c r="S46" s="52" t="s">
        <v>576</v>
      </c>
      <c r="T46" s="81" t="s">
        <v>577</v>
      </c>
      <c r="U46" s="75" t="s">
        <v>578</v>
      </c>
      <c r="V46" s="55" t="s">
        <v>579</v>
      </c>
      <c r="W46" s="76" t="s">
        <v>580</v>
      </c>
      <c r="X46" s="77" t="s">
        <v>581</v>
      </c>
      <c r="Y46" s="78" t="s">
        <v>582</v>
      </c>
      <c r="Z46" s="63" t="s">
        <v>583</v>
      </c>
      <c r="AA46" s="79" t="s">
        <v>64</v>
      </c>
      <c r="AB46" s="65"/>
      <c r="AC46" s="66"/>
      <c r="AD46" s="67"/>
      <c r="AE46" s="65"/>
      <c r="AF46" s="65"/>
      <c r="AG46" s="66"/>
      <c r="AH46" s="67"/>
      <c r="AI46" s="65"/>
      <c r="AJ46" s="65"/>
      <c r="AK46" s="66"/>
      <c r="AL46" s="67"/>
      <c r="AM46" s="36"/>
      <c r="AN46" s="65"/>
      <c r="AO46" s="68" t="str">
        <f t="shared" si="6"/>
        <v>Sluzby obce Poproc s. r. o., r. s. p. dom a zahrada, stavebnictvo, kultura a sport, odevy a obuv, nabytok a bytove doplnky, bizuteria a darcekove predmety, kovovyroba, &amp;#32vsetky kategorie  044 24 Poproc Nas socialny podnik aktualne ponuka sluzby krajcirskej a aranzerskej dielne (oprava a sitie odevov, vyroba darcekovych predmetov, ikeban a pod.), sluzby zvaracskej dielne (napr. vyroba plotovych dielcov a pod.), sluzby montazno - stolarskej dielne, stavebne prace (oprava a udrzba budov - interier, exterier, napr. montaz podlah, sadrokartonove podhlady a priecky, obklady stien, stavby oploteni, chodniky a spevnenie ploch...), sluzby treningoveho centra - skupinove a individualne treningy na ziskanie pohybovych navykov na podporu zdraveho zivotneho stylu. Zamestnavananim znevyhodenych osob. Sluzby obce Poproc s.r.o., r.s.p. Krajcirska a aranzerska dielna (oprava odevov, sitie na zakazku, darcekove predmety, ikebany, vyzdoba na slavnostne prilezitosti), montazno- stolarska dielna (drevovyroba), zvaracska dielna, stavebne prace, treningove centrum. stavebne prace, kovovyroba, drevovyroba, kosenie, ikebany, ruska, darcekove predmety, odevy, cvicenie           </v>
      </c>
      <c r="AP46" s="69" t="s">
        <v>41</v>
      </c>
    </row>
    <row r="47" ht="15.75" customHeight="1">
      <c r="A47" s="45"/>
      <c r="B47" s="70">
        <v>45.0</v>
      </c>
      <c r="C47" s="98" t="s">
        <v>584</v>
      </c>
      <c r="D47" s="42" t="s">
        <v>228</v>
      </c>
      <c r="E47" s="43" t="str">
        <f t="shared" si="1"/>
        <v>Nitriansky kraj, &amp;#32celé Slovensko</v>
      </c>
      <c r="F47" s="71" t="s">
        <v>243</v>
      </c>
      <c r="G47" s="43" t="str">
        <f t="shared" si="2"/>
        <v>potraviny a nápoje, &amp;#32všetky kategórie</v>
      </c>
      <c r="H47" s="44" t="s">
        <v>53</v>
      </c>
      <c r="I47" s="45" t="str">
        <f t="shared" si="3"/>
        <v>1 - 5, &amp;#32všetky možnosti</v>
      </c>
      <c r="J47" s="46" t="str">
        <f t="shared" si="4"/>
        <v>,</v>
      </c>
      <c r="K47" s="47">
        <f t="shared" si="5"/>
        <v>37701.85982</v>
      </c>
      <c r="L47" s="45"/>
      <c r="M47" s="48" t="str">
        <f>IFERROR(__xludf.DUMMYFUNCTION("SPLIT(O47,"","")"),"Horné Semerovce 146")</f>
        <v>Horné Semerovce 146</v>
      </c>
      <c r="N47" s="48" t="str">
        <f>IFERROR(__xludf.DUMMYFUNCTION("""COMPUTED_VALUE""")," 935 84 Horné Semerovce")</f>
        <v> 935 84 Horné Semerovce</v>
      </c>
      <c r="O47" s="49" t="s">
        <v>585</v>
      </c>
      <c r="P47" s="50">
        <v>48.1260749</v>
      </c>
      <c r="Q47" s="50">
        <v>18.8797638</v>
      </c>
      <c r="R47" s="78" t="s">
        <v>586</v>
      </c>
      <c r="S47" s="52" t="s">
        <v>587</v>
      </c>
      <c r="T47" s="81" t="s">
        <v>86</v>
      </c>
      <c r="U47" s="75" t="s">
        <v>588</v>
      </c>
      <c r="V47" s="55" t="s">
        <v>589</v>
      </c>
      <c r="W47" s="76" t="s">
        <v>590</v>
      </c>
      <c r="X47" s="77" t="s">
        <v>591</v>
      </c>
      <c r="Y47" s="78" t="s">
        <v>592</v>
      </c>
      <c r="Z47" s="63" t="s">
        <v>593</v>
      </c>
      <c r="AA47" s="79" t="s">
        <v>64</v>
      </c>
      <c r="AB47" s="65"/>
      <c r="AC47" s="66"/>
      <c r="AD47" s="67"/>
      <c r="AE47" s="65"/>
      <c r="AF47" s="65"/>
      <c r="AG47" s="66"/>
      <c r="AH47" s="67"/>
      <c r="AI47" s="65"/>
      <c r="AJ47" s="65"/>
      <c r="AK47" s="66"/>
      <c r="AL47" s="67"/>
      <c r="AM47" s="36"/>
      <c r="AN47" s="65"/>
      <c r="AO47" s="68" t="str">
        <f t="shared" si="6"/>
        <v>ABB Group, spol. s r. o. potraviny a napoje, &amp;#32vsetky kategorie  935 84 Horne Semerovce Regionalne vyrobky Zamestnavame znevyhodnene a zranitelne osoby, predavame regionalne vyrobky. Potraviny rozlicny tovar Predavame regionalne hand made vyrobky.  regionalne vyrobky, hand made           </v>
      </c>
      <c r="AP47" s="82"/>
    </row>
    <row r="48" ht="15.75" customHeight="1">
      <c r="A48" s="45"/>
      <c r="B48" s="70">
        <v>46.0</v>
      </c>
      <c r="C48" s="98" t="s">
        <v>594</v>
      </c>
      <c r="D48" s="42" t="s">
        <v>228</v>
      </c>
      <c r="E48" s="43" t="str">
        <f t="shared" si="1"/>
        <v>Nitriansky kraj, &amp;#32celé Slovensko</v>
      </c>
      <c r="F48" s="71" t="s">
        <v>595</v>
      </c>
      <c r="G48" s="43" t="str">
        <f t="shared" si="2"/>
        <v>čistiace a upratovacie služby, iné (tovary a služby), &amp;#32všetky kategórie</v>
      </c>
      <c r="H48" s="44" t="s">
        <v>96</v>
      </c>
      <c r="I48" s="45" t="str">
        <f t="shared" si="3"/>
        <v>6 - 10, &amp;#32všetky možnosti</v>
      </c>
      <c r="J48" s="46" t="str">
        <f t="shared" si="4"/>
        <v>,</v>
      </c>
      <c r="K48" s="47">
        <f t="shared" si="5"/>
        <v>39326.71009</v>
      </c>
      <c r="L48" s="45"/>
      <c r="M48" s="48" t="str">
        <f>IFERROR(__xludf.DUMMYFUNCTION("SPLIT(O48,"","")"),"Bernolákova 175/66")</f>
        <v>Bernolákova 175/66</v>
      </c>
      <c r="N48" s="48" t="str">
        <f>IFERROR(__xludf.DUMMYFUNCTION("""COMPUTED_VALUE""")," 953 01 Zlaté Moravce")</f>
        <v> 953 01 Zlaté Moravce</v>
      </c>
      <c r="O48" s="49" t="s">
        <v>596</v>
      </c>
      <c r="P48" s="50">
        <v>48.3873316</v>
      </c>
      <c r="Q48" s="50">
        <v>18.4016064</v>
      </c>
      <c r="R48" s="73" t="s">
        <v>597</v>
      </c>
      <c r="S48" s="52" t="s">
        <v>598</v>
      </c>
      <c r="T48" s="81" t="s">
        <v>86</v>
      </c>
      <c r="U48" s="75" t="s">
        <v>599</v>
      </c>
      <c r="V48" s="55" t="s">
        <v>600</v>
      </c>
      <c r="W48" s="76" t="s">
        <v>601</v>
      </c>
      <c r="X48" s="77" t="s">
        <v>602</v>
      </c>
      <c r="Y48" s="78" t="s">
        <v>603</v>
      </c>
      <c r="Z48" s="63" t="s">
        <v>604</v>
      </c>
      <c r="AA48" s="79" t="s">
        <v>64</v>
      </c>
      <c r="AB48" s="65"/>
      <c r="AC48" s="66"/>
      <c r="AD48" s="67"/>
      <c r="AE48" s="65"/>
      <c r="AF48" s="65"/>
      <c r="AG48" s="66"/>
      <c r="AH48" s="67"/>
      <c r="AI48" s="65"/>
      <c r="AJ48" s="65"/>
      <c r="AK48" s="66"/>
      <c r="AL48" s="67"/>
      <c r="AM48" s="36"/>
      <c r="AN48" s="65"/>
      <c r="AO48" s="68" t="str">
        <f t="shared" si="6"/>
        <v>MARION ZM s. r. o. cistiace a upratovacie sluzby, ine (tovary a sluzby), &amp;#32vsetky kategorie  953 01 Zlate Moravce Firma MARION ZM s.r.o. RSP ponuka pracie a cistiace sluzby pre obyvatelstvo, firmy, skoly, hotely, motely, obecne urady. Zameriavame sa hlavne na kvalitu ponukanych sluzieb, ale nasi zakaznici velmi ocenuju vyhotovenie zakazky v kratkom case bez priplatku. Hlavnym cielom spolocnosti ako verejnoprospesneho podniku je dosahovanie materialneho pozitivneho socialneho vplyvu v oblasti poskytovania sluzieb. Pozitivny socialny vplyv verejnoprospesneho podniku sa prejavuje podporou zamestnanosti prostrednictvom zamestnavania znevyhodnenych a zranitelnych osob. Pracovna, manglovna MARION ZM s.r.o. Prevadzkovanie pracovne a cistiarne. pracovna, manglovna, zehlenie           </v>
      </c>
      <c r="AP48" s="69" t="s">
        <v>41</v>
      </c>
    </row>
    <row r="49" ht="15.75" customHeight="1">
      <c r="A49" s="45"/>
      <c r="B49" s="70">
        <v>47.0</v>
      </c>
      <c r="C49" s="98" t="s">
        <v>605</v>
      </c>
      <c r="D49" s="42" t="s">
        <v>51</v>
      </c>
      <c r="E49" s="43" t="str">
        <f t="shared" si="1"/>
        <v>Prešovský kraj, &amp;#32celé Slovensko</v>
      </c>
      <c r="F49" s="71" t="s">
        <v>606</v>
      </c>
      <c r="G49" s="43" t="str">
        <f t="shared" si="2"/>
        <v>stavebníctvo, doprava, &amp;#32všetky kategórie</v>
      </c>
      <c r="H49" s="44" t="s">
        <v>82</v>
      </c>
      <c r="I49" s="45" t="str">
        <f t="shared" si="3"/>
        <v>11 - 15, &amp;#32všetky možnosti</v>
      </c>
      <c r="J49" s="46" t="str">
        <f t="shared" si="4"/>
        <v>,Register partnerov VS</v>
      </c>
      <c r="K49" s="47">
        <f t="shared" si="5"/>
        <v>42146.33637</v>
      </c>
      <c r="L49" s="45"/>
      <c r="M49" s="48" t="str">
        <f>IFERROR(__xludf.DUMMYFUNCTION("SPLIT(O49,"","")"),"Probstnerova cesta 9")</f>
        <v>Probstnerova cesta 9</v>
      </c>
      <c r="N49" s="48" t="str">
        <f>IFERROR(__xludf.DUMMYFUNCTION("""COMPUTED_VALUE""")," 054 01 Levoča")</f>
        <v> 054 01 Levoča</v>
      </c>
      <c r="O49" s="49" t="s">
        <v>607</v>
      </c>
      <c r="P49" s="50">
        <v>49.0207334</v>
      </c>
      <c r="Q49" s="50">
        <v>20.5846235</v>
      </c>
      <c r="R49" s="78" t="s">
        <v>608</v>
      </c>
      <c r="S49" s="52" t="s">
        <v>609</v>
      </c>
      <c r="T49" s="81" t="s">
        <v>86</v>
      </c>
      <c r="U49" s="75" t="s">
        <v>610</v>
      </c>
      <c r="V49" s="84" t="s">
        <v>611</v>
      </c>
      <c r="W49" s="76" t="s">
        <v>612</v>
      </c>
      <c r="X49" s="77" t="s">
        <v>605</v>
      </c>
      <c r="Y49" s="78" t="s">
        <v>613</v>
      </c>
      <c r="Z49" s="63" t="s">
        <v>614</v>
      </c>
      <c r="AA49" s="79" t="s">
        <v>64</v>
      </c>
      <c r="AB49" s="65"/>
      <c r="AC49" s="66"/>
      <c r="AD49" s="67"/>
      <c r="AE49" s="65"/>
      <c r="AF49" s="65"/>
      <c r="AG49" s="66"/>
      <c r="AH49" s="67"/>
      <c r="AI49" s="65"/>
      <c r="AJ49" s="65"/>
      <c r="AK49" s="66"/>
      <c r="AL49" s="67"/>
      <c r="AM49" s="52"/>
      <c r="AN49" s="80" t="s">
        <v>39</v>
      </c>
      <c r="AO49" s="68" t="str">
        <f t="shared" si="6"/>
        <v>Socialny podnik mesta Levoca, s.r.o., r.s.p. stavebnictvo, doprava, &amp;#32vsetky kategorie  054 01 Levoca Ponukame svojim zakaznikom stavebnu cinnost. Zamestnavame ludi, ktori sa na trhu prace tazko zamestnaju - zamestnavanie znevyhodnenych osob. Socialny podnik mesta Levoca, s.r.o., r.s.p. Stavebna cinnost, nakladna cestna doprava s celkovou hmotnostou do 3,5 t, prenajom hnutelnych veci. murarstvo, izolaterstvo, pripravne prace k realizacii stavby, stavba, stavby, prestavba, prestavby, nakladna cestna doprava vozidlami s celkovou hmotnostou do 3,5 t, pripojne vozidlo           Register partnerov VS</v>
      </c>
      <c r="AP49" s="69" t="s">
        <v>41</v>
      </c>
    </row>
    <row r="50" ht="15.75" customHeight="1">
      <c r="A50" s="45"/>
      <c r="B50" s="70">
        <v>48.0</v>
      </c>
      <c r="C50" s="98" t="s">
        <v>615</v>
      </c>
      <c r="D50" s="42" t="s">
        <v>134</v>
      </c>
      <c r="E50" s="43" t="str">
        <f t="shared" si="1"/>
        <v>Trenčiansky kraj, &amp;#32celé Slovensko</v>
      </c>
      <c r="F50" s="71" t="s">
        <v>616</v>
      </c>
      <c r="G50" s="43" t="str">
        <f t="shared" si="2"/>
        <v>odevy a obuv, ochrana a bezpečnosť, &amp;#32všetky kategórie</v>
      </c>
      <c r="H50" s="44" t="s">
        <v>170</v>
      </c>
      <c r="I50" s="45" t="str">
        <f t="shared" si="3"/>
        <v>21 a viac, &amp;#32všetky možnosti</v>
      </c>
      <c r="J50" s="46" t="str">
        <f t="shared" si="4"/>
        <v>,Register partnerov VS</v>
      </c>
      <c r="K50" s="47">
        <f t="shared" si="5"/>
        <v>5820.962303</v>
      </c>
      <c r="L50" s="45"/>
      <c r="M50" s="48" t="str">
        <f>IFERROR(__xludf.DUMMYFUNCTION("SPLIT(O50,"","")"),"Dolná Mariková 551")</f>
        <v>Dolná Mariková 551</v>
      </c>
      <c r="N50" s="48" t="str">
        <f>IFERROR(__xludf.DUMMYFUNCTION("""COMPUTED_VALUE""")," 018 02 Dolná Mariková")</f>
        <v> 018 02 Dolná Mariková</v>
      </c>
      <c r="O50" s="49" t="s">
        <v>617</v>
      </c>
      <c r="P50" s="50">
        <v>49.2081595999999</v>
      </c>
      <c r="Q50" s="50">
        <v>18.3562136</v>
      </c>
      <c r="R50" s="78" t="s">
        <v>618</v>
      </c>
      <c r="S50" s="52" t="s">
        <v>619</v>
      </c>
      <c r="T50" s="81" t="s">
        <v>620</v>
      </c>
      <c r="U50" s="75" t="s">
        <v>621</v>
      </c>
      <c r="V50" s="55" t="s">
        <v>622</v>
      </c>
      <c r="W50" s="76" t="s">
        <v>623</v>
      </c>
      <c r="X50" s="77" t="s">
        <v>624</v>
      </c>
      <c r="Y50" s="78" t="s">
        <v>625</v>
      </c>
      <c r="Z50" s="63" t="s">
        <v>626</v>
      </c>
      <c r="AA50" s="79" t="s">
        <v>64</v>
      </c>
      <c r="AB50" s="65"/>
      <c r="AC50" s="66"/>
      <c r="AD50" s="67"/>
      <c r="AE50" s="65"/>
      <c r="AF50" s="65"/>
      <c r="AG50" s="66"/>
      <c r="AH50" s="67"/>
      <c r="AI50" s="65"/>
      <c r="AJ50" s="65"/>
      <c r="AK50" s="66"/>
      <c r="AL50" s="67"/>
      <c r="AM50" s="52"/>
      <c r="AN50" s="80" t="s">
        <v>39</v>
      </c>
      <c r="AO50" s="68" t="str">
        <f t="shared" si="6"/>
        <v>E L S T R O T E , spol. s r.o. odevy a obuv, ochrana a bezpecnost, &amp;#32vsetky kategorie  018 02 Dolna Marikova V nasej ponuke je vyroba zdravotnej, pracovnej a turistickej obuvi, predaj ochrannych pracovnych prostriedkov (velkoobchod, maloobchod,internetovy predaj); nasi zakaznici su vyrobne podniky, obchodne firmy, nemocnice, gastrosluzby, skoly, agropotreby, drobne prevadzky a sluzby, atd. Zamestnavame ciastocne invalidnych a zdravotne znevyhodnenych pracovnikov. ELSTROTE spo. s r.o. Vyroba pracovnej, zdravotnej a turistickej obuvi, velkoobchod a maloobchod s ochrannymi pracovnymi pomockami, internetovy predaj. pracovna obuv, pracovne odevy, pracovne rukavice, ochranne pracovne prostriedky, drogeria, maska, postroj, filter, respirator, lano, prilba, karabina, ruksak, opasok           Register partnerov VS</v>
      </c>
      <c r="AP50" s="69" t="s">
        <v>41</v>
      </c>
    </row>
    <row r="51" ht="15.75" customHeight="1">
      <c r="A51" s="45"/>
      <c r="B51" s="70">
        <v>49.0</v>
      </c>
      <c r="C51" s="98" t="s">
        <v>627</v>
      </c>
      <c r="D51" s="42" t="s">
        <v>66</v>
      </c>
      <c r="E51" s="43" t="str">
        <f t="shared" si="1"/>
        <v>Žilinský kraj, &amp;#32celé Slovensko</v>
      </c>
      <c r="F51" s="71" t="s">
        <v>628</v>
      </c>
      <c r="G51" s="43" t="str">
        <f t="shared" si="2"/>
        <v>reklama, odevy a obuv, &amp;#32všetky kategórie</v>
      </c>
      <c r="H51" s="44" t="s">
        <v>96</v>
      </c>
      <c r="I51" s="45" t="str">
        <f t="shared" si="3"/>
        <v>6 - 10, &amp;#32všetky možnosti</v>
      </c>
      <c r="J51" s="46" t="str">
        <f t="shared" si="4"/>
        <v>,Register partnerov VS</v>
      </c>
      <c r="K51" s="47">
        <f t="shared" si="5"/>
        <v>10676.05669</v>
      </c>
      <c r="L51" s="45"/>
      <c r="M51" s="48" t="str">
        <f>IFERROR(__xludf.DUMMYFUNCTION("SPLIT(O51,"","")"),"Za Havlovci 1814")</f>
        <v>Za Havlovci 1814</v>
      </c>
      <c r="N51" s="48" t="str">
        <f>IFERROR(__xludf.DUMMYFUNCTION("""COMPUTED_VALUE""")," 031 01 Liptovský Mikuláš")</f>
        <v> 031 01 Liptovský Mikuláš</v>
      </c>
      <c r="O51" s="49" t="s">
        <v>629</v>
      </c>
      <c r="P51" s="50">
        <v>49.075872</v>
      </c>
      <c r="Q51" s="50">
        <v>19.6191848</v>
      </c>
      <c r="R51" s="73" t="s">
        <v>630</v>
      </c>
      <c r="S51" s="52" t="s">
        <v>631</v>
      </c>
      <c r="T51" s="81" t="s">
        <v>632</v>
      </c>
      <c r="U51" s="75" t="s">
        <v>633</v>
      </c>
      <c r="V51" s="55" t="s">
        <v>634</v>
      </c>
      <c r="W51" s="76" t="s">
        <v>635</v>
      </c>
      <c r="X51" s="77" t="s">
        <v>636</v>
      </c>
      <c r="Y51" s="78" t="s">
        <v>637</v>
      </c>
      <c r="Z51" s="63" t="s">
        <v>638</v>
      </c>
      <c r="AA51" s="79" t="s">
        <v>64</v>
      </c>
      <c r="AB51" s="65"/>
      <c r="AC51" s="66"/>
      <c r="AD51" s="67"/>
      <c r="AE51" s="65"/>
      <c r="AF51" s="65"/>
      <c r="AG51" s="66"/>
      <c r="AH51" s="67"/>
      <c r="AI51" s="65"/>
      <c r="AJ51" s="65"/>
      <c r="AK51" s="66"/>
      <c r="AL51" s="67"/>
      <c r="AM51" s="52"/>
      <c r="AN51" s="80" t="s">
        <v>39</v>
      </c>
      <c r="AO51" s="68" t="str">
        <f t="shared" si="6"/>
        <v>IPATEX, s. r. o. reklama, odevy a obuv, &amp;#32vsetky kategorie  031 01 Liptovsky Mikulas Ponukame strojove vysivanie na rozny textil, potlace na textil, sublimacnu tlac - vyrobu sportovych dresov, potlac na reklamne predmety Zamestnavame ZTP IPATEX, s.r.o. Vysivanie, potlace na textil, sublimacna tlac textilu, potlac reklamnych predmetov vysivky, nasivky, vlajky a vlajocky, folklorne vysivky, potlac textilu, rusko, vyroba dresov, bufky, fan sale, reklamne predmety, klucenky, privesky, odznaky, pera, hrnceky, dazdniky...           Register partnerov VS</v>
      </c>
      <c r="AP51" s="69" t="s">
        <v>41</v>
      </c>
    </row>
    <row r="52" ht="15.75" customHeight="1">
      <c r="A52" s="45"/>
      <c r="B52" s="70">
        <v>50.0</v>
      </c>
      <c r="C52" s="98" t="s">
        <v>639</v>
      </c>
      <c r="D52" s="42" t="s">
        <v>134</v>
      </c>
      <c r="E52" s="43" t="str">
        <f t="shared" si="1"/>
        <v>Trenčiansky kraj, &amp;#32celé Slovensko</v>
      </c>
      <c r="F52" s="71" t="s">
        <v>640</v>
      </c>
      <c r="G52" s="43" t="str">
        <f t="shared" si="2"/>
        <v>stavebníctvo, dom a záhrada, iné (tovary a služby), &amp;#32všetky kategórie</v>
      </c>
      <c r="H52" s="44" t="s">
        <v>53</v>
      </c>
      <c r="I52" s="45" t="str">
        <f t="shared" si="3"/>
        <v>1 - 5, &amp;#32všetky možnosti</v>
      </c>
      <c r="J52" s="46" t="str">
        <f t="shared" si="4"/>
        <v>,</v>
      </c>
      <c r="K52" s="47">
        <f t="shared" si="5"/>
        <v>40243.68107</v>
      </c>
      <c r="L52" s="45"/>
      <c r="M52" s="48" t="str">
        <f>IFERROR(__xludf.DUMMYFUNCTION("SPLIT(O52,"","")"),"Šútovce 39")</f>
        <v>Šútovce 39</v>
      </c>
      <c r="N52" s="48" t="str">
        <f>IFERROR(__xludf.DUMMYFUNCTION("""COMPUTED_VALUE""")," 972 02 Šútovce")</f>
        <v> 972 02 Šútovce</v>
      </c>
      <c r="O52" s="49" t="s">
        <v>641</v>
      </c>
      <c r="P52" s="50">
        <v>48.8014167</v>
      </c>
      <c r="Q52" s="50">
        <v>18.532411</v>
      </c>
      <c r="R52" s="73" t="s">
        <v>642</v>
      </c>
      <c r="S52" s="52" t="s">
        <v>643</v>
      </c>
      <c r="T52" s="81" t="s">
        <v>86</v>
      </c>
      <c r="U52" s="75" t="s">
        <v>644</v>
      </c>
      <c r="V52" s="84" t="s">
        <v>645</v>
      </c>
      <c r="W52" s="76" t="s">
        <v>646</v>
      </c>
      <c r="X52" s="77" t="s">
        <v>639</v>
      </c>
      <c r="Y52" s="78" t="s">
        <v>647</v>
      </c>
      <c r="Z52" s="63" t="s">
        <v>648</v>
      </c>
      <c r="AA52" s="79" t="s">
        <v>64</v>
      </c>
      <c r="AB52" s="65"/>
      <c r="AC52" s="66"/>
      <c r="AD52" s="67"/>
      <c r="AE52" s="65"/>
      <c r="AF52" s="65"/>
      <c r="AG52" s="66"/>
      <c r="AH52" s="67"/>
      <c r="AI52" s="65"/>
      <c r="AJ52" s="65"/>
      <c r="AK52" s="66"/>
      <c r="AL52" s="67"/>
      <c r="AM52" s="36"/>
      <c r="AN52" s="65"/>
      <c r="AO52" s="68" t="str">
        <f t="shared" si="6"/>
        <v>OBECNY PODNIK SUTOVCE s.r.o. stavebnictvo, dom a zahrada, ine (tovary a sluzby), &amp;#32vsetky kategorie  972 02 Sutovce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su uspokojovane potreby nielen obcanov, ale aj obce. Na vykon podnikatelskych aktivit je vyuzivany majetok obce – komunalna technika, pripadne remeselne naradie a pracovne pomocky. Sluzby, ktore su predmetom cinnosti socialneho podniku, su dostupne vsetkym obcanom obce bez rozdielu. Obcania mozu svoje objednavky nahlasovat priamo pracovnikom. Cela hospodarska cinnost je prevazne uskutocnovana na uzemi obce Sutovce pre obcanov obce. Pristup k sluzbam je pre obcanov jednoduchy, ceny za poskytovane sluzby su nastavene na primeranu hladinu, ktoru su obcania – prijimatelia sluzieb - schopni akceptovat. Obec ma zabezpecenu pravidelnu udrzbu a starostlivost o svoj majetok a o bytove domy, bez potreby rozsirenia spoluprace v oblasti spravcovstva bytovych domov. OBECNY PODNIK SUTOVCE s.r.o.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budu uspokojovane potreby nielen obcanov, ale aj obce. Na vykon podnikatelskych aktivit bude vyuzivany majetok obce – komunalna technika, pripadne remeselne naradie a pracovne pomocky. stavebna cinnost, cistota v obci, sezonna udrzba nehnutelnosti, opravy v dome           </v>
      </c>
      <c r="AP52" s="69" t="s">
        <v>41</v>
      </c>
    </row>
    <row r="53" ht="15.75" customHeight="1">
      <c r="A53" s="45"/>
      <c r="B53" s="70">
        <v>51.0</v>
      </c>
      <c r="C53" s="98" t="s">
        <v>649</v>
      </c>
      <c r="D53" s="42" t="s">
        <v>134</v>
      </c>
      <c r="E53" s="43" t="str">
        <f t="shared" si="1"/>
        <v>Trenčiansky kraj, &amp;#32celé Slovensko</v>
      </c>
      <c r="F53" s="71" t="s">
        <v>650</v>
      </c>
      <c r="G53" s="43" t="str">
        <f t="shared" si="2"/>
        <v>počítačová a kancelárska technika, &amp;#32všetky kategórie</v>
      </c>
      <c r="H53" s="44" t="s">
        <v>96</v>
      </c>
      <c r="I53" s="45" t="str">
        <f t="shared" si="3"/>
        <v>6 - 10, &amp;#32všetky možnosti</v>
      </c>
      <c r="J53" s="46" t="str">
        <f t="shared" si="4"/>
        <v>,Register partnerov VS</v>
      </c>
      <c r="K53" s="47">
        <f t="shared" si="5"/>
        <v>11220.55811</v>
      </c>
      <c r="L53" s="45"/>
      <c r="M53" s="48" t="str">
        <f>IFERROR(__xludf.DUMMYFUNCTION("SPLIT(O53,"","")"),"Nedožerská cesta 2")</f>
        <v>Nedožerská cesta 2</v>
      </c>
      <c r="N53" s="48" t="str">
        <f>IFERROR(__xludf.DUMMYFUNCTION("""COMPUTED_VALUE""")," 971 01 Prievidza")</f>
        <v> 971 01 Prievidza</v>
      </c>
      <c r="O53" s="49" t="s">
        <v>651</v>
      </c>
      <c r="P53" s="50">
        <v>48.7799963</v>
      </c>
      <c r="Q53" s="50">
        <v>18.6279792</v>
      </c>
      <c r="R53" s="78" t="s">
        <v>652</v>
      </c>
      <c r="S53" s="52" t="s">
        <v>476</v>
      </c>
      <c r="T53" s="81" t="s">
        <v>653</v>
      </c>
      <c r="U53" s="75" t="s">
        <v>654</v>
      </c>
      <c r="V53" s="55" t="s">
        <v>655</v>
      </c>
      <c r="W53" s="76" t="s">
        <v>656</v>
      </c>
      <c r="X53" s="77" t="s">
        <v>657</v>
      </c>
      <c r="Y53" s="78" t="s">
        <v>658</v>
      </c>
      <c r="Z53" s="63" t="s">
        <v>659</v>
      </c>
      <c r="AA53" s="79" t="s">
        <v>64</v>
      </c>
      <c r="AB53" s="65"/>
      <c r="AC53" s="66"/>
      <c r="AD53" s="67"/>
      <c r="AE53" s="65"/>
      <c r="AF53" s="65"/>
      <c r="AG53" s="66"/>
      <c r="AH53" s="67"/>
      <c r="AI53" s="65"/>
      <c r="AJ53" s="65"/>
      <c r="AK53" s="66"/>
      <c r="AL53" s="67"/>
      <c r="AM53" s="52"/>
      <c r="AN53" s="80" t="s">
        <v>39</v>
      </c>
      <c r="AO53" s="68" t="str">
        <f t="shared" si="6"/>
        <v>CHANGE COMPUTER s.r.o. pocitacova a kancelarska technika, &amp;#32vsetky kategorie  971 01 Prievidza Predaj a servis vypoctovej techniky a prislusenstva. Zamestnavame zdravotne znevyhodnene osoby. CHANGE COMPUTER Predaj a servis vypoctovej techniky. Vypoctova technika, pocitace, notebooky, IT prislusenstvo, servis IT, kancelarska technika. PC tasky, batohy, repasovanie, cartridge, toner           Register partnerov VS</v>
      </c>
      <c r="AP53" s="69" t="s">
        <v>41</v>
      </c>
    </row>
    <row r="54" ht="15.75" customHeight="1">
      <c r="A54" s="45"/>
      <c r="B54" s="70">
        <v>52.0</v>
      </c>
      <c r="C54" s="98" t="s">
        <v>660</v>
      </c>
      <c r="D54" s="42" t="s">
        <v>134</v>
      </c>
      <c r="E54" s="43" t="str">
        <f t="shared" si="1"/>
        <v>Trenčiansky kraj, &amp;#32celé Slovensko</v>
      </c>
      <c r="F54" s="71" t="s">
        <v>661</v>
      </c>
      <c r="G54" s="43" t="str">
        <f t="shared" si="2"/>
        <v>kultúra a šport, pre deti, &amp;#32všetky kategórie</v>
      </c>
      <c r="H54" s="44" t="s">
        <v>53</v>
      </c>
      <c r="I54" s="45" t="str">
        <f t="shared" si="3"/>
        <v>1 - 5, &amp;#32všetky možnosti</v>
      </c>
      <c r="J54" s="46" t="str">
        <f t="shared" si="4"/>
        <v>,</v>
      </c>
      <c r="K54" s="47">
        <f t="shared" si="5"/>
        <v>18291.84428</v>
      </c>
      <c r="L54" s="45"/>
      <c r="M54" s="48" t="str">
        <f>IFERROR(__xludf.DUMMYFUNCTION("SPLIT(O54,"","")"),"A. Žarnova 820/16")</f>
        <v>A. Žarnova 820/16</v>
      </c>
      <c r="N54" s="48" t="str">
        <f>IFERROR(__xludf.DUMMYFUNCTION("""COMPUTED_VALUE""")," 971 01 Prievidza ")</f>
        <v> 971 01 Prievidza </v>
      </c>
      <c r="O54" s="49" t="s">
        <v>662</v>
      </c>
      <c r="P54" s="50">
        <v>48.7827889</v>
      </c>
      <c r="Q54" s="50">
        <v>18.6230612</v>
      </c>
      <c r="R54" s="78" t="s">
        <v>663</v>
      </c>
      <c r="S54" s="52" t="s">
        <v>664</v>
      </c>
      <c r="T54" s="81" t="s">
        <v>86</v>
      </c>
      <c r="U54" s="75" t="s">
        <v>665</v>
      </c>
      <c r="V54" s="55" t="s">
        <v>666</v>
      </c>
      <c r="W54" s="95" t="s">
        <v>667</v>
      </c>
      <c r="X54" s="77" t="s">
        <v>668</v>
      </c>
      <c r="Y54" s="78" t="s">
        <v>669</v>
      </c>
      <c r="Z54" s="63" t="s">
        <v>670</v>
      </c>
      <c r="AA54" s="79" t="s">
        <v>64</v>
      </c>
      <c r="AB54" s="65"/>
      <c r="AC54" s="66"/>
      <c r="AD54" s="67"/>
      <c r="AE54" s="65"/>
      <c r="AF54" s="65"/>
      <c r="AG54" s="66"/>
      <c r="AH54" s="67"/>
      <c r="AI54" s="65"/>
      <c r="AJ54" s="65"/>
      <c r="AK54" s="66"/>
      <c r="AL54" s="67"/>
      <c r="AM54" s="36"/>
      <c r="AN54" s="65"/>
      <c r="AO54" s="68" t="str">
        <f t="shared" si="6"/>
        <v>Baby plavanie, s. r. o. kultura a sport, pre deti, &amp;#32vsetky kategorie  971 01 Prievidza  Spolocnost sa zaobera poskytovanim kurzov plavania pre dojcata, batolata a deti predskolskeho veku. Nasimi zakaznikmi su preto hlavne mamicky s detmi. Vznikom nasho podniku sa nam podarilo podporit zamestnanost v nasom regione. Baby plavanie, s.r.o. Poskytujeme sluzby v oblasti prevazkovania kurzov plavania pre dojcata, batolata a deti predskolskeho veku - kurzy plavania 1x do tyzdna alebo 2x do tyzdna; dlzka trvania kurzov v oboch pripadoch je jeden mesiac. plavanie dojciat, plavanie batoliat, kurzy plavania pre deti           </v>
      </c>
      <c r="AP54" s="82"/>
    </row>
    <row r="55" ht="15.75" customHeight="1">
      <c r="A55" s="45"/>
      <c r="B55" s="70">
        <v>53.0</v>
      </c>
      <c r="C55" s="98" t="s">
        <v>671</v>
      </c>
      <c r="D55" s="42" t="s">
        <v>66</v>
      </c>
      <c r="E55" s="43" t="str">
        <f t="shared" si="1"/>
        <v>Žilinský kraj, &amp;#32celé Slovensko</v>
      </c>
      <c r="F55" s="71" t="s">
        <v>672</v>
      </c>
      <c r="G55" s="43" t="str">
        <f t="shared" si="2"/>
        <v>čistiace a upratovacie služby, dom a záhrada, &amp;#32všetky kategórie</v>
      </c>
      <c r="H55" s="44" t="s">
        <v>53</v>
      </c>
      <c r="I55" s="45" t="str">
        <f t="shared" si="3"/>
        <v>1 - 5, &amp;#32všetky možnosti</v>
      </c>
      <c r="J55" s="46" t="str">
        <f t="shared" si="4"/>
        <v>,</v>
      </c>
      <c r="K55" s="47">
        <f t="shared" si="5"/>
        <v>44381.7748</v>
      </c>
      <c r="L55" s="45"/>
      <c r="M55" s="48" t="str">
        <f>IFERROR(__xludf.DUMMYFUNCTION("SPLIT(O55,"","")"),"Petra Mendela 1877/15")</f>
        <v>Petra Mendela 1877/15</v>
      </c>
      <c r="N55" s="48" t="str">
        <f>IFERROR(__xludf.DUMMYFUNCTION("""COMPUTED_VALUE""")," 038 53 Turany")</f>
        <v> 038 53 Turany</v>
      </c>
      <c r="O55" s="49" t="s">
        <v>673</v>
      </c>
      <c r="P55" s="50">
        <v>49.1086269</v>
      </c>
      <c r="Q55" s="50">
        <v>19.0435968</v>
      </c>
      <c r="R55" s="73" t="s">
        <v>674</v>
      </c>
      <c r="S55" s="52" t="s">
        <v>675</v>
      </c>
      <c r="T55" s="81" t="s">
        <v>676</v>
      </c>
      <c r="U55" s="75" t="s">
        <v>677</v>
      </c>
      <c r="V55" s="55" t="s">
        <v>678</v>
      </c>
      <c r="W55" s="76" t="s">
        <v>679</v>
      </c>
      <c r="X55" s="77" t="s">
        <v>680</v>
      </c>
      <c r="Y55" s="78" t="s">
        <v>674</v>
      </c>
      <c r="Z55" s="63" t="s">
        <v>681</v>
      </c>
      <c r="AA55" s="79" t="s">
        <v>64</v>
      </c>
      <c r="AB55" s="65"/>
      <c r="AC55" s="66"/>
      <c r="AD55" s="67"/>
      <c r="AE55" s="65"/>
      <c r="AF55" s="65"/>
      <c r="AG55" s="66"/>
      <c r="AH55" s="67"/>
      <c r="AI55" s="65"/>
      <c r="AJ55" s="65"/>
      <c r="AK55" s="66"/>
      <c r="AL55" s="67"/>
      <c r="AM55" s="36"/>
      <c r="AN55" s="65"/>
      <c r="AO55" s="68" t="str">
        <f t="shared" si="6"/>
        <v>JD Cleaning, s. r. o. cistiace a upratovacie sluzby, dom a zahrada, &amp;#32vsetky kategorie  038 53 Turany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Sme v nemalej miere prospesni pre nasu spolocnost aj okolie, pretoze ludia so zdravotnymi problemami a obmedzeniami maju casto problem zamestnat sa. My zamestnavame prave taketo osoby a ponukame im pracu, uplatnenie a realizaciu na trhu prace. Tym, ze su zaradene do pracovneho procesu, obnovuju si svoje pracovne navyky a sebarealizaciu, cim upevnujeme ich sebavedomie. JD Cleaning, s. r o.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upratovanie, upratovacie sluzby, udrzba, zahradne prace, upratovanie bytovych priestorov,  upratovanie nebytovych priestorov           </v>
      </c>
      <c r="AP55" s="82"/>
    </row>
    <row r="56" ht="15.75" customHeight="1">
      <c r="A56" s="45"/>
      <c r="B56" s="70">
        <v>54.0</v>
      </c>
      <c r="C56" s="98" t="s">
        <v>682</v>
      </c>
      <c r="D56" s="42" t="s">
        <v>51</v>
      </c>
      <c r="E56" s="43" t="str">
        <f t="shared" si="1"/>
        <v>Prešovský kraj, &amp;#32celé Slovensko</v>
      </c>
      <c r="F56" s="71" t="s">
        <v>108</v>
      </c>
      <c r="G56" s="43" t="str">
        <f t="shared" si="2"/>
        <v>čistiace a upratovacie služby, stavebníctvo, &amp;#32všetky kategórie</v>
      </c>
      <c r="H56" s="44" t="s">
        <v>53</v>
      </c>
      <c r="I56" s="45" t="str">
        <f t="shared" si="3"/>
        <v>1 - 5, &amp;#32všetky možnosti</v>
      </c>
      <c r="J56" s="46" t="str">
        <f t="shared" si="4"/>
        <v>,</v>
      </c>
      <c r="K56" s="47">
        <f t="shared" si="5"/>
        <v>2203.324728</v>
      </c>
      <c r="L56" s="45"/>
      <c r="M56" s="48" t="str">
        <f>IFERROR(__xludf.DUMMYFUNCTION("SPLIT(O56,"","")"),"Študentská 1458/21")</f>
        <v>Študentská 1458/21</v>
      </c>
      <c r="N56" s="48" t="str">
        <f>IFERROR(__xludf.DUMMYFUNCTION("""COMPUTED_VALUE""")," 069 01 Snina ")</f>
        <v> 069 01 Snina </v>
      </c>
      <c r="O56" s="49" t="s">
        <v>683</v>
      </c>
      <c r="P56" s="50">
        <v>48.9953851</v>
      </c>
      <c r="Q56" s="50">
        <v>22.1604983</v>
      </c>
      <c r="R56" s="78" t="s">
        <v>684</v>
      </c>
      <c r="S56" s="52" t="s">
        <v>685</v>
      </c>
      <c r="T56" s="81" t="s">
        <v>86</v>
      </c>
      <c r="U56" s="75" t="s">
        <v>686</v>
      </c>
      <c r="V56" s="55" t="s">
        <v>687</v>
      </c>
      <c r="W56" s="76" t="s">
        <v>688</v>
      </c>
      <c r="X56" s="77" t="s">
        <v>689</v>
      </c>
      <c r="Y56" s="78" t="s">
        <v>690</v>
      </c>
      <c r="Z56" s="63" t="s">
        <v>691</v>
      </c>
      <c r="AA56" s="79" t="s">
        <v>64</v>
      </c>
      <c r="AB56" s="65"/>
      <c r="AC56" s="66"/>
      <c r="AD56" s="67"/>
      <c r="AE56" s="65"/>
      <c r="AF56" s="65"/>
      <c r="AG56" s="66"/>
      <c r="AH56" s="67"/>
      <c r="AI56" s="65"/>
      <c r="AJ56" s="65"/>
      <c r="AK56" s="66"/>
      <c r="AL56" s="67"/>
      <c r="AM56" s="36"/>
      <c r="AN56" s="65"/>
      <c r="AO56" s="68" t="str">
        <f t="shared" si="6"/>
        <v>IMUNITAS s. r. o. cistiace a upratovacie sluzby, stavebnictvo, &amp;#32vsetky kategorie  069 01 Snina  Ponukame upratovacie sluzby, stavebne prace. Integrujeme ludi s fyzickym znevyhodnenim do pracovneho procesu. RSP Stavebne prace, upratovacie sluzby. stavebne prace, upratovacie sluzby, upratovanie           </v>
      </c>
      <c r="AP56" s="82"/>
    </row>
    <row r="57" ht="15.75" customHeight="1">
      <c r="A57" s="45"/>
      <c r="B57" s="70">
        <v>55.0</v>
      </c>
      <c r="C57" s="98" t="s">
        <v>692</v>
      </c>
      <c r="D57" s="42" t="s">
        <v>51</v>
      </c>
      <c r="E57" s="43" t="str">
        <f t="shared" si="1"/>
        <v>Prešovský kraj, &amp;#32celé Slovensko</v>
      </c>
      <c r="F57" s="71" t="s">
        <v>257</v>
      </c>
      <c r="G57" s="43" t="str">
        <f t="shared" si="2"/>
        <v>odevy a obuv, &amp;#32všetky kategórie</v>
      </c>
      <c r="H57" s="44" t="s">
        <v>170</v>
      </c>
      <c r="I57" s="45" t="str">
        <f t="shared" si="3"/>
        <v>21 a viac, &amp;#32všetky možnosti</v>
      </c>
      <c r="J57" s="46" t="str">
        <f t="shared" si="4"/>
        <v>,Register partnerov VS</v>
      </c>
      <c r="K57" s="47">
        <f t="shared" si="5"/>
        <v>2132.706504</v>
      </c>
      <c r="L57" s="45"/>
      <c r="M57" s="48" t="str">
        <f>IFERROR(__xludf.DUMMYFUNCTION("SPLIT(O57,"","")"),"Duklianska 19")</f>
        <v>Duklianska 19</v>
      </c>
      <c r="N57" s="48" t="str">
        <f>IFERROR(__xludf.DUMMYFUNCTION("""COMPUTED_VALUE""")," 085 01 Bardejov")</f>
        <v> 085 01 Bardejov</v>
      </c>
      <c r="O57" s="49" t="s">
        <v>693</v>
      </c>
      <c r="P57" s="50">
        <v>49.3070353</v>
      </c>
      <c r="Q57" s="50">
        <v>21.2934375</v>
      </c>
      <c r="R57" s="78" t="s">
        <v>694</v>
      </c>
      <c r="S57" s="52" t="s">
        <v>695</v>
      </c>
      <c r="T57" s="81" t="s">
        <v>696</v>
      </c>
      <c r="U57" s="75" t="s">
        <v>697</v>
      </c>
      <c r="V57" s="55" t="s">
        <v>698</v>
      </c>
      <c r="W57" s="76" t="s">
        <v>699</v>
      </c>
      <c r="X57" s="77" t="s">
        <v>700</v>
      </c>
      <c r="Y57" s="78" t="s">
        <v>694</v>
      </c>
      <c r="Z57" s="63" t="s">
        <v>701</v>
      </c>
      <c r="AA57" s="79" t="s">
        <v>64</v>
      </c>
      <c r="AB57" s="65"/>
      <c r="AC57" s="66"/>
      <c r="AD57" s="67"/>
      <c r="AE57" s="65"/>
      <c r="AF57" s="65"/>
      <c r="AG57" s="66"/>
      <c r="AH57" s="67"/>
      <c r="AI57" s="65"/>
      <c r="AJ57" s="65"/>
      <c r="AK57" s="66"/>
      <c r="AL57" s="67"/>
      <c r="AM57" s="52"/>
      <c r="AN57" s="80" t="s">
        <v>39</v>
      </c>
      <c r="AO57" s="68" t="str">
        <f t="shared" si="6"/>
        <v>JAS Bardejov, s. r. o. odevy a obuv, &amp;#32vsetky kategorie  085 01 Bardejov Vyroba obuvi - robime sijacie a montazne prace pri vyrobe obuvi. Zamestnavame 35 zamestnancov, z toho je 89% znevyhodnenych osob. JAS Bardejov, s.r.o. Vyroba obuvi - robime sijacie a montazne prace pri vyrobe obuvi. vyroba obuvi, sitie a montaz pri vyrobe obuvi           Register partnerov VS</v>
      </c>
      <c r="AP57" s="82"/>
    </row>
    <row r="58" ht="15.75" customHeight="1">
      <c r="A58" s="45"/>
      <c r="B58" s="70">
        <v>56.0</v>
      </c>
      <c r="C58" s="99" t="s">
        <v>702</v>
      </c>
      <c r="D58" s="42" t="s">
        <v>134</v>
      </c>
      <c r="E58" s="43" t="str">
        <f t="shared" si="1"/>
        <v>Trenčiansky kraj, &amp;#32celé Slovensko</v>
      </c>
      <c r="F58" s="71" t="s">
        <v>703</v>
      </c>
      <c r="G58" s="43" t="str">
        <f t="shared" si="2"/>
        <v>elektro, počítačová a kancelárska technika, iné (tovary a služby), &amp;#32všetky kategórie</v>
      </c>
      <c r="H58" s="44" t="s">
        <v>96</v>
      </c>
      <c r="I58" s="45" t="str">
        <f t="shared" si="3"/>
        <v>6 - 10, &amp;#32všetky možnosti</v>
      </c>
      <c r="J58" s="46" t="str">
        <f t="shared" si="4"/>
        <v>,Register partnerov VS</v>
      </c>
      <c r="K58" s="47">
        <f t="shared" si="5"/>
        <v>38515.19023</v>
      </c>
      <c r="L58" s="45"/>
      <c r="M58" s="48" t="str">
        <f>IFERROR(__xludf.DUMMYFUNCTION("SPLIT(O58,"","")"),"Vajanského 4")</f>
        <v>Vajanského 4</v>
      </c>
      <c r="N58" s="48" t="str">
        <f>IFERROR(__xludf.DUMMYFUNCTION("""COMPUTED_VALUE""")," 911 01 Trenčín ")</f>
        <v> 911 01 Trenčín </v>
      </c>
      <c r="O58" s="49" t="s">
        <v>704</v>
      </c>
      <c r="P58" s="50">
        <v>48.8937332</v>
      </c>
      <c r="Q58" s="50">
        <v>18.0381108</v>
      </c>
      <c r="R58" s="73" t="s">
        <v>705</v>
      </c>
      <c r="S58" s="52" t="s">
        <v>706</v>
      </c>
      <c r="T58" s="81" t="s">
        <v>707</v>
      </c>
      <c r="U58" s="75" t="s">
        <v>708</v>
      </c>
      <c r="V58" s="55" t="s">
        <v>709</v>
      </c>
      <c r="W58" s="95" t="s">
        <v>710</v>
      </c>
      <c r="X58" s="77" t="s">
        <v>711</v>
      </c>
      <c r="Y58" s="78" t="s">
        <v>712</v>
      </c>
      <c r="Z58" s="63" t="s">
        <v>713</v>
      </c>
      <c r="AA58" s="85" t="s">
        <v>129</v>
      </c>
      <c r="AB58" s="65" t="s">
        <v>714</v>
      </c>
      <c r="AC58" s="66" t="s">
        <v>712</v>
      </c>
      <c r="AD58" s="67" t="s">
        <v>715</v>
      </c>
      <c r="AE58" s="90" t="s">
        <v>129</v>
      </c>
      <c r="AF58" s="65" t="s">
        <v>716</v>
      </c>
      <c r="AG58" s="66" t="s">
        <v>717</v>
      </c>
      <c r="AH58" s="97" t="s">
        <v>718</v>
      </c>
      <c r="AI58" s="100" t="s">
        <v>129</v>
      </c>
      <c r="AJ58" s="101" t="s">
        <v>719</v>
      </c>
      <c r="AK58" s="102" t="s">
        <v>720</v>
      </c>
      <c r="AL58" s="67"/>
      <c r="AM58" s="52"/>
      <c r="AN58" s="80" t="s">
        <v>39</v>
      </c>
      <c r="AO58" s="68" t="str">
        <f t="shared" si="6"/>
        <v>Error s.r.o. elektro, pocitacova a kancelarska technika, ine (tovary a sluzby), &amp;#32vsetky kategorie  911 01 Trencin  Servis a predaj mobilov, pocitacov a prislusenstva. Opravujeme, zastavujeme, nastavujeme a instalujeme takmer vsetky komunikacne zariadenia informacnych technologii. Robime doplnkove sluzby, poradenstvo a oboznamenie klienta / zakaznika v oblasti IT. Ponukame tiez sluzby Packeta a 4ka . Nase sluzby su pre vsetky vekove kategorie bez ohladu na pohlavie. Vyuzivaju ich fyzicke osoby aj firmy na svoje pracovne, studijne , ochranne, sluzobne i ostatne bezne ucely. Opravujeme a repasujeme zariadenia, cim mame aj priaznivy vplyv na ekologiu. Error IDEA Ilava Ponukame servis a predaj mobilov, pocitacov a prislusenstva; poradenstvo v oblasti IT, sluzby dopravcu Packeta a operatora 4ka. Servis, mobil, mobily, pocitac, pocitace, 4ka, prislusenstvo, kryty, obaly, puzdra, ochranne skla, zasielkovna, packeta, displej, repasovanie, herna konzola Error Prior Trencin Ponukame servis a predaj mobilov, pocitacov a prislusenstva; poradenstvo v oblasti IT, sluzby dopravcu Packeta a operatora 4ka. Servis, mobil, mobily, pocitac, pocitace, 4ka, prislusenstvo, kryty, obaly, puzdra, ochranne skla, zasielkovna, packeta, displej Error Juzanka Trencin Servis a predaj mobilov, pocitacov a prislusenstva, poradenstvo v oblasti IT, sluzby dopravcu Packeta a operatora 4ka. Servis, mobil, mobily, pocitac, pocitace , 4ka , prislusenstvo , kryty, obaly, puzdra, ochranne skla, zasielkovna, packeta, displej,  Error OD Maj Ponukame servis a predaj mobilov, pocitacov a prislusenstva, poradenstvo v oblasti IT, sluzby dopravcu Packeta a operatora 4ka.   Register partnerov VS</v>
      </c>
      <c r="AP58" s="82"/>
    </row>
    <row r="59" ht="15.75" customHeight="1">
      <c r="A59" s="45"/>
      <c r="B59" s="70">
        <v>57.0</v>
      </c>
      <c r="C59" s="98" t="s">
        <v>721</v>
      </c>
      <c r="D59" s="42" t="s">
        <v>66</v>
      </c>
      <c r="E59" s="43" t="str">
        <f t="shared" si="1"/>
        <v>Žilinský kraj, &amp;#32celé Slovensko</v>
      </c>
      <c r="F59" s="71" t="s">
        <v>722</v>
      </c>
      <c r="G59" s="43" t="str">
        <f t="shared" si="2"/>
        <v>dom a záhrada, stavebníctvo, &amp;#32všetky kategórie</v>
      </c>
      <c r="H59" s="44" t="s">
        <v>68</v>
      </c>
      <c r="I59" s="45" t="str">
        <f t="shared" si="3"/>
        <v>16 - 20, &amp;#32všetky možnosti</v>
      </c>
      <c r="J59" s="46" t="str">
        <f t="shared" si="4"/>
        <v>,Register partnerov VS</v>
      </c>
      <c r="K59" s="47">
        <f t="shared" si="5"/>
        <v>32169.7751</v>
      </c>
      <c r="L59" s="45"/>
      <c r="M59" s="48" t="str">
        <f>IFERROR(__xludf.DUMMYFUNCTION("SPLIT(O59,"","")"),"Hlavná 136/159")</f>
        <v>Hlavná 136/159</v>
      </c>
      <c r="N59" s="48" t="str">
        <f>IFERROR(__xludf.DUMMYFUNCTION("""COMPUTED_VALUE""")," 013 14 Kamenná Poruba")</f>
        <v> 013 14 Kamenná Poruba</v>
      </c>
      <c r="O59" s="49" t="s">
        <v>723</v>
      </c>
      <c r="P59" s="50">
        <v>49.0889335</v>
      </c>
      <c r="Q59" s="50">
        <v>18.6874986</v>
      </c>
      <c r="R59" s="103" t="s">
        <v>724</v>
      </c>
      <c r="S59" s="86" t="s">
        <v>725</v>
      </c>
      <c r="T59" s="87" t="s">
        <v>86</v>
      </c>
      <c r="U59" s="75" t="s">
        <v>726</v>
      </c>
      <c r="V59" s="55" t="s">
        <v>727</v>
      </c>
      <c r="W59" s="76" t="s">
        <v>728</v>
      </c>
      <c r="X59" s="88" t="s">
        <v>721</v>
      </c>
      <c r="Y59" s="89" t="s">
        <v>729</v>
      </c>
      <c r="Z59" s="63" t="s">
        <v>730</v>
      </c>
      <c r="AA59" s="79" t="s">
        <v>64</v>
      </c>
      <c r="AB59" s="65"/>
      <c r="AC59" s="66"/>
      <c r="AD59" s="67"/>
      <c r="AE59" s="65"/>
      <c r="AF59" s="65"/>
      <c r="AG59" s="66"/>
      <c r="AH59" s="67"/>
      <c r="AI59" s="65"/>
      <c r="AJ59" s="65"/>
      <c r="AK59" s="66"/>
      <c r="AL59" s="67"/>
      <c r="AM59" s="52"/>
      <c r="AN59" s="80" t="s">
        <v>39</v>
      </c>
      <c r="AO59" s="68" t="str">
        <f t="shared" si="6"/>
        <v>Porubske sluzby, s.r.o. dom a zahrada, stavebnictvo, &amp;#32vsetky kategorie  013 14 Kamenna Poruba Nasa spolocnost sa venuje najma cinnostiam suvisiacim so spravou a zveladovanim majetku obce, s udrzbou verejnych priestranstiev a tiez sluzbam pre obyvatelstvo, ako su stavebne prace, zemne a buracie prace, cistiace a upratovacie sluzby, zber a triedenie komunalnych odpadov, prevadzka zberneho dvora, udrzba verejnej zelene.                                                                           Vponuke mame stavebne prace, zemne a buracie prace (minibager 3,8 t, Bobcat S650, nakladne auto 12 t s hakovym nosicom kontajnerov) a udrzba zelene (kosacka Kubota G261HD 54, kosacka Alko, krovinorezy, malotraktor s bocnym mulcovacom, vyvetvovacia pila, a i.). Okrem sluzieb pre obec a jej obyvatelov  nasa polocnost prispieva k dosahovaniu pozitivneho socialneho vplyvu poskytovanim spolocensky prospesnej sluzby v oblasti zamestnanosti, a to zamestnavanim zranitelnych osob a/alebo znevyhodnenych osob s cielom ich pracovnej integracie. Chceme posilnit ich pracovne zrucnosti, navyky a zaclenovanie sa do pracovneho kolektivu. Porubske sluzby, s.r.o. Stavebne prace, zemne a buracie prace, udrzba zelene. stavebne prace, zemne a buracie prace, minibager 3,8 t, Bobcat S650, nakladne auto 12 t s hakovym nosicom kontajnerov, udrzba zelene, traktorova kosacka Kubota G261HD 54, kosacka Alko, krovinorezy, malotraktor s bocnym mulcovacom, vyvetvovacia pila, udrzba verejneho priestranstva           Register partnerov VS</v>
      </c>
      <c r="AP59" s="69" t="s">
        <v>41</v>
      </c>
    </row>
    <row r="60" ht="15.75" customHeight="1">
      <c r="A60" s="45"/>
      <c r="B60" s="70">
        <v>58.0</v>
      </c>
      <c r="C60" s="98" t="s">
        <v>731</v>
      </c>
      <c r="D60" s="42" t="s">
        <v>134</v>
      </c>
      <c r="E60" s="43" t="str">
        <f t="shared" si="1"/>
        <v>Trenčiansky kraj, &amp;#32celé Slovensko</v>
      </c>
      <c r="F60" s="71" t="s">
        <v>732</v>
      </c>
      <c r="G60" s="43" t="str">
        <f t="shared" si="2"/>
        <v>auto-moto, iné (tovary a služby), &amp;#32všetky kategórie</v>
      </c>
      <c r="H60" s="44" t="s">
        <v>53</v>
      </c>
      <c r="I60" s="45" t="str">
        <f t="shared" si="3"/>
        <v>1 - 5, &amp;#32všetky možnosti</v>
      </c>
      <c r="J60" s="46" t="str">
        <f t="shared" si="4"/>
        <v>,</v>
      </c>
      <c r="K60" s="47">
        <f t="shared" si="5"/>
        <v>20932.0373</v>
      </c>
      <c r="L60" s="45"/>
      <c r="M60" s="48" t="str">
        <f>IFERROR(__xludf.DUMMYFUNCTION("SPLIT(O60,"","")"),"Východná 301/40")</f>
        <v>Východná 301/40</v>
      </c>
      <c r="N60" s="48" t="str">
        <f>IFERROR(__xludf.DUMMYFUNCTION("""COMPUTED_VALUE""")," 972 16 Prievidza")</f>
        <v> 972 16 Prievidza</v>
      </c>
      <c r="O60" s="49" t="s">
        <v>733</v>
      </c>
      <c r="P60" s="50">
        <v>48.7686273</v>
      </c>
      <c r="Q60" s="50">
        <v>18.6362586</v>
      </c>
      <c r="R60" s="78" t="s">
        <v>734</v>
      </c>
      <c r="S60" s="86" t="s">
        <v>735</v>
      </c>
      <c r="T60" s="87" t="s">
        <v>736</v>
      </c>
      <c r="U60" s="75" t="s">
        <v>737</v>
      </c>
      <c r="V60" s="55" t="s">
        <v>738</v>
      </c>
      <c r="W60" s="76" t="s">
        <v>739</v>
      </c>
      <c r="X60" s="88" t="s">
        <v>740</v>
      </c>
      <c r="Y60" s="89" t="s">
        <v>741</v>
      </c>
      <c r="Z60" s="63" t="s">
        <v>742</v>
      </c>
      <c r="AA60" s="79" t="s">
        <v>64</v>
      </c>
      <c r="AB60" s="65"/>
      <c r="AC60" s="66"/>
      <c r="AD60" s="67"/>
      <c r="AE60" s="65"/>
      <c r="AF60" s="65"/>
      <c r="AG60" s="66"/>
      <c r="AH60" s="67"/>
      <c r="AI60" s="65"/>
      <c r="AJ60" s="65"/>
      <c r="AK60" s="66"/>
      <c r="AL60" s="67"/>
      <c r="AM60" s="36"/>
      <c r="AN60" s="65"/>
      <c r="AO60" s="68" t="str">
        <f t="shared" si="6"/>
        <v>Flowie, s. r. o. auto-moto, ine (tovary a sluzby), &amp;#32vsetky kategorie  972 16 Prievidza Ponukame vyrobu a predaj voni do auta a interieru, predaj sviecok, darcekovych predmetov, ponukame darcekove balenia pre firmy a aj pre fyzicke osoby. Nasi pracovnici maju problem zamestnat sa zo zdravotnych dovodov, u nas maju moznost spolocenskeho uplatenia s prihliadnutim na ich zdravotny stav. Flowie s.r.o. Ponukame na predaj vonne sviecky, oleje, aromalampy, vone do auta, difuzery sviecky, vonne sviecky, oleje, aromalampy, vone do auta, difuzery           </v>
      </c>
      <c r="AP60" s="82"/>
    </row>
    <row r="61" ht="15.75" customHeight="1">
      <c r="A61" s="45"/>
      <c r="B61" s="70">
        <v>59.0</v>
      </c>
      <c r="C61" s="98" t="s">
        <v>743</v>
      </c>
      <c r="D61" s="42" t="s">
        <v>134</v>
      </c>
      <c r="E61" s="43" t="str">
        <f t="shared" si="1"/>
        <v>Trenčiansky kraj, &amp;#32celé Slovensko</v>
      </c>
      <c r="F61" s="71" t="s">
        <v>744</v>
      </c>
      <c r="G61" s="43" t="str">
        <f t="shared" si="2"/>
        <v>stavebníctvo, vzdelávanie, &amp;#32všetky kategórie</v>
      </c>
      <c r="H61" s="44" t="s">
        <v>82</v>
      </c>
      <c r="I61" s="45" t="str">
        <f t="shared" si="3"/>
        <v>11 - 15, &amp;#32všetky možnosti</v>
      </c>
      <c r="J61" s="46" t="str">
        <f t="shared" si="4"/>
        <v>,Register partnerov VS</v>
      </c>
      <c r="K61" s="47">
        <f t="shared" si="5"/>
        <v>41446.27136</v>
      </c>
      <c r="L61" s="45"/>
      <c r="M61" s="48" t="str">
        <f>IFERROR(__xludf.DUMMYFUNCTION("SPLIT(O61,"","")"),"Železničná 3/A")</f>
        <v>Železničná 3/A</v>
      </c>
      <c r="N61" s="48" t="str">
        <f>IFERROR(__xludf.DUMMYFUNCTION("""COMPUTED_VALUE""")," 915 01 Nové Mesto nad Váhom")</f>
        <v> 915 01 Nové Mesto nad Váhom</v>
      </c>
      <c r="O61" s="49" t="s">
        <v>745</v>
      </c>
      <c r="P61" s="50">
        <v>48.7442717</v>
      </c>
      <c r="Q61" s="50">
        <v>17.8311001</v>
      </c>
      <c r="R61" s="73" t="s">
        <v>746</v>
      </c>
      <c r="S61" s="86" t="s">
        <v>747</v>
      </c>
      <c r="T61" s="87" t="s">
        <v>748</v>
      </c>
      <c r="U61" s="75" t="s">
        <v>749</v>
      </c>
      <c r="V61" s="55" t="s">
        <v>750</v>
      </c>
      <c r="W61" s="76" t="s">
        <v>751</v>
      </c>
      <c r="X61" s="88" t="s">
        <v>752</v>
      </c>
      <c r="Y61" s="89" t="s">
        <v>753</v>
      </c>
      <c r="Z61" s="63" t="s">
        <v>754</v>
      </c>
      <c r="AA61" s="79" t="s">
        <v>64</v>
      </c>
      <c r="AB61" s="65"/>
      <c r="AC61" s="66"/>
      <c r="AD61" s="67"/>
      <c r="AE61" s="65"/>
      <c r="AF61" s="65"/>
      <c r="AG61" s="66"/>
      <c r="AH61" s="67"/>
      <c r="AI61" s="65"/>
      <c r="AJ61" s="65"/>
      <c r="AK61" s="66"/>
      <c r="AL61" s="67"/>
      <c r="AM61" s="52"/>
      <c r="AN61" s="80" t="s">
        <v>39</v>
      </c>
      <c r="AO61" s="68" t="str">
        <f t="shared" si="6"/>
        <v>CSA SAMOTY s. r. o. stavebnictvo, vzdelavanie, &amp;#32vsetky kategorie  915 01 Nove Mesto nad Vahom Hlavnou podnikatelskou cinnostou nasej spolocnosti je poskytovat komplexne sluzby v oblasti spravy a udrzby nehnutelnosti.
V spolocnosti CSA SAMOTY s. r. o. ide o integraciu cinnosti v ramci organizacie na zabezpecenie a realizaciu dohodnutych sluzieb, kam patri najma sprava budov, ale aj ostatne sluzby spojene s priestorom a podporou zamestnancov spolocnosti. Dalsimi cinnostami spolocnosti su  pripravne a stavebne prace, ako aj organizovanie vzdelavacich cinnosti zameranych najma na stavebnu a konstrukcnu cinnost. Od 1.1.2021 zamestnavame najma regionalnych spolupracovnikov so znizenou pracovnou schopnostou. CSA SAMOTY s.r.o. Nasou viziou v oblasti facility manazmentu je podpora rastu spolocnosti, znizenie prevadzkovych (rezijnych) nakladov, znizenie rizik suvisiacich s prenajmom priestorov u externych partnerov a rozvoj dlhodobej udrzatelnosti nasho podnikania zameraneho na meratelny pozitivny socialny vplyv v regione. facility manazment, stavebne prace, sprava budov, vzdelavanie pre stavebne a konstrukcne prace           Register partnerov VS</v>
      </c>
      <c r="AP61" s="69" t="s">
        <v>41</v>
      </c>
    </row>
    <row r="62" ht="15.75" customHeight="1">
      <c r="A62" s="45"/>
      <c r="B62" s="70">
        <v>60.0</v>
      </c>
      <c r="C62" s="98" t="s">
        <v>755</v>
      </c>
      <c r="D62" s="42" t="s">
        <v>51</v>
      </c>
      <c r="E62" s="43" t="str">
        <f t="shared" si="1"/>
        <v>Prešovský kraj, &amp;#32celé Slovensko</v>
      </c>
      <c r="F62" s="71" t="s">
        <v>756</v>
      </c>
      <c r="G62" s="43" t="str">
        <f t="shared" si="2"/>
        <v>čistiace a upratovacie služby, &amp;#32všetky kategórie</v>
      </c>
      <c r="H62" s="44" t="s">
        <v>53</v>
      </c>
      <c r="I62" s="45" t="str">
        <f t="shared" si="3"/>
        <v>1 - 5, &amp;#32všetky možnosti</v>
      </c>
      <c r="J62" s="46" t="str">
        <f t="shared" si="4"/>
        <v>,Register partnerov VS</v>
      </c>
      <c r="K62" s="47">
        <f t="shared" si="5"/>
        <v>7804.457888</v>
      </c>
      <c r="L62" s="45"/>
      <c r="M62" s="48" t="str">
        <f>IFERROR(__xludf.DUMMYFUNCTION("SPLIT(O62,"","")"),"Vyšné Ružbachy 125")</f>
        <v>Vyšné Ružbachy 125</v>
      </c>
      <c r="N62" s="48" t="str">
        <f>IFERROR(__xludf.DUMMYFUNCTION("""COMPUTED_VALUE""")," 065 02 Vyšné Ružbachy")</f>
        <v> 065 02 Vyšné Ružbachy</v>
      </c>
      <c r="O62" s="49" t="s">
        <v>757</v>
      </c>
      <c r="P62" s="50">
        <v>49.3084579999999</v>
      </c>
      <c r="Q62" s="50">
        <v>20.5632523</v>
      </c>
      <c r="R62" s="78" t="s">
        <v>758</v>
      </c>
      <c r="S62" s="86" t="s">
        <v>759</v>
      </c>
      <c r="T62" s="87" t="s">
        <v>86</v>
      </c>
      <c r="U62" s="75" t="s">
        <v>760</v>
      </c>
      <c r="V62" s="55" t="s">
        <v>761</v>
      </c>
      <c r="W62" s="76" t="s">
        <v>762</v>
      </c>
      <c r="X62" s="88" t="s">
        <v>763</v>
      </c>
      <c r="Y62" s="89" t="s">
        <v>764</v>
      </c>
      <c r="Z62" s="63" t="s">
        <v>765</v>
      </c>
      <c r="AA62" s="79" t="s">
        <v>64</v>
      </c>
      <c r="AB62" s="65"/>
      <c r="AC62" s="66"/>
      <c r="AD62" s="67"/>
      <c r="AE62" s="65"/>
      <c r="AF62" s="65"/>
      <c r="AG62" s="66"/>
      <c r="AH62" s="67"/>
      <c r="AI62" s="65"/>
      <c r="AJ62" s="65"/>
      <c r="AK62" s="66"/>
      <c r="AL62" s="67"/>
      <c r="AM62" s="52"/>
      <c r="AN62" s="80" t="s">
        <v>39</v>
      </c>
      <c r="AO62" s="68" t="str">
        <f t="shared" si="6"/>
        <v>Duha VR s. r. o., r. s. p.  cistiace a upratovacie sluzby, &amp;#32vsetky kategorie  065 02 Vysne Ruzbachy Sme pracovna a cistiaren. Zapajame do pracovneho zivota dlhodobo nezamestnanych a socialne vylucenych. Duha VR s.r.o. Pracovna a cistiaren. pranie, cistenie satstva, zehlenie           Register partnerov VS</v>
      </c>
      <c r="AP62" s="82"/>
    </row>
    <row r="63" ht="15.75" customHeight="1">
      <c r="A63" s="45"/>
      <c r="B63" s="70">
        <v>61.0</v>
      </c>
      <c r="C63" s="98" t="s">
        <v>766</v>
      </c>
      <c r="D63" s="42" t="s">
        <v>66</v>
      </c>
      <c r="E63" s="43" t="str">
        <f t="shared" si="1"/>
        <v>Žilinský kraj, &amp;#32celé Slovensko</v>
      </c>
      <c r="F63" s="71" t="s">
        <v>767</v>
      </c>
      <c r="G63" s="43" t="str">
        <f t="shared" si="2"/>
        <v>nábytok a bytové doplnky, &amp;#32všetky kategórie</v>
      </c>
      <c r="H63" s="44" t="s">
        <v>96</v>
      </c>
      <c r="I63" s="45" t="str">
        <f t="shared" si="3"/>
        <v>6 - 10, &amp;#32všetky možnosti</v>
      </c>
      <c r="J63" s="46" t="str">
        <f t="shared" si="4"/>
        <v>,</v>
      </c>
      <c r="K63" s="47">
        <f t="shared" si="5"/>
        <v>27602.83479</v>
      </c>
      <c r="L63" s="45"/>
      <c r="M63" s="48" t="str">
        <f>IFERROR(__xludf.DUMMYFUNCTION("SPLIT(O63,"","")"),"Nákladné nádražie 9739")</f>
        <v>Nákladné nádražie 9739</v>
      </c>
      <c r="N63" s="48" t="str">
        <f>IFERROR(__xludf.DUMMYFUNCTION("""COMPUTED_VALUE""")," 038 61 Martin")</f>
        <v> 038 61 Martin</v>
      </c>
      <c r="O63" s="49" t="s">
        <v>768</v>
      </c>
      <c r="P63" s="50">
        <v>49.1092021</v>
      </c>
      <c r="Q63" s="50">
        <v>18.9381736</v>
      </c>
      <c r="R63" s="78" t="s">
        <v>769</v>
      </c>
      <c r="S63" s="86" t="s">
        <v>770</v>
      </c>
      <c r="T63" s="87" t="s">
        <v>771</v>
      </c>
      <c r="U63" s="75" t="s">
        <v>772</v>
      </c>
      <c r="V63" s="55" t="s">
        <v>773</v>
      </c>
      <c r="W63" s="76" t="s">
        <v>774</v>
      </c>
      <c r="X63" s="88" t="s">
        <v>775</v>
      </c>
      <c r="Y63" s="89" t="s">
        <v>776</v>
      </c>
      <c r="Z63" s="63" t="s">
        <v>777</v>
      </c>
      <c r="AA63" s="79" t="s">
        <v>64</v>
      </c>
      <c r="AB63" s="65"/>
      <c r="AC63" s="66"/>
      <c r="AD63" s="67"/>
      <c r="AE63" s="65"/>
      <c r="AF63" s="65"/>
      <c r="AG63" s="66"/>
      <c r="AH63" s="67"/>
      <c r="AI63" s="65"/>
      <c r="AJ63" s="65"/>
      <c r="AK63" s="66"/>
      <c r="AL63" s="67"/>
      <c r="AM63" s="36"/>
      <c r="AN63" s="65"/>
      <c r="AO63" s="68" t="str">
        <f t="shared" si="6"/>
        <v>ATYP INTERIER SERVIS, s. r. o., r. s. p. nabytok a bytove doplnky, &amp;#32vsetky kategorie  038 61 Martin Vyrabame nabytok vsetkeho druhu na mieru - kuchyne, skrine, kancelarsky nabytok, rozny dalsi nabytok. Vykonavame sluzby na podporu registrovaneho rozvoja a zamestnanosti. Atyp kuchynske studio Nabytok na mieru, kuchyne, skrine, kancelarsky nabytok a ostatny nabytok. drevovyroba, nabytok na mieru, kuchyne, skrine, kancelarsky nabytok, nabytok           </v>
      </c>
      <c r="AP63" s="82"/>
    </row>
    <row r="64" ht="15.75" customHeight="1">
      <c r="A64" s="45"/>
      <c r="B64" s="70">
        <v>62.0</v>
      </c>
      <c r="C64" s="98" t="s">
        <v>778</v>
      </c>
      <c r="D64" s="42" t="s">
        <v>134</v>
      </c>
      <c r="E64" s="43" t="str">
        <f t="shared" si="1"/>
        <v>Trenčiansky kraj, &amp;#32celé Slovensko</v>
      </c>
      <c r="F64" s="71" t="s">
        <v>779</v>
      </c>
      <c r="G64" s="43" t="str">
        <f t="shared" si="2"/>
        <v>stavebníctvo, dom a záhrada, iné (tovary a služby), zvieratá, &amp;#32všetky kategórie</v>
      </c>
      <c r="H64" s="44" t="s">
        <v>82</v>
      </c>
      <c r="I64" s="45" t="str">
        <f t="shared" si="3"/>
        <v>11 - 15, &amp;#32všetky možnosti</v>
      </c>
      <c r="J64" s="46" t="str">
        <f t="shared" si="4"/>
        <v>,Register partnerov VS</v>
      </c>
      <c r="K64" s="47">
        <f t="shared" si="5"/>
        <v>9854.510715</v>
      </c>
      <c r="L64" s="45"/>
      <c r="M64" s="48" t="str">
        <f>IFERROR(__xludf.DUMMYFUNCTION("SPLIT(O64,"","")"),"Na doline 177/5")</f>
        <v>Na doline 177/5</v>
      </c>
      <c r="N64" s="48" t="str">
        <f>IFERROR(__xludf.DUMMYFUNCTION("""COMPUTED_VALUE""")," 916 21 Čachtice ")</f>
        <v> 916 21 Čachtice </v>
      </c>
      <c r="O64" s="49" t="s">
        <v>780</v>
      </c>
      <c r="P64" s="50">
        <v>48.7169473</v>
      </c>
      <c r="Q64" s="50">
        <v>17.7851837</v>
      </c>
      <c r="R64" s="73" t="s">
        <v>781</v>
      </c>
      <c r="S64" s="86" t="s">
        <v>782</v>
      </c>
      <c r="T64" s="87" t="s">
        <v>86</v>
      </c>
      <c r="U64" s="75" t="s">
        <v>783</v>
      </c>
      <c r="V64" s="55" t="s">
        <v>784</v>
      </c>
      <c r="W64" s="76" t="s">
        <v>785</v>
      </c>
      <c r="X64" s="88" t="s">
        <v>778</v>
      </c>
      <c r="Y64" s="89" t="s">
        <v>786</v>
      </c>
      <c r="Z64" s="63" t="s">
        <v>787</v>
      </c>
      <c r="AA64" s="79" t="s">
        <v>64</v>
      </c>
      <c r="AB64" s="65"/>
      <c r="AC64" s="66"/>
      <c r="AD64" s="67"/>
      <c r="AE64" s="65"/>
      <c r="AF64" s="65"/>
      <c r="AG64" s="66"/>
      <c r="AH64" s="67"/>
      <c r="AI64" s="65"/>
      <c r="AJ64" s="65"/>
      <c r="AK64" s="66"/>
      <c r="AL64" s="67"/>
      <c r="AM64" s="52"/>
      <c r="AN64" s="80" t="s">
        <v>39</v>
      </c>
      <c r="AO64" s="68" t="str">
        <f t="shared" si="6"/>
        <v>STAVJAM s.r.o. stavebnictvo, dom a zahrada, ine (tovary a sluzby), zvierata, &amp;#32vsetky kategorie  916 21 Cachtice  Ponukame stavebne prace: vystavba a opravy bytov, domov a priemyselnych objektov, vystavba a rekonstrukcie spevnenych ploch, zateplovanie.
Nasa obchodna cinnost: nepotravinovy tovar dennej potreby - drogisticky, papierensky, kuchynsky, farby, hracky, potreby pre zahradu, krmiva pre zvierata. Podporujeme zamestnanost prostrednictvom zamestnavania znevyhodnenych alebo zranitelnych osob. STAVJAM s.r.o. V prevadzkarni ponukame maloobchodny predaj nepotravinoveho tovaru a stavebne prace prevazne v Trencianskom kraji. maloobchod, stavebne prace           Register partnerov VS</v>
      </c>
      <c r="AP64" s="69" t="s">
        <v>41</v>
      </c>
    </row>
    <row r="65" ht="15.75" customHeight="1">
      <c r="A65" s="45"/>
      <c r="B65" s="70">
        <v>63.0</v>
      </c>
      <c r="C65" s="98" t="s">
        <v>788</v>
      </c>
      <c r="D65" s="42" t="s">
        <v>66</v>
      </c>
      <c r="E65" s="43" t="str">
        <f t="shared" si="1"/>
        <v>Žilinský kraj, &amp;#32celé Slovensko</v>
      </c>
      <c r="F65" s="71" t="s">
        <v>789</v>
      </c>
      <c r="G65" s="43" t="str">
        <f t="shared" si="2"/>
        <v>čistiace a upratovacie služby, stavebníctvo, doprava, odpady a recyklácia, &amp;#32všetky kategórie</v>
      </c>
      <c r="H65" s="44" t="s">
        <v>53</v>
      </c>
      <c r="I65" s="45" t="str">
        <f t="shared" si="3"/>
        <v>1 - 5, &amp;#32všetky možnosti</v>
      </c>
      <c r="J65" s="46" t="str">
        <f t="shared" si="4"/>
        <v>,Register partnerov VS</v>
      </c>
      <c r="K65" s="47">
        <f t="shared" si="5"/>
        <v>32291.35743</v>
      </c>
      <c r="L65" s="45"/>
      <c r="M65" s="48" t="str">
        <f>IFERROR(__xludf.DUMMYFUNCTION("SPLIT(O65,"","")"),"Osloboditeľov 83/91")</f>
        <v>Osloboditeľov 83/91</v>
      </c>
      <c r="N65" s="48" t="str">
        <f>IFERROR(__xludf.DUMMYFUNCTION("""COMPUTED_VALUE""")," 038 53 Turany")</f>
        <v> 038 53 Turany</v>
      </c>
      <c r="O65" s="49" t="s">
        <v>790</v>
      </c>
      <c r="P65" s="50">
        <v>49.1165867</v>
      </c>
      <c r="Q65" s="50">
        <v>19.0352317</v>
      </c>
      <c r="R65" s="78" t="s">
        <v>791</v>
      </c>
      <c r="S65" s="86" t="s">
        <v>792</v>
      </c>
      <c r="T65" s="87" t="s">
        <v>86</v>
      </c>
      <c r="U65" s="75" t="s">
        <v>793</v>
      </c>
      <c r="V65" s="84" t="s">
        <v>794</v>
      </c>
      <c r="W65" s="76" t="s">
        <v>795</v>
      </c>
      <c r="X65" s="88" t="s">
        <v>796</v>
      </c>
      <c r="Y65" s="89" t="s">
        <v>797</v>
      </c>
      <c r="Z65" s="63" t="s">
        <v>798</v>
      </c>
      <c r="AA65" s="79" t="s">
        <v>64</v>
      </c>
      <c r="AB65" s="65"/>
      <c r="AC65" s="66"/>
      <c r="AD65" s="67"/>
      <c r="AE65" s="65"/>
      <c r="AF65" s="65"/>
      <c r="AG65" s="66"/>
      <c r="AH65" s="67"/>
      <c r="AI65" s="65"/>
      <c r="AJ65" s="65"/>
      <c r="AK65" s="66"/>
      <c r="AL65" s="67"/>
      <c r="AM65" s="52"/>
      <c r="AN65" s="80" t="s">
        <v>39</v>
      </c>
      <c r="AO65" s="68" t="str">
        <f t="shared" si="6"/>
        <v>Mestsky podnik sluzieb Turany, s. r. o. cistiace a upratovacie sluzby, stavebnictvo, doprava, odpady a recyklacia, &amp;#32vsetky kategorie  038 53 Turany Nakolko sme mlady podnik, ponukame zatial sluzby pri separovanom zbere, upratovacie sluzby a pomocne prace v predskolskych zariadeniach. V zamestnavani pracovnikov so zdravotnym a inym znevyhodnenim. Mestsky podnik sluzieb Turany, s.r.o., registrovany socialny podnik Cistiace a upratovacie sluzby, pomocne prace v kuchyni, separovanie odpadu. zberny dvor, skolske zariadenie, cistenie, upratovanie, separovanie odpadu           Register partnerov VS</v>
      </c>
      <c r="AP65" s="82"/>
    </row>
    <row r="66" ht="15.75" customHeight="1">
      <c r="A66" s="45"/>
      <c r="B66" s="70">
        <v>64.0</v>
      </c>
      <c r="C66" s="98" t="s">
        <v>799</v>
      </c>
      <c r="D66" s="42" t="s">
        <v>66</v>
      </c>
      <c r="E66" s="43" t="str">
        <f t="shared" si="1"/>
        <v>Žilinský kraj, &amp;#32celé Slovensko</v>
      </c>
      <c r="F66" s="71" t="s">
        <v>800</v>
      </c>
      <c r="G66" s="43" t="str">
        <f t="shared" si="2"/>
        <v>čistiace a upratovacie služby, dom a záhrada, auto-moto, elektro, počítačová a kancelárska technika, &amp;#32všetky kategórie</v>
      </c>
      <c r="H66" s="44" t="s">
        <v>53</v>
      </c>
      <c r="I66" s="45" t="str">
        <f t="shared" si="3"/>
        <v>1 - 5, &amp;#32všetky možnosti</v>
      </c>
      <c r="J66" s="46" t="str">
        <f t="shared" si="4"/>
        <v>,</v>
      </c>
      <c r="K66" s="47">
        <f t="shared" si="5"/>
        <v>5873.6919</v>
      </c>
      <c r="L66" s="45"/>
      <c r="M66" s="48" t="str">
        <f>IFERROR(__xludf.DUMMYFUNCTION("SPLIT(O66,"","")"),"Hanušákova 1393/22A")</f>
        <v>Hanušákova 1393/22A</v>
      </c>
      <c r="N66" s="48" t="str">
        <f>IFERROR(__xludf.DUMMYFUNCTION("""COMPUTED_VALUE""")," 010 01 Žilina")</f>
        <v> 010 01 Žilina</v>
      </c>
      <c r="O66" s="49" t="s">
        <v>801</v>
      </c>
      <c r="P66" s="50">
        <v>49.2061196</v>
      </c>
      <c r="Q66" s="50">
        <v>18.7784884</v>
      </c>
      <c r="R66" s="78" t="s">
        <v>802</v>
      </c>
      <c r="S66" s="86" t="s">
        <v>803</v>
      </c>
      <c r="T66" s="87" t="s">
        <v>86</v>
      </c>
      <c r="U66" s="75" t="s">
        <v>804</v>
      </c>
      <c r="V66" s="55" t="s">
        <v>805</v>
      </c>
      <c r="W66" s="76" t="s">
        <v>806</v>
      </c>
      <c r="X66" s="88" t="s">
        <v>799</v>
      </c>
      <c r="Y66" s="89" t="s">
        <v>807</v>
      </c>
      <c r="Z66" s="63" t="s">
        <v>808</v>
      </c>
      <c r="AA66" s="79" t="s">
        <v>64</v>
      </c>
      <c r="AB66" s="65"/>
      <c r="AC66" s="66"/>
      <c r="AD66" s="67"/>
      <c r="AE66" s="65"/>
      <c r="AF66" s="65"/>
      <c r="AG66" s="66"/>
      <c r="AH66" s="67"/>
      <c r="AI66" s="65"/>
      <c r="AJ66" s="65"/>
      <c r="AK66" s="66"/>
      <c r="AL66" s="67"/>
      <c r="AM66" s="36"/>
      <c r="AN66" s="65"/>
      <c r="AO66" s="68" t="str">
        <f t="shared" si="6"/>
        <v>Damparts o.z. cistiace a upratovacie sluzby, dom a zahrada, auto-moto, elektro, pocitacova a kancelarska technika, &amp;#32vsetky kategorie  010 01 Zilina Cistiace a upratovacie prace, predaj autodielov. Zamestnavame obcanov so zdravotnym postihnutim. Damparts o.z. Predaj autodielov, cistiace a upratovacie prace. cistiace prace, upratovanie, autodiely           </v>
      </c>
      <c r="AP66" s="69" t="s">
        <v>41</v>
      </c>
    </row>
    <row r="67" ht="15.75" customHeight="1">
      <c r="A67" s="45"/>
      <c r="B67" s="70">
        <v>65.0</v>
      </c>
      <c r="C67" s="98" t="s">
        <v>809</v>
      </c>
      <c r="D67" s="42" t="s">
        <v>228</v>
      </c>
      <c r="E67" s="43" t="str">
        <f t="shared" si="1"/>
        <v>Nitriansky kraj, &amp;#32celé Slovensko</v>
      </c>
      <c r="F67" s="71" t="s">
        <v>810</v>
      </c>
      <c r="G67" s="43" t="str">
        <f t="shared" si="2"/>
        <v>čistiace a upratovacie služby, vzdelávanie, účtovníctvo a poradenstvo, dom a záhrada, &amp;#32všetky kategórie</v>
      </c>
      <c r="H67" s="44" t="s">
        <v>53</v>
      </c>
      <c r="I67" s="45" t="str">
        <f t="shared" si="3"/>
        <v>1 - 5, &amp;#32všetky možnosti</v>
      </c>
      <c r="J67" s="46" t="str">
        <f t="shared" si="4"/>
        <v>,Register partnerov VS</v>
      </c>
      <c r="K67" s="47">
        <f t="shared" si="5"/>
        <v>42825.39615</v>
      </c>
      <c r="L67" s="45"/>
      <c r="M67" s="48" t="str">
        <f>IFERROR(__xludf.DUMMYFUNCTION("SPLIT(O67,"","")"),"Mlynská 2238")</f>
        <v>Mlynská 2238</v>
      </c>
      <c r="N67" s="48" t="str">
        <f>IFERROR(__xludf.DUMMYFUNCTION("""COMPUTED_VALUE""")," 934 01 Levice")</f>
        <v> 934 01 Levice</v>
      </c>
      <c r="O67" s="49" t="s">
        <v>811</v>
      </c>
      <c r="P67" s="50">
        <v>48.2173252</v>
      </c>
      <c r="Q67" s="50">
        <v>18.6031416</v>
      </c>
      <c r="R67" s="73" t="s">
        <v>812</v>
      </c>
      <c r="S67" s="86" t="s">
        <v>813</v>
      </c>
      <c r="T67" s="87" t="s">
        <v>814</v>
      </c>
      <c r="U67" s="75" t="s">
        <v>815</v>
      </c>
      <c r="V67" s="84" t="s">
        <v>816</v>
      </c>
      <c r="W67" s="76" t="s">
        <v>817</v>
      </c>
      <c r="X67" s="88" t="s">
        <v>809</v>
      </c>
      <c r="Y67" s="89" t="s">
        <v>818</v>
      </c>
      <c r="Z67" s="63" t="s">
        <v>819</v>
      </c>
      <c r="AA67" s="79" t="s">
        <v>64</v>
      </c>
      <c r="AB67" s="65"/>
      <c r="AC67" s="66"/>
      <c r="AD67" s="67"/>
      <c r="AE67" s="65"/>
      <c r="AF67" s="65"/>
      <c r="AG67" s="66"/>
      <c r="AH67" s="67"/>
      <c r="AI67" s="65"/>
      <c r="AJ67" s="65"/>
      <c r="AK67" s="66"/>
      <c r="AL67" s="67"/>
      <c r="AM67" s="52"/>
      <c r="AN67" s="80" t="s">
        <v>39</v>
      </c>
      <c r="AO67" s="68" t="str">
        <f t="shared" si="6"/>
        <v>Aptet ISP, druzstvo cistiace a upratovacie sluzby, vzdelavanie, uctovnictvo a poradenstvo, dom a zahrada, &amp;#32vsetky kategorie  934 01 Levice Aptet ISP, druzstvo vzniklo v roku 2019. Zakladajuci clenovia druzstva posobia od roku 2014 v mimovladnej neziskovej organizacii Aptet n.o., ktorej poslanim je pomoct ludom adaptovat sa na zmeny, ktore suvisia so starnutim a pripravovat ich na starobu. Obe tieto organizacie zdielaju spolocnu viziu, poslanie, hodnoty, brand i webovy priestor - https://aptet.sk/.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 registrovanom socialnom podniku aktualne pracuju len tazko zdravotne postihnuti zamestnanci. Vytvarame pracovne miesta pre znevyhodnenych a zranitelnych a integrujeme ich na trh prace. Pomahame ludom, ktori chcu pracovat, vzdelavat sa a posuvat sa dalej. Aptet ISP, druzstvo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vzdelavanie, poradenstvo, informacie, monitoring, otvoreny obchod, kancelaria, skola, kosenie, upratovanie, sprava socialnej siete, copywritting, uctovnictvo           Register partnerov VS</v>
      </c>
      <c r="AP67" s="69" t="s">
        <v>41</v>
      </c>
    </row>
    <row r="68" ht="15.75" customHeight="1">
      <c r="A68" s="45"/>
      <c r="B68" s="70">
        <v>66.0</v>
      </c>
      <c r="C68" s="98" t="s">
        <v>820</v>
      </c>
      <c r="D68" s="42" t="s">
        <v>66</v>
      </c>
      <c r="E68" s="43" t="str">
        <f t="shared" si="1"/>
        <v>Žilinský kraj, &amp;#32celé Slovensko</v>
      </c>
      <c r="F68" s="71" t="s">
        <v>257</v>
      </c>
      <c r="G68" s="43" t="str">
        <f t="shared" si="2"/>
        <v>odevy a obuv, &amp;#32všetky kategórie</v>
      </c>
      <c r="H68" s="44" t="s">
        <v>53</v>
      </c>
      <c r="I68" s="45" t="str">
        <f t="shared" si="3"/>
        <v>1 - 5, &amp;#32všetky možnosti</v>
      </c>
      <c r="J68" s="46" t="str">
        <f t="shared" si="4"/>
        <v>,</v>
      </c>
      <c r="K68" s="47">
        <f t="shared" si="5"/>
        <v>43945.31037</v>
      </c>
      <c r="L68" s="45"/>
      <c r="M68" s="48" t="str">
        <f>IFERROR(__xludf.DUMMYFUNCTION("SPLIT(O68,"","")"),"Za dráhou 476/15")</f>
        <v>Za dráhou 476/15</v>
      </c>
      <c r="N68" s="48" t="str">
        <f>IFERROR(__xludf.DUMMYFUNCTION("""COMPUTED_VALUE""")," 034 01 Ružomberok")</f>
        <v> 034 01 Ružomberok</v>
      </c>
      <c r="O68" s="49" t="s">
        <v>821</v>
      </c>
      <c r="P68" s="50">
        <v>49.0735746</v>
      </c>
      <c r="Q68" s="50">
        <v>19.312754</v>
      </c>
      <c r="R68" s="73" t="s">
        <v>822</v>
      </c>
      <c r="S68" s="86" t="s">
        <v>823</v>
      </c>
      <c r="T68" s="87" t="s">
        <v>824</v>
      </c>
      <c r="U68" s="75" t="s">
        <v>825</v>
      </c>
      <c r="V68" s="84" t="s">
        <v>826</v>
      </c>
      <c r="W68" s="76" t="s">
        <v>827</v>
      </c>
      <c r="X68" s="88" t="s">
        <v>828</v>
      </c>
      <c r="Y68" s="89" t="s">
        <v>829</v>
      </c>
      <c r="Z68" s="63" t="s">
        <v>830</v>
      </c>
      <c r="AA68" s="79" t="s">
        <v>64</v>
      </c>
      <c r="AB68" s="65"/>
      <c r="AC68" s="66"/>
      <c r="AD68" s="67"/>
      <c r="AE68" s="65"/>
      <c r="AF68" s="65"/>
      <c r="AG68" s="66"/>
      <c r="AH68" s="67"/>
      <c r="AI68" s="65"/>
      <c r="AJ68" s="65"/>
      <c r="AK68" s="66"/>
      <c r="AL68" s="67"/>
      <c r="AM68" s="36"/>
      <c r="AN68" s="65"/>
      <c r="AO68" s="68" t="str">
        <f t="shared" si="6"/>
        <v>Capica, s. r. o. odevy a obuv, &amp;#32vsetky kategorie  034 01 Ruzomberok Vyrabame siltovky a klobuky na mieru, potlacame textil, gravirujeme do dreva, razime diare, vyrabame unikatne siltovky s drevenym siltom, klobuky s drevenou strieskou, vyrabame jedinecne komunikacne oblecenie, na ktore si lepia nasivky, prostrednictvom ktorych sa clovek vyjadri. Nasi zakaznici su prevazne mladi ludia, rodiny, skoly, firmy. Zamestnavame tazko zdravotne postihnutych a tvorime absolutne unikatne vyrobky, ktore nemaju vo svete obdobu. Capica, s.r.o., r.s.p. Unikatne siltovky s drevenym siltom, klobuky s drevenou strieskou, siltovky na mieru, jedinecne komunikativne tricka, kde si vyjadrite svoje emocie. Siltovky s drevenym siltom, klobuky s drevenou strieskou, siltovky na mieru, potlac textiul, gravirovanie do dreva, tricka s potlacou           </v>
      </c>
      <c r="AP68" s="69" t="s">
        <v>41</v>
      </c>
    </row>
    <row r="69" ht="15.75" customHeight="1">
      <c r="A69" s="45"/>
      <c r="B69" s="70">
        <v>67.0</v>
      </c>
      <c r="C69" s="98" t="s">
        <v>831</v>
      </c>
      <c r="D69" s="42" t="s">
        <v>66</v>
      </c>
      <c r="E69" s="43" t="str">
        <f t="shared" si="1"/>
        <v>Žilinský kraj, &amp;#32celé Slovensko</v>
      </c>
      <c r="F69" s="71" t="s">
        <v>832</v>
      </c>
      <c r="G69" s="43" t="str">
        <f t="shared" si="2"/>
        <v>čistiace a upratovacie služby, dom a záhrada, stavebníctvo, kultúra a šport, odpady a recyklácia, reklama, &amp;#32všetky kategórie</v>
      </c>
      <c r="H69" s="44" t="s">
        <v>96</v>
      </c>
      <c r="I69" s="45" t="str">
        <f t="shared" si="3"/>
        <v>6 - 10, &amp;#32všetky možnosti</v>
      </c>
      <c r="J69" s="46" t="str">
        <f t="shared" si="4"/>
        <v>,Register partnerov VS</v>
      </c>
      <c r="K69" s="47">
        <f t="shared" si="5"/>
        <v>37408.90352</v>
      </c>
      <c r="L69" s="45"/>
      <c r="M69" s="48" t="str">
        <f>IFERROR(__xludf.DUMMYFUNCTION("SPLIT(O69,"","")"),"Hlavná 112/106")</f>
        <v>Hlavná 112/106</v>
      </c>
      <c r="N69" s="48" t="str">
        <f>IFERROR(__xludf.DUMMYFUNCTION("""COMPUTED_VALUE""")," 027 21 Žaškov")</f>
        <v> 027 21 Žaškov</v>
      </c>
      <c r="O69" s="49" t="s">
        <v>833</v>
      </c>
      <c r="P69" s="50">
        <v>48.7195125</v>
      </c>
      <c r="Q69" s="50">
        <v>21.2592217</v>
      </c>
      <c r="R69" s="73" t="s">
        <v>834</v>
      </c>
      <c r="S69" s="86" t="s">
        <v>835</v>
      </c>
      <c r="T69" s="104" t="s">
        <v>836</v>
      </c>
      <c r="U69" s="75" t="s">
        <v>837</v>
      </c>
      <c r="V69" s="55" t="s">
        <v>838</v>
      </c>
      <c r="W69" s="76" t="s">
        <v>839</v>
      </c>
      <c r="X69" s="88" t="s">
        <v>840</v>
      </c>
      <c r="Y69" s="89" t="s">
        <v>841</v>
      </c>
      <c r="Z69" s="63" t="s">
        <v>842</v>
      </c>
      <c r="AA69" s="79" t="s">
        <v>64</v>
      </c>
      <c r="AB69" s="65"/>
      <c r="AC69" s="66"/>
      <c r="AD69" s="67"/>
      <c r="AE69" s="65"/>
      <c r="AF69" s="65"/>
      <c r="AG69" s="66"/>
      <c r="AH69" s="67"/>
      <c r="AI69" s="65"/>
      <c r="AJ69" s="65"/>
      <c r="AK69" s="66"/>
      <c r="AL69" s="67"/>
      <c r="AM69" s="52"/>
      <c r="AN69" s="80" t="s">
        <v>39</v>
      </c>
      <c r="AO69" s="68" t="str">
        <f t="shared" si="6"/>
        <v>Socialny podnik Zaskov, s. r. o.  cistiace a upratovacie sluzby, dom a zahrada, stavebnictvo, kultura a sport, odpady a recyklacia, reklama, &amp;#32vsetky kategorie  027 21 Zaskov Socialny podnik Zaskov, s. r. o. vykonava nasledovne cinnosti: starostlivost o verejne priestranstva obce, udrziavanie cistoty na verejnych priestranstvach a miestnom cintorine, udrziavanie verejnej zelene a likvidacia neziaducich porastov, udrzba miestnych komunikacii a chodnikov, zimna udrzba komunikacii, kosenie verejnych priestranstiev, uskutocnovanie stavieb a ich zmien, pripravne prace k realizacii stavby, dokoncovacie stavebne prace, vyroba jednoduchych vyrobkov z dreva. Podnik zamestnava obcanov s trvalym pobytom v obci Zaskov, ktori sa z roznych dovodov dlhodobo nedokazali uplatnit na trhu prace. Zamestnava osoby, ktore su znevyhodnenymi alebo zranitelnymi osobami. Tieto osoby su zaradene do pracovneho kolektivu, kde sa ucia pracovnej moralke a navykom. V neposlednom rade - vytvorenim pracovnych miest podnik prispieva k znizovaniu nezamestnanosti v obci. Socialny podnik Zaskov, s. r. o., RSP Zimna udrzba miestnych komunikacii a verejnych priestranstiev, dokoncovacie interierove stavebne prace, dokoncovacie prace na hrubej stavbe drevenice. zimna udrzba, chodniky, murarske prace, malovanie, zateplovanie, kosenie, zametanie, stolarsko-tesarske prace, kosenie, uprava verejnych priestranstiev           Register partnerov VS</v>
      </c>
      <c r="AP69" s="69" t="s">
        <v>41</v>
      </c>
    </row>
    <row r="70" ht="15.75" customHeight="1">
      <c r="A70" s="45"/>
      <c r="B70" s="70">
        <v>68.0</v>
      </c>
      <c r="C70" s="98" t="s">
        <v>843</v>
      </c>
      <c r="D70" s="42" t="s">
        <v>134</v>
      </c>
      <c r="E70" s="43" t="str">
        <f t="shared" si="1"/>
        <v>Trenčiansky kraj, &amp;#32celé Slovensko</v>
      </c>
      <c r="F70" s="71" t="s">
        <v>844</v>
      </c>
      <c r="G70" s="43" t="str">
        <f t="shared" si="2"/>
        <v>obaly, iné (tovary a služby), &amp;#32všetky kategórie</v>
      </c>
      <c r="H70" s="44" t="s">
        <v>82</v>
      </c>
      <c r="I70" s="45" t="str">
        <f t="shared" si="3"/>
        <v>11 - 15, &amp;#32všetky možnosti</v>
      </c>
      <c r="J70" s="46" t="str">
        <f t="shared" si="4"/>
        <v>,Register partnerov VS</v>
      </c>
      <c r="K70" s="47">
        <f t="shared" si="5"/>
        <v>2336.432937</v>
      </c>
      <c r="L70" s="45"/>
      <c r="M70" s="48" t="str">
        <f>IFERROR(__xludf.DUMMYFUNCTION("SPLIT(O70,"","")"),"Záhrady 292/11")</f>
        <v>Záhrady 292/11</v>
      </c>
      <c r="N70" s="48" t="str">
        <f>IFERROR(__xludf.DUMMYFUNCTION("""COMPUTED_VALUE""")," 972 05 Sebedražie ")</f>
        <v> 972 05 Sebedražie </v>
      </c>
      <c r="O70" s="49" t="s">
        <v>845</v>
      </c>
      <c r="P70" s="50">
        <v>48.7292451</v>
      </c>
      <c r="Q70" s="50">
        <v>18.6220958</v>
      </c>
      <c r="R70" s="78" t="s">
        <v>846</v>
      </c>
      <c r="S70" s="86" t="s">
        <v>847</v>
      </c>
      <c r="T70" s="87" t="s">
        <v>848</v>
      </c>
      <c r="U70" s="75" t="s">
        <v>849</v>
      </c>
      <c r="V70" s="55" t="s">
        <v>850</v>
      </c>
      <c r="W70" s="76"/>
      <c r="X70" s="88" t="s">
        <v>851</v>
      </c>
      <c r="Y70" s="89" t="s">
        <v>852</v>
      </c>
      <c r="Z70" s="63" t="s">
        <v>853</v>
      </c>
      <c r="AA70" s="85" t="s">
        <v>129</v>
      </c>
      <c r="AB70" s="65" t="s">
        <v>854</v>
      </c>
      <c r="AC70" s="66" t="s">
        <v>855</v>
      </c>
      <c r="AD70" s="67" t="s">
        <v>856</v>
      </c>
      <c r="AE70" s="65" t="s">
        <v>64</v>
      </c>
      <c r="AF70" s="65"/>
      <c r="AG70" s="66"/>
      <c r="AH70" s="67"/>
      <c r="AI70" s="65"/>
      <c r="AJ70" s="65"/>
      <c r="AK70" s="66"/>
      <c r="AL70" s="67"/>
      <c r="AM70" s="52"/>
      <c r="AN70" s="80" t="s">
        <v>39</v>
      </c>
      <c r="AO70" s="68" t="str">
        <f t="shared" si="6"/>
        <v>KOZAK, s. r. o. obaly, ine (tovary a sluzby), &amp;#32vsetky kategorie  972 05 Sebedrazie  Spolocnost podnika v oblasti prenajmu nehnutelneho majetku; robime tiez drobny maloobchod - produkty spolocnosti doTERRA. Ponuku mame rozsirenu o vyrobne aktivity v oblasti obalovych produktov z kartonu a plast-kartonu, vykonavame prace potrebne pri vyrobe kartonovych produktov, ktore su predavane formou sluzby a polotovarov pre spolocnost Karton.sk, s.r.o.; neskor planujeme tuto ponuku rozsirit aj pre dalsie spolocnosti. Zamestnavame znevyhodnene a zranitelne osoby, vytvarame podmienky pre ich socializaciu a adaptaciu na poziadavky pracovneho trhu najma v manualnych cinnostiach, pomahame im pri osvojeni si pravidelnych pracovnych navykov. KOZAK, s.r.o. Robime prenajom nehnutelnosti a pomocne prace pri vyrobe obalov z kartonu a vlnitej lepenky. prenajom nehnutelnosti, kartonove obaly Balance center Drobny maloobchod, skolenia zdravia a licenia. esencialne oleje, aromaterapia, zdrava vyziva, poradenstvo        Register partnerov VS</v>
      </c>
      <c r="AP70" s="69" t="s">
        <v>41</v>
      </c>
    </row>
    <row r="71" ht="15.75" customHeight="1">
      <c r="A71" s="45"/>
      <c r="B71" s="70">
        <v>69.0</v>
      </c>
      <c r="C71" s="98" t="s">
        <v>857</v>
      </c>
      <c r="D71" s="42" t="s">
        <v>80</v>
      </c>
      <c r="E71" s="43" t="str">
        <f t="shared" si="1"/>
        <v>Trnavský kraj, &amp;#32celé Slovensko</v>
      </c>
      <c r="F71" s="71" t="s">
        <v>858</v>
      </c>
      <c r="G71" s="43" t="str">
        <f t="shared" si="2"/>
        <v>doprava, obaly, iné (tovary a služby), &amp;#32všetky kategórie</v>
      </c>
      <c r="H71" s="44" t="s">
        <v>170</v>
      </c>
      <c r="I71" s="45" t="str">
        <f t="shared" si="3"/>
        <v>21 a viac, &amp;#32všetky možnosti</v>
      </c>
      <c r="J71" s="46" t="str">
        <f t="shared" si="4"/>
        <v>,</v>
      </c>
      <c r="K71" s="47">
        <f t="shared" si="5"/>
        <v>29346.68067</v>
      </c>
      <c r="L71" s="45"/>
      <c r="M71" s="48" t="str">
        <f>IFERROR(__xludf.DUMMYFUNCTION("SPLIT(O71,"","")"),"Vŕbová 2746/12")</f>
        <v>Vŕbová 2746/12</v>
      </c>
      <c r="N71" s="48" t="str">
        <f>IFERROR(__xludf.DUMMYFUNCTION("""COMPUTED_VALUE""")," 924 01 Galanta")</f>
        <v> 924 01 Galanta</v>
      </c>
      <c r="O71" s="49" t="s">
        <v>859</v>
      </c>
      <c r="P71" s="50">
        <v>48.2037913</v>
      </c>
      <c r="Q71" s="50">
        <v>17.7525358</v>
      </c>
      <c r="R71" s="73" t="s">
        <v>860</v>
      </c>
      <c r="S71" s="86" t="s">
        <v>861</v>
      </c>
      <c r="T71" s="87" t="s">
        <v>862</v>
      </c>
      <c r="U71" s="75" t="s">
        <v>863</v>
      </c>
      <c r="V71" s="55" t="s">
        <v>864</v>
      </c>
      <c r="W71" s="76" t="s">
        <v>865</v>
      </c>
      <c r="X71" s="88" t="s">
        <v>857</v>
      </c>
      <c r="Y71" s="89" t="s">
        <v>866</v>
      </c>
      <c r="Z71" s="63" t="s">
        <v>867</v>
      </c>
      <c r="AA71" s="79" t="s">
        <v>64</v>
      </c>
      <c r="AB71" s="65"/>
      <c r="AC71" s="66"/>
      <c r="AD71" s="67"/>
      <c r="AE71" s="65"/>
      <c r="AF71" s="65"/>
      <c r="AG71" s="66"/>
      <c r="AH71" s="67"/>
      <c r="AI71" s="65"/>
      <c r="AJ71" s="65"/>
      <c r="AK71" s="66"/>
      <c r="AL71" s="67"/>
      <c r="AM71" s="36"/>
      <c r="AN71" s="65"/>
      <c r="AO71" s="68" t="str">
        <f t="shared" si="6"/>
        <v>PW Logistics Slovakia s.r.o., r. s. p. doprava, obaly, ine (tovary a sluzby), &amp;#32vsetky kategorie  924 01 Galanta Robime balenie tovaru (rucne / strojove), etiketovanie, co-packing, polygrafia, POP Display, kartonove palety, ECO-BOXy, nakladnu dopravu a ine. Snazime sa zlepsit socialne postavenie ludi so znizenou zdravotnou schopnostou, ich zaradenie do pracovneho procesu. PW Logistics Slovakia s.r.o., r. s. p. Balenie tovaru (rucne / strojove), co-packing, etiketovanie, kartonove palety, ECO-BOX, polygrafia, POP Display, nakladna doprava a ine balenie tovaru, prebalovanie tovaru, etiketovanie, ECO palety, ECO krabice, tlac, tlaciaren, predajne stojany, nakladna doprava, co packing           </v>
      </c>
      <c r="AP71" s="69" t="s">
        <v>41</v>
      </c>
    </row>
    <row r="72" ht="15.75" customHeight="1">
      <c r="A72" s="45"/>
      <c r="B72" s="70">
        <v>70.0</v>
      </c>
      <c r="C72" s="98" t="s">
        <v>868</v>
      </c>
      <c r="D72" s="42" t="s">
        <v>51</v>
      </c>
      <c r="E72" s="43" t="str">
        <f t="shared" si="1"/>
        <v>Prešovský kraj, &amp;#32celé Slovensko</v>
      </c>
      <c r="F72" s="71" t="s">
        <v>869</v>
      </c>
      <c r="G72" s="43" t="str">
        <f t="shared" si="2"/>
        <v>obaly, dom a záhrada, &amp;#32všetky kategórie</v>
      </c>
      <c r="H72" s="44" t="s">
        <v>96</v>
      </c>
      <c r="I72" s="45" t="str">
        <f t="shared" si="3"/>
        <v>6 - 10, &amp;#32všetky možnosti</v>
      </c>
      <c r="J72" s="46" t="str">
        <f t="shared" si="4"/>
        <v>,</v>
      </c>
      <c r="K72" s="47">
        <f t="shared" si="5"/>
        <v>14777.55551</v>
      </c>
      <c r="L72" s="45"/>
      <c r="M72" s="48" t="str">
        <f>IFERROR(__xludf.DUMMYFUNCTION("SPLIT(O72,"","")"),"Arm. gen. Svobodu 32")</f>
        <v>Arm. gen. Svobodu 32</v>
      </c>
      <c r="N72" s="48" t="str">
        <f>IFERROR(__xludf.DUMMYFUNCTION("""COMPUTED_VALUE""")," 080 01 Prešov")</f>
        <v> 080 01 Prešov</v>
      </c>
      <c r="O72" s="49" t="s">
        <v>870</v>
      </c>
      <c r="P72" s="50">
        <v>48.9888572</v>
      </c>
      <c r="Q72" s="50">
        <v>21.2657575</v>
      </c>
      <c r="R72" s="78" t="s">
        <v>871</v>
      </c>
      <c r="S72" s="86" t="s">
        <v>872</v>
      </c>
      <c r="T72" s="87" t="s">
        <v>86</v>
      </c>
      <c r="U72" s="75" t="s">
        <v>873</v>
      </c>
      <c r="V72" s="55" t="s">
        <v>874</v>
      </c>
      <c r="W72" s="76" t="s">
        <v>875</v>
      </c>
      <c r="X72" s="88" t="s">
        <v>876</v>
      </c>
      <c r="Y72" s="89" t="s">
        <v>877</v>
      </c>
      <c r="Z72" s="63" t="s">
        <v>878</v>
      </c>
      <c r="AA72" s="79" t="s">
        <v>64</v>
      </c>
      <c r="AB72" s="65"/>
      <c r="AC72" s="66"/>
      <c r="AD72" s="67"/>
      <c r="AE72" s="65"/>
      <c r="AF72" s="65"/>
      <c r="AG72" s="66"/>
      <c r="AH72" s="67"/>
      <c r="AI72" s="65"/>
      <c r="AJ72" s="65"/>
      <c r="AK72" s="66"/>
      <c r="AL72" s="67"/>
      <c r="AM72" s="36"/>
      <c r="AN72" s="65"/>
      <c r="AO72" s="68" t="str">
        <f t="shared" si="6"/>
        <v>Sunrise Group s.r.o. obaly, dom a zahrada, &amp;#32vsetky kategorie  080 01 Presov Nasa spolocnost sa zaobera vyrobou drevenych paliet podla potrieb zakaznika - typizovanych aj atypickych. Zamestnavame znevyhodnenych obcanov aj so zdravotnym postihnutim, ktori maju stazenu moznost zamestnat sa na pracovnom trhu. Vratane obcanov z marginalizovanych romskych komunit. Vyrobne a skladove priestory Vyroba typovych aj atypickych druhov paliet. vyroba drevenych paliet, drevene palety           </v>
      </c>
      <c r="AP72" s="69" t="s">
        <v>41</v>
      </c>
    </row>
    <row r="73" ht="15.75" customHeight="1">
      <c r="A73" s="45"/>
      <c r="B73" s="70">
        <v>71.0</v>
      </c>
      <c r="C73" s="98" t="s">
        <v>879</v>
      </c>
      <c r="D73" s="42" t="s">
        <v>66</v>
      </c>
      <c r="E73" s="43" t="str">
        <f t="shared" si="1"/>
        <v>Žilinský kraj, &amp;#32celé Slovensko</v>
      </c>
      <c r="F73" s="71" t="s">
        <v>880</v>
      </c>
      <c r="G73" s="43" t="str">
        <f t="shared" si="2"/>
        <v>dom a záhrada, stavebníctvo, auto-moto, iné (tovary a služby), &amp;#32všetky kategórie</v>
      </c>
      <c r="H73" s="44" t="s">
        <v>96</v>
      </c>
      <c r="I73" s="45" t="str">
        <f t="shared" si="3"/>
        <v>6 - 10, &amp;#32všetky možnosti</v>
      </c>
      <c r="J73" s="46" t="str">
        <f t="shared" si="4"/>
        <v>,Register partnerov VS</v>
      </c>
      <c r="K73" s="47">
        <f t="shared" si="5"/>
        <v>13923.41121</v>
      </c>
      <c r="L73" s="45"/>
      <c r="M73" s="48" t="str">
        <f>IFERROR(__xludf.DUMMYFUNCTION("SPLIT(O73,"","")"),"Podvysoká 386")</f>
        <v>Podvysoká 386</v>
      </c>
      <c r="N73" s="48" t="str">
        <f>IFERROR(__xludf.DUMMYFUNCTION("""COMPUTED_VALUE""")," 023 57 Podvysoká")</f>
        <v> 023 57 Podvysoká</v>
      </c>
      <c r="O73" s="49" t="s">
        <v>881</v>
      </c>
      <c r="P73" s="50">
        <v>49.4133275</v>
      </c>
      <c r="Q73" s="50">
        <v>18.6662573</v>
      </c>
      <c r="R73" s="73" t="s">
        <v>882</v>
      </c>
      <c r="S73" s="86" t="s">
        <v>883</v>
      </c>
      <c r="T73" s="87" t="s">
        <v>884</v>
      </c>
      <c r="U73" s="75" t="s">
        <v>885</v>
      </c>
      <c r="V73" s="55" t="s">
        <v>886</v>
      </c>
      <c r="W73" s="76" t="s">
        <v>887</v>
      </c>
      <c r="X73" s="88" t="s">
        <v>888</v>
      </c>
      <c r="Y73" s="89" t="s">
        <v>889</v>
      </c>
      <c r="Z73" s="63" t="s">
        <v>890</v>
      </c>
      <c r="AA73" s="79" t="s">
        <v>64</v>
      </c>
      <c r="AB73" s="65"/>
      <c r="AC73" s="66"/>
      <c r="AD73" s="67"/>
      <c r="AE73" s="65"/>
      <c r="AF73" s="65"/>
      <c r="AG73" s="66"/>
      <c r="AH73" s="67"/>
      <c r="AI73" s="65"/>
      <c r="AJ73" s="65"/>
      <c r="AK73" s="66"/>
      <c r="AL73" s="67"/>
      <c r="AM73" s="52"/>
      <c r="AN73" s="80" t="s">
        <v>39</v>
      </c>
      <c r="AO73" s="68" t="str">
        <f t="shared" si="6"/>
        <v>Laboprofilak, RSP s. r. o. dom a zahrada, stavebnictvo, auto-moto, ine (tovary a sluzby), &amp;#32vsetky kategorie  023 57 Podvysoka Robime zarucnu i pozarucnu opravu automobilov, bicyklov, skutrov, zabezpecime aj  riesenie poistnych udalosti. V ponuke mame tiez starostlivost o domacnosti, obecne pozemky a zahrady, ako aj drobne stavebne prace. Poskytujeme pracovne miesta pre zdravotne znevyhodnenych obcanov Laboprofilak RSP, s.r.o. Lakovnicke potreby a sluzby spojene s opravou automobilov. automobilove opravy, automobilove suciastky, pneumatiky, lakyrnicke potreby, lakovnicke potreby, kosenie, buranie, stavanie, stavba, stavebne prace, bicykel, skuter           Register partnerov VS</v>
      </c>
      <c r="AP73" s="82"/>
    </row>
    <row r="74" ht="15.75" customHeight="1">
      <c r="A74" s="45"/>
      <c r="B74" s="70">
        <v>72.0</v>
      </c>
      <c r="C74" s="98" t="s">
        <v>891</v>
      </c>
      <c r="D74" s="42" t="s">
        <v>94</v>
      </c>
      <c r="E74" s="43" t="str">
        <f t="shared" si="1"/>
        <v>Bratislavský kraj, &amp;#32celé Slovensko</v>
      </c>
      <c r="F74" s="71" t="s">
        <v>892</v>
      </c>
      <c r="G74" s="43" t="str">
        <f t="shared" si="2"/>
        <v>kultúra a šport, &amp;#32všetky kategórie</v>
      </c>
      <c r="H74" s="44" t="s">
        <v>96</v>
      </c>
      <c r="I74" s="45" t="str">
        <f t="shared" si="3"/>
        <v>6 - 10, &amp;#32všetky možnosti</v>
      </c>
      <c r="J74" s="46" t="str">
        <f t="shared" si="4"/>
        <v>,</v>
      </c>
      <c r="K74" s="47">
        <f t="shared" si="5"/>
        <v>843.3458364</v>
      </c>
      <c r="L74" s="45"/>
      <c r="M74" s="48" t="str">
        <f>IFERROR(__xludf.DUMMYFUNCTION("SPLIT(O74,"","")"),"Pod Glavicou 2")</f>
        <v>Pod Glavicou 2</v>
      </c>
      <c r="N74" s="48" t="str">
        <f>IFERROR(__xludf.DUMMYFUNCTION("""COMPUTED_VALUE""")," 841 08 Bratislava")</f>
        <v> 841 08 Bratislava</v>
      </c>
      <c r="O74" s="49" t="s">
        <v>893</v>
      </c>
      <c r="P74" s="50">
        <v>48.2057946</v>
      </c>
      <c r="Q74" s="50">
        <v>16.9857979</v>
      </c>
      <c r="R74" s="78" t="s">
        <v>894</v>
      </c>
      <c r="S74" s="86" t="s">
        <v>895</v>
      </c>
      <c r="T74" s="87" t="s">
        <v>86</v>
      </c>
      <c r="U74" s="75" t="s">
        <v>896</v>
      </c>
      <c r="V74" s="84" t="s">
        <v>897</v>
      </c>
      <c r="W74" s="76" t="s">
        <v>898</v>
      </c>
      <c r="X74" s="88" t="s">
        <v>899</v>
      </c>
      <c r="Y74" s="89" t="s">
        <v>900</v>
      </c>
      <c r="Z74" s="63" t="s">
        <v>901</v>
      </c>
      <c r="AA74" s="79" t="s">
        <v>64</v>
      </c>
      <c r="AB74" s="65"/>
      <c r="AC74" s="66"/>
      <c r="AD74" s="67"/>
      <c r="AE74" s="65"/>
      <c r="AF74" s="65"/>
      <c r="AG74" s="66"/>
      <c r="AH74" s="67"/>
      <c r="AI74" s="65"/>
      <c r="AJ74" s="65"/>
      <c r="AK74" s="66"/>
      <c r="AL74" s="67"/>
      <c r="AM74" s="36"/>
      <c r="AN74" s="65"/>
      <c r="AO74" s="68" t="str">
        <f t="shared" si="6"/>
        <v>cShop SK s. r. o. r.s.p. kultura a sport, &amp;#32vsetky kategorie  841 08 Bratislava Poskytujeme sluzbu servis bicyklov. Ponukame siroku skalu cyklokomponentov a suciastok na bicykle, ci uz v predajni alebo cez eshop. V podpore zamestnanosti ludi so zdravotnym znevyhodnenim. cShop SK Zameriavame sa na servis bicyklov, ponukame siroku skalu cyklodoplnkov a prislusenstva. servis bicyklov, nahradne diely na bicykel, doplnky na bicykle, oblecenie na bicykel, podpora cykloservisov, cykloservis           </v>
      </c>
      <c r="AP74" s="82"/>
    </row>
    <row r="75" ht="15.75" customHeight="1">
      <c r="A75" s="45"/>
      <c r="B75" s="70">
        <v>73.0</v>
      </c>
      <c r="C75" s="98" t="s">
        <v>902</v>
      </c>
      <c r="D75" s="42" t="s">
        <v>51</v>
      </c>
      <c r="E75" s="43" t="str">
        <f t="shared" si="1"/>
        <v>Prešovský kraj, &amp;#32celé Slovensko</v>
      </c>
      <c r="F75" s="71" t="s">
        <v>257</v>
      </c>
      <c r="G75" s="43" t="str">
        <f t="shared" si="2"/>
        <v>odevy a obuv, &amp;#32všetky kategórie</v>
      </c>
      <c r="H75" s="44" t="s">
        <v>53</v>
      </c>
      <c r="I75" s="45" t="str">
        <f t="shared" si="3"/>
        <v>1 - 5, &amp;#32všetky možnosti</v>
      </c>
      <c r="J75" s="46" t="str">
        <f t="shared" si="4"/>
        <v>,</v>
      </c>
      <c r="K75" s="47">
        <f t="shared" si="5"/>
        <v>42172.93408</v>
      </c>
      <c r="L75" s="45"/>
      <c r="M75" s="48" t="str">
        <f>IFERROR(__xludf.DUMMYFUNCTION("SPLIT(O75,"","")"),"Duchnovičova 552/54")</f>
        <v>Duchnovičova 552/54</v>
      </c>
      <c r="N75" s="48" t="str">
        <f>IFERROR(__xludf.DUMMYFUNCTION("""COMPUTED_VALUE""")," 068 01 Medzilaborce")</f>
        <v> 068 01 Medzilaborce</v>
      </c>
      <c r="O75" s="49" t="s">
        <v>903</v>
      </c>
      <c r="P75" s="50">
        <v>49.2775488</v>
      </c>
      <c r="Q75" s="50">
        <v>21.9071201</v>
      </c>
      <c r="R75" s="78" t="s">
        <v>904</v>
      </c>
      <c r="S75" s="86" t="s">
        <v>905</v>
      </c>
      <c r="T75" s="87" t="s">
        <v>86</v>
      </c>
      <c r="U75" s="75" t="s">
        <v>906</v>
      </c>
      <c r="V75" s="55" t="s">
        <v>907</v>
      </c>
      <c r="W75" s="76" t="s">
        <v>908</v>
      </c>
      <c r="X75" s="88" t="s">
        <v>909</v>
      </c>
      <c r="Y75" s="89" t="s">
        <v>910</v>
      </c>
      <c r="Z75" s="63" t="s">
        <v>911</v>
      </c>
      <c r="AA75" s="79" t="s">
        <v>64</v>
      </c>
      <c r="AB75" s="65"/>
      <c r="AC75" s="66"/>
      <c r="AD75" s="67"/>
      <c r="AE75" s="65"/>
      <c r="AF75" s="65"/>
      <c r="AG75" s="66"/>
      <c r="AH75" s="67"/>
      <c r="AI75" s="65"/>
      <c r="AJ75" s="65"/>
      <c r="AK75" s="66"/>
      <c r="AL75" s="67"/>
      <c r="AM75" s="36"/>
      <c r="AN75" s="65"/>
      <c r="AO75" s="68" t="str">
        <f t="shared" si="6"/>
        <v>Antal shoes s. r. o. odevy a obuv, &amp;#32vsetky kategorie  068 01 Medzilaborce Robime vyrobu a predaj barefoot topanok. Zamestnavame znevyhodnene a zranitelne osoby. Vytvarame pracovne miesta v jednom z najchudobnejsich regionov. Antal shoes s.r.o. Vyroba a predaj barefoot topanok. obuv, barefoot topanky           </v>
      </c>
      <c r="AP75" s="82"/>
    </row>
    <row r="76" ht="15.75" customHeight="1">
      <c r="A76" s="45"/>
      <c r="B76" s="70">
        <v>74.0</v>
      </c>
      <c r="C76" s="98" t="s">
        <v>912</v>
      </c>
      <c r="D76" s="42" t="s">
        <v>66</v>
      </c>
      <c r="E76" s="43" t="str">
        <f t="shared" si="1"/>
        <v>Žilinský kraj, &amp;#32celé Slovensko</v>
      </c>
      <c r="F76" s="71" t="s">
        <v>722</v>
      </c>
      <c r="G76" s="43" t="str">
        <f t="shared" si="2"/>
        <v>dom a záhrada, stavebníctvo, &amp;#32všetky kategórie</v>
      </c>
      <c r="H76" s="44" t="s">
        <v>53</v>
      </c>
      <c r="I76" s="45" t="str">
        <f t="shared" si="3"/>
        <v>1 - 5, &amp;#32všetky možnosti</v>
      </c>
      <c r="J76" s="46" t="str">
        <f t="shared" si="4"/>
        <v>,</v>
      </c>
      <c r="K76" s="47">
        <f t="shared" si="5"/>
        <v>16166.92554</v>
      </c>
      <c r="L76" s="45"/>
      <c r="M76" s="48" t="str">
        <f>IFERROR(__xludf.DUMMYFUNCTION("SPLIT(O76,"","")"),"P.O. Hviezdoslava 861/59")</f>
        <v>P.O. Hviezdoslava 861/59</v>
      </c>
      <c r="N76" s="48" t="str">
        <f>IFERROR(__xludf.DUMMYFUNCTION("""COMPUTED_VALUE""")," 013 03 Varín")</f>
        <v> 013 03 Varín</v>
      </c>
      <c r="O76" s="49" t="s">
        <v>913</v>
      </c>
      <c r="P76" s="50">
        <v>49.2066473999999</v>
      </c>
      <c r="Q76" s="50">
        <v>18.8711652</v>
      </c>
      <c r="R76" s="78" t="s">
        <v>914</v>
      </c>
      <c r="S76" s="86" t="s">
        <v>915</v>
      </c>
      <c r="T76" s="87" t="s">
        <v>916</v>
      </c>
      <c r="U76" s="75" t="s">
        <v>917</v>
      </c>
      <c r="V76" s="55" t="s">
        <v>918</v>
      </c>
      <c r="W76" s="76" t="s">
        <v>919</v>
      </c>
      <c r="X76" s="88" t="s">
        <v>912</v>
      </c>
      <c r="Y76" s="89" t="s">
        <v>920</v>
      </c>
      <c r="Z76" s="63" t="s">
        <v>921</v>
      </c>
      <c r="AA76" s="79" t="s">
        <v>64</v>
      </c>
      <c r="AB76" s="65"/>
      <c r="AC76" s="66"/>
      <c r="AD76" s="67"/>
      <c r="AE76" s="65"/>
      <c r="AF76" s="65"/>
      <c r="AG76" s="66"/>
      <c r="AH76" s="67"/>
      <c r="AI76" s="65"/>
      <c r="AJ76" s="65"/>
      <c r="AK76" s="66"/>
      <c r="AL76" s="67"/>
      <c r="AM76" s="36"/>
      <c r="AN76" s="65"/>
      <c r="AO76" s="68" t="str">
        <f t="shared" si="6"/>
        <v>JS ENGINEERING s.r.o. dom a zahrada, stavebnictvo, &amp;#32vsetky kategorie  013 03 Varin Nas registrovany socialny podnik ponuka zemne a vykopove prace i rozne stavebne prace zakaznikom, ako su samospravy, spolocnosti a firmy, aj sukromne osoby. Nas registrovany socialny podnik umoznuje a poskytuje pracu osobam, ktore sa tazko uplatnuju na trhu prace, pomaha im zaclenit sa do spolocnosti a byt pre spolocnost prinosom. JS ENGINEERING s.r.o. Ponukame zemne a vykopove prace i rozne dalsie stavebne prace. zemne prace, vykopove prace, terenne upravy, stavebne prace, stavba           </v>
      </c>
      <c r="AP76" s="69" t="s">
        <v>41</v>
      </c>
    </row>
    <row r="77" ht="15.75" customHeight="1">
      <c r="A77" s="45"/>
      <c r="B77" s="70">
        <v>75.0</v>
      </c>
      <c r="C77" s="98" t="s">
        <v>922</v>
      </c>
      <c r="D77" s="42" t="s">
        <v>51</v>
      </c>
      <c r="E77" s="43" t="str">
        <f t="shared" si="1"/>
        <v>Prešovský kraj, &amp;#32celé Slovensko</v>
      </c>
      <c r="F77" s="71" t="s">
        <v>923</v>
      </c>
      <c r="G77" s="43" t="str">
        <f t="shared" si="2"/>
        <v>čistiace a upratovacie služby, poľnohospodárstvo a lesníctvo, dom a záhrada, stavebníctvo, &amp;#32všetky kategórie</v>
      </c>
      <c r="H77" s="44" t="s">
        <v>53</v>
      </c>
      <c r="I77" s="45" t="str">
        <f t="shared" si="3"/>
        <v>1 - 5, &amp;#32všetky možnosti</v>
      </c>
      <c r="J77" s="46" t="str">
        <f t="shared" si="4"/>
        <v>,</v>
      </c>
      <c r="K77" s="47">
        <f t="shared" si="5"/>
        <v>18327.68065</v>
      </c>
      <c r="L77" s="45"/>
      <c r="M77" s="48" t="str">
        <f>IFERROR(__xludf.DUMMYFUNCTION("SPLIT(O77,"","")"),"Kendice 274")</f>
        <v>Kendice 274</v>
      </c>
      <c r="N77" s="48" t="str">
        <f>IFERROR(__xludf.DUMMYFUNCTION("""COMPUTED_VALUE""")," 082 01 Kendice")</f>
        <v> 082 01 Kendice</v>
      </c>
      <c r="O77" s="49" t="s">
        <v>924</v>
      </c>
      <c r="P77" s="50">
        <v>48.9257168</v>
      </c>
      <c r="Q77" s="50">
        <v>21.2419314</v>
      </c>
      <c r="R77" s="78" t="s">
        <v>925</v>
      </c>
      <c r="S77" s="86" t="s">
        <v>926</v>
      </c>
      <c r="T77" s="87" t="s">
        <v>86</v>
      </c>
      <c r="U77" s="75" t="s">
        <v>927</v>
      </c>
      <c r="V77" s="55" t="s">
        <v>928</v>
      </c>
      <c r="W77" s="76" t="s">
        <v>929</v>
      </c>
      <c r="X77" s="88" t="s">
        <v>930</v>
      </c>
      <c r="Y77" s="89" t="s">
        <v>931</v>
      </c>
      <c r="Z77" s="63" t="s">
        <v>932</v>
      </c>
      <c r="AA77" s="79" t="s">
        <v>64</v>
      </c>
      <c r="AB77" s="65"/>
      <c r="AC77" s="66"/>
      <c r="AD77" s="67"/>
      <c r="AE77" s="65"/>
      <c r="AF77" s="65"/>
      <c r="AG77" s="66"/>
      <c r="AH77" s="67"/>
      <c r="AI77" s="65"/>
      <c r="AJ77" s="65"/>
      <c r="AK77" s="66"/>
      <c r="AL77" s="67"/>
      <c r="AM77" s="36"/>
      <c r="AN77" s="65"/>
      <c r="AO77" s="68" t="str">
        <f t="shared" si="6"/>
        <v>Obecny socialny podnik KENDY s. r. o., r. s. p. cistiace a upratovacie sluzby, polnohospodarstvo a lesnictvo, dom a zahrada, stavebnictvo, &amp;#32vsetky kategorie  082 01 Kendice Nasimi zakaznikmi su obec a vsetci jej obcania. Poskytujeme im sluzby suvisiace s udrzbou dvorov a pozemkov obce, najma vo forme kosenia a upravy drevin. Ponukame tiez drobne stavebne prace, ako su buracie a terenne prace, pokladka dlazby. V prvom rade zvysovanim zamestnanosti. Obecny socialny podnik Kendy s.r.o., r.s.p. Sluzby spojene s udrzbou pozemkov a dvorov obce, drobne stavebne prace. kosenie, stavebne prace, orez stromov, dlazba           </v>
      </c>
      <c r="AP77" s="82"/>
    </row>
    <row r="78" ht="15.75" customHeight="1">
      <c r="A78" s="45"/>
      <c r="B78" s="70">
        <v>76.0</v>
      </c>
      <c r="C78" s="98" t="s">
        <v>933</v>
      </c>
      <c r="D78" s="42" t="s">
        <v>181</v>
      </c>
      <c r="E78" s="43" t="str">
        <f t="shared" si="1"/>
        <v>Banskobystrický kraj, &amp;#32celé Slovensko</v>
      </c>
      <c r="F78" s="71" t="s">
        <v>934</v>
      </c>
      <c r="G78" s="43" t="str">
        <f t="shared" si="2"/>
        <v>stavebníctvo, doprava, iné (tovary a služby), &amp;#32všetky kategórie</v>
      </c>
      <c r="H78" s="44" t="s">
        <v>53</v>
      </c>
      <c r="I78" s="45" t="str">
        <f t="shared" si="3"/>
        <v>1 - 5, &amp;#32všetky možnosti</v>
      </c>
      <c r="J78" s="46" t="str">
        <f t="shared" si="4"/>
        <v>,Register partnerov VS</v>
      </c>
      <c r="K78" s="47">
        <f t="shared" si="5"/>
        <v>34974.18333</v>
      </c>
      <c r="L78" s="45"/>
      <c r="M78" s="48" t="str">
        <f>IFERROR(__xludf.DUMMYFUNCTION("SPLIT(O78,"","")"),"Selčianska cesta 2")</f>
        <v>Selčianska cesta 2</v>
      </c>
      <c r="N78" s="48" t="str">
        <f>IFERROR(__xludf.DUMMYFUNCTION("""COMPUTED_VALUE""")," 976 11 Selce")</f>
        <v> 976 11 Selce</v>
      </c>
      <c r="O78" s="49" t="s">
        <v>935</v>
      </c>
      <c r="P78" s="50">
        <v>48.7556107</v>
      </c>
      <c r="Q78" s="50">
        <v>19.1950985</v>
      </c>
      <c r="R78" s="78" t="s">
        <v>936</v>
      </c>
      <c r="S78" s="86" t="s">
        <v>937</v>
      </c>
      <c r="T78" s="87" t="s">
        <v>86</v>
      </c>
      <c r="U78" s="75" t="s">
        <v>938</v>
      </c>
      <c r="V78" s="55" t="s">
        <v>939</v>
      </c>
      <c r="W78" s="76" t="s">
        <v>940</v>
      </c>
      <c r="X78" s="88" t="s">
        <v>933</v>
      </c>
      <c r="Y78" s="89" t="s">
        <v>941</v>
      </c>
      <c r="Z78" s="63" t="s">
        <v>942</v>
      </c>
      <c r="AA78" s="79" t="s">
        <v>64</v>
      </c>
      <c r="AB78" s="65"/>
      <c r="AC78" s="66"/>
      <c r="AD78" s="67"/>
      <c r="AE78" s="65"/>
      <c r="AF78" s="65"/>
      <c r="AG78" s="66"/>
      <c r="AH78" s="67"/>
      <c r="AI78" s="65"/>
      <c r="AJ78" s="65"/>
      <c r="AK78" s="66"/>
      <c r="AL78" s="67"/>
      <c r="AM78" s="52"/>
      <c r="AN78" s="80" t="s">
        <v>39</v>
      </c>
      <c r="AO78" s="68" t="str">
        <f t="shared" si="6"/>
        <v>Selcianske, s.r.o. stavebnictvo, doprava, ine (tovary a sluzby), &amp;#32vsetky kategorie  976 11 Selce Sluzby v oblasti obchodu, udrzby ciest a chodnikov, upratovacie sluzby, sluzby upravy terenu, pomocne prace v stavebnictve. Aktualne zamestnavame hlavne ZTP (vsetci zamestnanci su ZTP). Selcianske, s.r.o. Sluzby poskytovane v oblasti stavebnictva, obchodu, prepravy tovaru, zasobovania, udrzby ciest a chodnikov, terenne upravy. buranie, kosenie, udrzba, terenne upravy, doprava tovaru           Register partnerov VS</v>
      </c>
      <c r="AP78" s="69" t="s">
        <v>41</v>
      </c>
    </row>
    <row r="79" ht="15.75" customHeight="1">
      <c r="A79" s="45"/>
      <c r="B79" s="70">
        <v>77.0</v>
      </c>
      <c r="C79" s="98" t="s">
        <v>943</v>
      </c>
      <c r="D79" s="42" t="s">
        <v>217</v>
      </c>
      <c r="E79" s="43" t="str">
        <f t="shared" si="1"/>
        <v>Košický kraj, &amp;#32celé Slovensko</v>
      </c>
      <c r="F79" s="71" t="s">
        <v>944</v>
      </c>
      <c r="G79" s="43" t="str">
        <f t="shared" si="2"/>
        <v>čistiace a upratovacie služby, dom a záhrada, doprava, stavebníctvo, &amp;#32všetky kategórie</v>
      </c>
      <c r="H79" s="44" t="s">
        <v>53</v>
      </c>
      <c r="I79" s="45" t="str">
        <f t="shared" si="3"/>
        <v>1 - 5, &amp;#32všetky možnosti</v>
      </c>
      <c r="J79" s="46" t="str">
        <f t="shared" si="4"/>
        <v>,</v>
      </c>
      <c r="K79" s="47">
        <f t="shared" si="5"/>
        <v>31728.18082</v>
      </c>
      <c r="L79" s="45"/>
      <c r="M79" s="48" t="str">
        <f>IFERROR(__xludf.DUMMYFUNCTION("SPLIT(O79,"","")"),"Obchodná 164")</f>
        <v>Obchodná 164</v>
      </c>
      <c r="N79" s="48" t="str">
        <f>IFERROR(__xludf.DUMMYFUNCTION("""COMPUTED_VALUE""")," 078 01 Sečovce")</f>
        <v> 078 01 Sečovce</v>
      </c>
      <c r="O79" s="49" t="s">
        <v>945</v>
      </c>
      <c r="P79" s="50">
        <v>48.7026033</v>
      </c>
      <c r="Q79" s="50">
        <v>21.6571035</v>
      </c>
      <c r="R79" s="78" t="s">
        <v>946</v>
      </c>
      <c r="S79" s="86" t="s">
        <v>947</v>
      </c>
      <c r="T79" s="87" t="s">
        <v>86</v>
      </c>
      <c r="U79" s="75" t="s">
        <v>948</v>
      </c>
      <c r="V79" s="55" t="s">
        <v>949</v>
      </c>
      <c r="W79" s="76" t="s">
        <v>950</v>
      </c>
      <c r="X79" s="88" t="s">
        <v>943</v>
      </c>
      <c r="Y79" s="89" t="s">
        <v>951</v>
      </c>
      <c r="Z79" s="63" t="s">
        <v>952</v>
      </c>
      <c r="AA79" s="79" t="s">
        <v>64</v>
      </c>
      <c r="AB79" s="65"/>
      <c r="AC79" s="66"/>
      <c r="AD79" s="67"/>
      <c r="AE79" s="65"/>
      <c r="AF79" s="65"/>
      <c r="AG79" s="66"/>
      <c r="AH79" s="67"/>
      <c r="AI79" s="65"/>
      <c r="AJ79" s="65"/>
      <c r="AK79" s="66"/>
      <c r="AL79" s="67"/>
      <c r="AM79" s="36"/>
      <c r="AN79" s="65"/>
      <c r="AO79" s="68" t="str">
        <f t="shared" si="6"/>
        <v>Eustach s.r.o. cistiace a upratovacie sluzby, dom a zahrada, doprava, stavebnictvo, &amp;#32vsetky kategorie  078 01 Secovce V spolupraci s nasimi konzorcnymi partnermi ponukame: predaj dezinfekcnych prostriedkov, kuriersku sluzbu, vystavbu - individualnu, hromadnu (obecne, mestske najomne byty a ine stavby) s pouzitim nemeckej panelovej technologie. Zamestnavame prislusne percento zranitelnych a/alebo znevyhodnenych osob v zmysle prislusnych ustanoveni zakona c. 112/2018. Eustach s.r.o. V spolupraci s nasimi konzorcnymi partnermi ponukame: predaj dezinfekcnych prostriedkov, kuriersku sluzbu, vystavbu - indidualnu, hromadnu (obecne, mestske najomne byty a ine stavby) s pouzitim nemeckej panelovej technologie. stavebna cinnost, dezinfekcia, doprava, pomocne prace, kurier Secovce           </v>
      </c>
      <c r="AP79" s="69" t="s">
        <v>41</v>
      </c>
    </row>
    <row r="80" ht="15.75" customHeight="1">
      <c r="A80" s="45"/>
      <c r="B80" s="70">
        <v>78.0</v>
      </c>
      <c r="C80" s="98" t="s">
        <v>953</v>
      </c>
      <c r="D80" s="42" t="s">
        <v>134</v>
      </c>
      <c r="E80" s="43" t="str">
        <f t="shared" si="1"/>
        <v>Trenčiansky kraj, &amp;#32celé Slovensko</v>
      </c>
      <c r="F80" s="71" t="s">
        <v>954</v>
      </c>
      <c r="G80" s="43" t="str">
        <f t="shared" si="2"/>
        <v>vzdelávanie, účtovníctvo a poradenstvo, kultúra a šport, krása-zdravie-relax, odpady a recyklácia, reklama, iné (tovary a služby), &amp;#32všetky kategórie</v>
      </c>
      <c r="H80" s="44" t="s">
        <v>96</v>
      </c>
      <c r="I80" s="45" t="str">
        <f t="shared" si="3"/>
        <v>6 - 10, &amp;#32všetky možnosti</v>
      </c>
      <c r="J80" s="46" t="str">
        <f t="shared" si="4"/>
        <v>,Register partnerov VS</v>
      </c>
      <c r="K80" s="47">
        <f t="shared" si="5"/>
        <v>18471.08743</v>
      </c>
      <c r="L80" s="45"/>
      <c r="M80" s="48" t="str">
        <f>IFERROR(__xludf.DUMMYFUNCTION("SPLIT(O80,"","")"),"Podzámocká 67/6")</f>
        <v>Podzámocká 67/6</v>
      </c>
      <c r="N80" s="48" t="str">
        <f>IFERROR(__xludf.DUMMYFUNCTION("""COMPUTED_VALUE""")," 972 01 Bojnice")</f>
        <v> 972 01 Bojnice</v>
      </c>
      <c r="O80" s="49" t="s">
        <v>955</v>
      </c>
      <c r="P80" s="50">
        <v>48.7788427</v>
      </c>
      <c r="Q80" s="50">
        <v>18.5799094</v>
      </c>
      <c r="R80" s="73" t="s">
        <v>956</v>
      </c>
      <c r="S80" s="86" t="s">
        <v>957</v>
      </c>
      <c r="T80" s="87" t="s">
        <v>958</v>
      </c>
      <c r="U80" s="75" t="s">
        <v>959</v>
      </c>
      <c r="V80" s="55" t="s">
        <v>960</v>
      </c>
      <c r="W80" s="76" t="s">
        <v>961</v>
      </c>
      <c r="X80" s="88" t="s">
        <v>953</v>
      </c>
      <c r="Y80" s="89" t="s">
        <v>962</v>
      </c>
      <c r="Z80" s="63" t="s">
        <v>963</v>
      </c>
      <c r="AA80" s="85" t="s">
        <v>129</v>
      </c>
      <c r="AB80" s="65" t="s">
        <v>953</v>
      </c>
      <c r="AC80" s="66" t="s">
        <v>964</v>
      </c>
      <c r="AD80" s="67" t="s">
        <v>965</v>
      </c>
      <c r="AE80" s="65" t="s">
        <v>64</v>
      </c>
      <c r="AF80" s="65"/>
      <c r="AG80" s="66"/>
      <c r="AH80" s="67"/>
      <c r="AI80" s="65"/>
      <c r="AJ80" s="65"/>
      <c r="AK80" s="66"/>
      <c r="AL80" s="67"/>
      <c r="AM80" s="52"/>
      <c r="AN80" s="80" t="s">
        <v>39</v>
      </c>
      <c r="AO80" s="68" t="str">
        <f t="shared" si="6"/>
        <v>Joyell s.r.o. vzdelavanie, uctovnictvo a poradenstvo, kultura a sport, krasa-zdravie-relax, odpady a recyklacia, reklama, ine (tovary a sluzby), &amp;#32vsetky kategorie  972 01 Bojnice Nasa spolocnost Joyell s.r.o. sidli v Bojniciach, je sucastou holdingu Well management, poskytuje expertne sluzby v oblasti vedomostnej ekonomiky a vo viacerych odvetviach, ako Program zdravia pre podniky, Firemny koucing, Reklama a marketing, Verejne obstaravanie, Podnikovy nakup, Dotacie cez Eurofondy, Vydavatelska cinnost a prevadzka umeleckej Galerie Velvet. Nasim pozitivnym socialnym vplyvom je podpora zamestnanosti prostrednictvom zamestnavania znevyhodnenych alebo zranitelnych osob. Joyell s.r.o. 
Nasa prva prevadzkaren Joyell s.r.o. sidli v Bojniciach, poskytuje expertne sluzby v oblasti vedomostnej ekonomiky a vo viacerych odvetviach, ako Program zdravia pre podniky, Firemny koucing, Reklama a marketing, Verejne obstaravanie, Podnikovy nakup, Dotacie cez Eurofondy, Vydavatelska cinnost a prevadzka umeleckej Galerie Velvet. vedomostna ekonomika, zdravie, marketing, verejne obstaravanie, firemny koucing, podnikovy nakup, dotacie Eurofondy Joyell s.r.o. Nasa druha prevadzkaren Joyell s.r.o. sidli v Bratislave, poskytuje expertne sluzby v oblasti vedomostnej ekonomiky, expertne sluzby vo viacerych odvetviach, ako Program zdravia, Telefon marketing a poradenstvo pre riadenie firiem. vedomostna ekonomika, zdravie, marketing, poradenstvo, konzultacie        Register partnerov VS</v>
      </c>
      <c r="AP80" s="69" t="s">
        <v>41</v>
      </c>
    </row>
    <row r="81" ht="15.75" customHeight="1">
      <c r="A81" s="45"/>
      <c r="B81" s="70">
        <v>79.0</v>
      </c>
      <c r="C81" s="98" t="s">
        <v>966</v>
      </c>
      <c r="D81" s="42" t="s">
        <v>134</v>
      </c>
      <c r="E81" s="43" t="str">
        <f t="shared" si="1"/>
        <v>Trenčiansky kraj, &amp;#32celé Slovensko</v>
      </c>
      <c r="F81" s="71" t="s">
        <v>967</v>
      </c>
      <c r="G81" s="43" t="str">
        <f t="shared" si="2"/>
        <v>čistiace a upratovacie služby, vzdelávanie, reklama, pre deti, bižutéria a darčekové predmety, iné (tovary a služby), &amp;#32všetky kategórie</v>
      </c>
      <c r="H81" s="44" t="s">
        <v>53</v>
      </c>
      <c r="I81" s="45" t="str">
        <f t="shared" si="3"/>
        <v>1 - 5, &amp;#32všetky možnosti</v>
      </c>
      <c r="J81" s="46" t="str">
        <f t="shared" si="4"/>
        <v>,</v>
      </c>
      <c r="K81" s="47">
        <f t="shared" si="5"/>
        <v>37904.3673</v>
      </c>
      <c r="L81" s="45"/>
      <c r="M81" s="48" t="str">
        <f>IFERROR(__xludf.DUMMYFUNCTION("SPLIT(O81,"","")"),"Soblahov 646")</f>
        <v>Soblahov 646</v>
      </c>
      <c r="N81" s="48" t="str">
        <f>IFERROR(__xludf.DUMMYFUNCTION("""COMPUTED_VALUE""")," 913 38 Soblahov")</f>
        <v> 913 38 Soblahov</v>
      </c>
      <c r="O81" s="49" t="s">
        <v>968</v>
      </c>
      <c r="P81" s="50">
        <v>48.8639723</v>
      </c>
      <c r="Q81" s="50">
        <v>18.079831</v>
      </c>
      <c r="R81" s="78" t="s">
        <v>969</v>
      </c>
      <c r="S81" s="86" t="s">
        <v>970</v>
      </c>
      <c r="T81" s="87" t="s">
        <v>971</v>
      </c>
      <c r="U81" s="75" t="s">
        <v>972</v>
      </c>
      <c r="V81" s="55" t="s">
        <v>973</v>
      </c>
      <c r="W81" s="76" t="s">
        <v>974</v>
      </c>
      <c r="X81" s="88" t="s">
        <v>975</v>
      </c>
      <c r="Y81" s="89" t="s">
        <v>976</v>
      </c>
      <c r="Z81" s="63" t="s">
        <v>977</v>
      </c>
      <c r="AA81" s="79" t="s">
        <v>64</v>
      </c>
      <c r="AB81" s="65"/>
      <c r="AC81" s="66"/>
      <c r="AD81" s="67"/>
      <c r="AE81" s="65"/>
      <c r="AF81" s="65"/>
      <c r="AG81" s="66"/>
      <c r="AH81" s="67"/>
      <c r="AI81" s="65"/>
      <c r="AJ81" s="65"/>
      <c r="AK81" s="66"/>
      <c r="AL81" s="67"/>
      <c r="AM81" s="36"/>
      <c r="AN81" s="65"/>
      <c r="AO81" s="68" t="str">
        <f t="shared" si="6"/>
        <v>Bellus Labor o. z. cistiace a upratovacie sluzby, vzdelavanie, reklama, pre deti, bizuteria a darcekove predmety, ine (tovary a sluzby), &amp;#32vsetky kategorie  913 38 Soblahov Ponukame dekoracne a prezentacne predmety, vhodne aj ako darcek. Je mozne zadat aj konkretnu predstavu a dohodnut produkt individualne. Dekoracne predmety su viazane na rocne obdobia a sviatky, napr. vianocne a velkonocne ozdoby a dekoracie, ale aj nadcasove a personalizovane dekoracie a darceky, napr. klucenky, menovky, svietniky, mydielka, site vyrobky, a pod. Vyrobky vyrabame vo velkej miere z prirodnych materialov, recyklovanim nepouzivanych materialov, hliny. Zamestnavame zdravotne znevyhodnenych obcanov, ktorym zdravotne znevyhodnenie nedovoluje zamestnat sa bez zvyhodnenych podmienok. Bellus Labor o.z. Dekoracne predmety, darcekove predmety, prezentacne predmety a personalizovane predmety (menovka, vyrobok s logom firmy...) vianocna ozdoba, svietnik, levandulove ozdoby, vianocne prestieranie, levandulova babika, vencek, menovka, taska, reklamne predmety           </v>
      </c>
      <c r="AP81" s="69" t="s">
        <v>41</v>
      </c>
    </row>
    <row r="82" ht="15.75" customHeight="1">
      <c r="A82" s="45"/>
      <c r="B82" s="70">
        <v>80.0</v>
      </c>
      <c r="C82" s="98" t="s">
        <v>978</v>
      </c>
      <c r="D82" s="42" t="s">
        <v>134</v>
      </c>
      <c r="E82" s="43" t="str">
        <f t="shared" si="1"/>
        <v>Trenčiansky kraj, &amp;#32celé Slovensko</v>
      </c>
      <c r="F82" s="71" t="s">
        <v>923</v>
      </c>
      <c r="G82" s="43" t="str">
        <f t="shared" si="2"/>
        <v>čistiace a upratovacie služby, poľnohospodárstvo a lesníctvo, dom a záhrada, stavebníctvo, &amp;#32všetky kategórie</v>
      </c>
      <c r="H82" s="44" t="s">
        <v>53</v>
      </c>
      <c r="I82" s="45" t="str">
        <f t="shared" si="3"/>
        <v>1 - 5, &amp;#32všetky možnosti</v>
      </c>
      <c r="J82" s="46" t="str">
        <f t="shared" si="4"/>
        <v>,Register partnerov VS</v>
      </c>
      <c r="K82" s="47">
        <f t="shared" si="5"/>
        <v>13399.32989</v>
      </c>
      <c r="L82" s="45"/>
      <c r="M82" s="48" t="str">
        <f>IFERROR(__xludf.DUMMYFUNCTION("SPLIT(O82,"","")"),"Kocurany 105")</f>
        <v>Kocurany 105</v>
      </c>
      <c r="N82" s="48" t="str">
        <f>IFERROR(__xludf.DUMMYFUNCTION("""COMPUTED_VALUE""")," 972 02 Kocurany")</f>
        <v> 972 02 Kocurany</v>
      </c>
      <c r="O82" s="49" t="s">
        <v>979</v>
      </c>
      <c r="P82" s="50">
        <v>48.7710801</v>
      </c>
      <c r="Q82" s="50">
        <v>18.543181</v>
      </c>
      <c r="R82" s="73" t="s">
        <v>980</v>
      </c>
      <c r="S82" s="86" t="s">
        <v>981</v>
      </c>
      <c r="T82" s="87" t="s">
        <v>86</v>
      </c>
      <c r="U82" s="75" t="s">
        <v>982</v>
      </c>
      <c r="V82" s="55" t="s">
        <v>983</v>
      </c>
      <c r="W82" s="76" t="s">
        <v>984</v>
      </c>
      <c r="X82" s="88" t="s">
        <v>978</v>
      </c>
      <c r="Y82" s="89" t="s">
        <v>980</v>
      </c>
      <c r="Z82" s="63" t="s">
        <v>985</v>
      </c>
      <c r="AA82" s="79" t="s">
        <v>64</v>
      </c>
      <c r="AB82" s="65"/>
      <c r="AC82" s="66"/>
      <c r="AD82" s="67"/>
      <c r="AE82" s="65"/>
      <c r="AF82" s="65"/>
      <c r="AG82" s="66"/>
      <c r="AH82" s="67"/>
      <c r="AI82" s="65"/>
      <c r="AJ82" s="65"/>
      <c r="AK82" s="66"/>
      <c r="AL82" s="67"/>
      <c r="AM82" s="52"/>
      <c r="AN82" s="80" t="s">
        <v>39</v>
      </c>
      <c r="AO82" s="68" t="str">
        <f t="shared" si="6"/>
        <v>Obecne sluzby Kocurany s. r. o. cistiace a upratovacie sluzby, polnohospodarstvo a lesnictvo, dom a zahrada, stavebnictvo, &amp;#32vsetky kategorie  972 02 Kocurany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Podpora regionalneho rozvoja, zamestnanie zranitelnych a znevyhodnenych osob. Obecne sluzby Kocurany s. r. o.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stavba, vystavba, opravy,     udrzba, verejnoprospesne sluzby, stiepkovanie drevnej hmoty, doprava, stavebne prace, rekonsrukcie           Register partnerov VS</v>
      </c>
      <c r="AP82" s="82"/>
    </row>
    <row r="83" ht="15.75" customHeight="1">
      <c r="A83" s="45"/>
      <c r="B83" s="70">
        <v>81.0</v>
      </c>
      <c r="C83" s="98" t="s">
        <v>986</v>
      </c>
      <c r="D83" s="42" t="s">
        <v>134</v>
      </c>
      <c r="E83" s="43" t="str">
        <f t="shared" si="1"/>
        <v>Trenčiansky kraj, &amp;#32celé Slovensko</v>
      </c>
      <c r="F83" s="71" t="s">
        <v>987</v>
      </c>
      <c r="G83" s="43" t="str">
        <f t="shared" si="2"/>
        <v>krása-zdravie-relax, &amp;#32všetky kategórie</v>
      </c>
      <c r="H83" s="44" t="s">
        <v>170</v>
      </c>
      <c r="I83" s="45" t="str">
        <f t="shared" si="3"/>
        <v>21 a viac, &amp;#32všetky možnosti</v>
      </c>
      <c r="J83" s="46" t="str">
        <f t="shared" si="4"/>
        <v>,Register partnerov VS</v>
      </c>
      <c r="K83" s="47">
        <f t="shared" si="5"/>
        <v>27272.04488</v>
      </c>
      <c r="L83" s="45"/>
      <c r="M83" s="48" t="str">
        <f>IFERROR(__xludf.DUMMYFUNCTION("SPLIT(O83,"","")"),"Súvoz 732/1")</f>
        <v>Súvoz 732/1</v>
      </c>
      <c r="N83" s="48" t="str">
        <f>IFERROR(__xludf.DUMMYFUNCTION("""COMPUTED_VALUE""")," 911 01 Trenčín
")</f>
        <v> 911 01 Trenčín
</v>
      </c>
      <c r="O83" s="49" t="s">
        <v>988</v>
      </c>
      <c r="P83" s="50">
        <v>48.8935516</v>
      </c>
      <c r="Q83" s="50">
        <v>18.0690952</v>
      </c>
      <c r="R83" s="78" t="s">
        <v>989</v>
      </c>
      <c r="S83" s="86" t="s">
        <v>990</v>
      </c>
      <c r="T83" s="87" t="s">
        <v>991</v>
      </c>
      <c r="U83" s="75" t="s">
        <v>992</v>
      </c>
      <c r="V83" s="55" t="s">
        <v>993</v>
      </c>
      <c r="W83" s="76" t="s">
        <v>994</v>
      </c>
      <c r="X83" s="88" t="s">
        <v>995</v>
      </c>
      <c r="Y83" s="89" t="s">
        <v>996</v>
      </c>
      <c r="Z83" s="63" t="s">
        <v>997</v>
      </c>
      <c r="AA83" s="79" t="s">
        <v>64</v>
      </c>
      <c r="AB83" s="65"/>
      <c r="AC83" s="66"/>
      <c r="AD83" s="67"/>
      <c r="AE83" s="65"/>
      <c r="AF83" s="65"/>
      <c r="AG83" s="66"/>
      <c r="AH83" s="67"/>
      <c r="AI83" s="65"/>
      <c r="AJ83" s="65"/>
      <c r="AK83" s="66"/>
      <c r="AL83" s="67"/>
      <c r="AM83" s="52"/>
      <c r="AN83" s="80" t="s">
        <v>39</v>
      </c>
      <c r="AO83" s="68" t="str">
        <f t="shared" si="6"/>
        <v>MAYO tech s.r.o. krasa-zdravie-relax, &amp;#32vsetky kategorie  911 01 Trencin
 Podnikame v dvoch oblastiach: 
hlavnou cinnostou je vyroba bicyklov, elektrickych bicyklov a trojkoliek;
v prevadzke Kryowell poskytujeme sluzby wellness. Zamestnavame zamestnancov s roznymi druhmi zdravotneho znevyhodnenia. Kryowell Ponukame sluzby wellness: masaze, celotelovu a lokalnu kryoterapiu, saunu, whirlpool, solnu jaskynu. wellness, masaze, celotelova a lokalna kryoterapia, sauna, whirlpool, solna jaskyna           Register partnerov VS</v>
      </c>
      <c r="AP83" s="69" t="s">
        <v>41</v>
      </c>
    </row>
    <row r="84" ht="15.75" customHeight="1">
      <c r="A84" s="45"/>
      <c r="B84" s="70">
        <v>82.0</v>
      </c>
      <c r="C84" s="98" t="s">
        <v>998</v>
      </c>
      <c r="D84" s="42" t="s">
        <v>66</v>
      </c>
      <c r="E84" s="43" t="str">
        <f t="shared" si="1"/>
        <v>Žilinský kraj, &amp;#32celé Slovensko</v>
      </c>
      <c r="F84" s="71" t="s">
        <v>999</v>
      </c>
      <c r="G84" s="43" t="str">
        <f t="shared" si="2"/>
        <v>ubytovacie a stravovacie služby, potraviny a nápoje, odevy a obuv, nábytok a bytové doplnky, &amp;#32všetky kategórie</v>
      </c>
      <c r="H84" s="44" t="s">
        <v>68</v>
      </c>
      <c r="I84" s="45" t="str">
        <f t="shared" si="3"/>
        <v>16 - 20, &amp;#32všetky možnosti</v>
      </c>
      <c r="J84" s="46" t="str">
        <f t="shared" si="4"/>
        <v>,</v>
      </c>
      <c r="K84" s="47">
        <f t="shared" si="5"/>
        <v>40863.30262</v>
      </c>
      <c r="L84" s="45"/>
      <c r="M84" s="48" t="str">
        <f>IFERROR(__xludf.DUMMYFUNCTION("SPLIT(O84,"","")"),"Mláka 5/8")</f>
        <v>Mláka 5/8</v>
      </c>
      <c r="N84" s="48" t="str">
        <f>IFERROR(__xludf.DUMMYFUNCTION("""COMPUTED_VALUE""")," 029 01 Námestovo")</f>
        <v> 029 01 Námestovo</v>
      </c>
      <c r="O84" s="49" t="s">
        <v>1000</v>
      </c>
      <c r="P84" s="50">
        <v>49.4035845999999</v>
      </c>
      <c r="Q84" s="50">
        <v>19.4789057</v>
      </c>
      <c r="R84" s="78" t="s">
        <v>1001</v>
      </c>
      <c r="S84" s="86" t="s">
        <v>1002</v>
      </c>
      <c r="T84" s="87" t="s">
        <v>86</v>
      </c>
      <c r="U84" s="75" t="s">
        <v>1003</v>
      </c>
      <c r="V84" s="55" t="s">
        <v>1004</v>
      </c>
      <c r="W84" s="76" t="s">
        <v>1005</v>
      </c>
      <c r="X84" s="88" t="s">
        <v>998</v>
      </c>
      <c r="Y84" s="89" t="s">
        <v>1006</v>
      </c>
      <c r="Z84" s="63" t="s">
        <v>1007</v>
      </c>
      <c r="AA84" s="85" t="s">
        <v>129</v>
      </c>
      <c r="AB84" s="65" t="s">
        <v>1008</v>
      </c>
      <c r="AC84" s="66" t="s">
        <v>1009</v>
      </c>
      <c r="AD84" s="67" t="s">
        <v>1010</v>
      </c>
      <c r="AE84" s="65" t="s">
        <v>64</v>
      </c>
      <c r="AF84" s="65"/>
      <c r="AG84" s="66"/>
      <c r="AH84" s="67"/>
      <c r="AI84" s="65"/>
      <c r="AJ84" s="65"/>
      <c r="AK84" s="66"/>
      <c r="AL84" s="67"/>
      <c r="AM84" s="36"/>
      <c r="AN84" s="65"/>
      <c r="AO84" s="68" t="str">
        <f t="shared" si="6"/>
        <v>Peter Vernicek ubytovacie a stravovacie sluzby, potraviny a napoje, odevy a obuv, nabytok a bytove doplnky, &amp;#32vsetky kategorie  029 01 Namestovo V nasej roznorodej ponuke mame gastronomicke vyrobky - vyroba a predaj bagiet, chlebicky, salaty a zabezpecujeme aj catering; prevadzkujeme tiez predaj obuvi a bytoveho textilu.
Nasi zakaznici su maloobchodne prevadzky, obyvatelia regionu a rozne firmy. Zamestnavame znevyhodnene a zranitelne osoby. Peter Vernicek Gastrovyrobky -  vyroba a predaj bagiet, chlebicky, salaty a zabezpecujeme aj catering bufet, gastro, chlebicky, salaty, catering, bytovy textil, obuv Peter Vernicek - bytovy textil Bytovy textil, doplnky. bytovy textil,         </v>
      </c>
      <c r="AP84" s="82"/>
    </row>
    <row r="85" ht="15.75" customHeight="1">
      <c r="A85" s="45"/>
      <c r="B85" s="70">
        <v>83.0</v>
      </c>
      <c r="C85" s="98" t="s">
        <v>1011</v>
      </c>
      <c r="D85" s="42" t="s">
        <v>51</v>
      </c>
      <c r="E85" s="43" t="str">
        <f t="shared" si="1"/>
        <v>Prešovský kraj, &amp;#32celé Slovensko</v>
      </c>
      <c r="F85" s="71" t="s">
        <v>672</v>
      </c>
      <c r="G85" s="43" t="str">
        <f t="shared" si="2"/>
        <v>čistiace a upratovacie služby, dom a záhrada, &amp;#32všetky kategórie</v>
      </c>
      <c r="H85" s="44" t="s">
        <v>53</v>
      </c>
      <c r="I85" s="45" t="str">
        <f t="shared" si="3"/>
        <v>1 - 5, &amp;#32všetky možnosti</v>
      </c>
      <c r="J85" s="46" t="str">
        <f t="shared" si="4"/>
        <v>,</v>
      </c>
      <c r="K85" s="47">
        <f t="shared" si="5"/>
        <v>28287.68868</v>
      </c>
      <c r="L85" s="45"/>
      <c r="M85" s="48" t="str">
        <f>IFERROR(__xludf.DUMMYFUNCTION("SPLIT(O85,"","")"),"Vyšná Jedľová 33")</f>
        <v>Vyšná Jedľová 33</v>
      </c>
      <c r="N85" s="48" t="str">
        <f>IFERROR(__xludf.DUMMYFUNCTION("""COMPUTED_VALUE""")," 089 01 Vyšná Jedľová
")</f>
        <v> 089 01 Vyšná Jedľová
</v>
      </c>
      <c r="O85" s="49" t="s">
        <v>1012</v>
      </c>
      <c r="P85" s="50">
        <v>49.3458798</v>
      </c>
      <c r="Q85" s="50">
        <v>21.5424936</v>
      </c>
      <c r="R85" s="73" t="s">
        <v>1013</v>
      </c>
      <c r="S85" s="86" t="s">
        <v>1014</v>
      </c>
      <c r="T85" s="87" t="s">
        <v>86</v>
      </c>
      <c r="U85" s="75" t="s">
        <v>1015</v>
      </c>
      <c r="V85" s="55" t="s">
        <v>1016</v>
      </c>
      <c r="W85" s="76" t="s">
        <v>1017</v>
      </c>
      <c r="X85" s="88" t="s">
        <v>1018</v>
      </c>
      <c r="Y85" s="89" t="s">
        <v>1019</v>
      </c>
      <c r="Z85" s="63" t="s">
        <v>1020</v>
      </c>
      <c r="AA85" s="79" t="s">
        <v>64</v>
      </c>
      <c r="AB85" s="65"/>
      <c r="AC85" s="66"/>
      <c r="AD85" s="67"/>
      <c r="AE85" s="65"/>
      <c r="AF85" s="65"/>
      <c r="AG85" s="66"/>
      <c r="AH85" s="67"/>
      <c r="AI85" s="65"/>
      <c r="AJ85" s="65"/>
      <c r="AK85" s="66"/>
      <c r="AL85" s="67"/>
      <c r="AM85" s="36"/>
      <c r="AN85" s="65"/>
      <c r="AO85" s="68" t="str">
        <f t="shared" si="6"/>
        <v>Obecny podnik Jedlova s.r.o.  cistiace a upratovacie sluzby, dom a zahrada, &amp;#32vsetky kategorie  089 01 Vysna Jedlova
 Nasou zakladnou cinnostou je poskytovanie sluzieb pracovne a zehliarne pre restauracie, hotely, domovy socialnych sluzieb a pre fyzicke osoby. Vedlajsou cinnostou je starostlivost o zelen pre fyzicke osoby. Zamestnavanim znevyhodnenych osob (zdravotne a vekovo znevyhodnene osoby), zveladovanim verejnych priestranstiev. Obecny podnik Jedlova s.r.o. rsp Cinnost pracovne a cistiarne. pracovna, cistiaren           </v>
      </c>
      <c r="AP85" s="69" t="s">
        <v>41</v>
      </c>
    </row>
    <row r="86" ht="15.75" customHeight="1">
      <c r="A86" s="45"/>
      <c r="B86" s="70">
        <v>84.0</v>
      </c>
      <c r="C86" s="98" t="s">
        <v>1021</v>
      </c>
      <c r="D86" s="42" t="s">
        <v>134</v>
      </c>
      <c r="E86" s="43" t="str">
        <f t="shared" si="1"/>
        <v>Trenčiansky kraj, &amp;#32celé Slovensko</v>
      </c>
      <c r="F86" s="71" t="s">
        <v>1022</v>
      </c>
      <c r="G86" s="43" t="str">
        <f t="shared" si="2"/>
        <v>potraviny a nápoje, odevy a obuv, elektro, iné (tovary a služby), &amp;#32všetky kategórie</v>
      </c>
      <c r="H86" s="44" t="s">
        <v>170</v>
      </c>
      <c r="I86" s="45" t="str">
        <f t="shared" si="3"/>
        <v>21 a viac, &amp;#32všetky možnosti</v>
      </c>
      <c r="J86" s="46" t="str">
        <f t="shared" si="4"/>
        <v>,Register partnerov VS</v>
      </c>
      <c r="K86" s="47">
        <f t="shared" si="5"/>
        <v>24361.22934</v>
      </c>
      <c r="L86" s="45"/>
      <c r="M86" s="48" t="str">
        <f>IFERROR(__xludf.DUMMYFUNCTION("SPLIT(O86,"","")"),"Dúbrava 592")</f>
        <v>Dúbrava 592</v>
      </c>
      <c r="N86" s="48" t="str">
        <f>IFERROR(__xludf.DUMMYFUNCTION("""COMPUTED_VALUE""")," 913 33 Horná Súča ")</f>
        <v> 913 33 Horná Súča </v>
      </c>
      <c r="O86" s="49" t="s">
        <v>1023</v>
      </c>
      <c r="P86" s="50">
        <v>48.9582028</v>
      </c>
      <c r="Q86" s="50">
        <v>17.9791959</v>
      </c>
      <c r="R86" s="73" t="s">
        <v>1024</v>
      </c>
      <c r="S86" s="86" t="s">
        <v>1025</v>
      </c>
      <c r="T86" s="87" t="s">
        <v>1026</v>
      </c>
      <c r="U86" s="75" t="s">
        <v>1027</v>
      </c>
      <c r="V86" s="55" t="s">
        <v>1028</v>
      </c>
      <c r="W86" s="76" t="s">
        <v>1029</v>
      </c>
      <c r="X86" s="88" t="s">
        <v>1021</v>
      </c>
      <c r="Y86" s="89" t="s">
        <v>1030</v>
      </c>
      <c r="Z86" s="63" t="s">
        <v>1031</v>
      </c>
      <c r="AA86" s="79" t="s">
        <v>64</v>
      </c>
      <c r="AB86" s="65"/>
      <c r="AC86" s="66"/>
      <c r="AD86" s="67"/>
      <c r="AE86" s="65"/>
      <c r="AF86" s="65"/>
      <c r="AG86" s="66"/>
      <c r="AH86" s="67"/>
      <c r="AI86" s="65"/>
      <c r="AJ86" s="65"/>
      <c r="AK86" s="66"/>
      <c r="AL86" s="67"/>
      <c r="AM86" s="52"/>
      <c r="AN86" s="80" t="s">
        <v>39</v>
      </c>
      <c r="AO86" s="68" t="str">
        <f t="shared" si="6"/>
        <v>S &amp; J Group, s.r.o. potraviny a napoje, odevy a obuv, elektro, ine (tovary a sluzby), &amp;#32vsetky kategorie  913 33 Horna Suca  Specializujeme sa na maloseriovu manualnu vyrobu, organizujeme a planujeme vyrobu pre dve priemyselne odvetvia: vyrobu kablovych zvazkov a spracovanie ovocnych dezertov (plnene datle).
Dokazeme sa flexibilne prisposobit necakanym situaciam: potravinarsku vyrobu s 30 pracovnikmi sme rozbehli za 4 tyzdne a medzicasom ju aj raz prestahovali; v prvej vlne Covidovej pandemie sme 90% vyrobnej kapacity pretransformovali na sitie 
latkovych rusok; mame skusenosti s vyrobou produktov zo syntetickych lan.
Ako obchodny partner dokazeme: prevziat cast vasej vyroby alebo pripravy vyroby, pomoct s testovanim novych a inovovanych postupov vasej terajsej vyroby, pomoct s testovanim vyrobnych procesov a postupov pri novych produktoch pred spustenim masovej vyroby (vratane marketingovych a obchodnych vzoriek), rucne maloobjemovo vyrabat vase luxusne produkty, pomahat vo vyvoji, vyskume a inovaciach produktov a pri experimentalnej vyrobe. Sest rokov nachadzame riesenia, ktore prinasaju prospech vsetkym zucastnenym stranam: obchodnym partnerom, zamestnancom, dodavatelom. Priemerne zamestnavame 60 ludi, z toho je 37 zdravotne znevyhodnenych. Davame sancu byt uzitocnymi a prospesnymi sebe, rodine i spolocnosti aj tym, s ktorymi uz nikto nepocita... Firmy u nas najdu svoj dlhodoby projekt/program zodpovedneho podnikania a komunitnej podpory. S &amp; J Group, s.r.o. Potravinarska vyroba: plnenie datli, vazenie, balenie (automaticka balicka), etiketovanie, skladovanie.
Vyroba kablovych zvazkov: montaz a testovanie kablovych zostav do vysokotepelnych peci a automotive.
Krajcirska dielna: ruska, reflexne prvky, konfekcna vyroba, zakazkova vyroba.
Preprava tovaru: zabezpecime prepravu tovaru dodavatelov k nam a od nas k zakaznikom. potraviny, susene ovocie, datle, mandle, vlasske orechy, marcipan, orechy, mix, balenie, etikety, etiketovanie, sklad, kablove zvazky, kablove zostavy, montaz, testovanie, vysokotepelne pece, automotive, krajcirska dielna, ruska, reflexne prvky, konfekcia, zakazkova vyroba, tulivaky, preprava tovaru, synteticke lana           Register partnerov VS</v>
      </c>
      <c r="AP86" s="69" t="s">
        <v>41</v>
      </c>
    </row>
    <row r="87" ht="15.75" customHeight="1">
      <c r="A87" s="45"/>
      <c r="B87" s="70">
        <v>85.0</v>
      </c>
      <c r="C87" s="98" t="s">
        <v>1032</v>
      </c>
      <c r="D87" s="42" t="s">
        <v>66</v>
      </c>
      <c r="E87" s="43" t="str">
        <f t="shared" si="1"/>
        <v>Žilinský kraj, &amp;#32celé Slovensko</v>
      </c>
      <c r="F87" s="71" t="s">
        <v>1033</v>
      </c>
      <c r="G87" s="43" t="str">
        <f t="shared" si="2"/>
        <v>čistiace a upratovacie služby, dom a záhrada, stavebníctvo, &amp;#32všetky kategórie</v>
      </c>
      <c r="H87" s="44" t="s">
        <v>53</v>
      </c>
      <c r="I87" s="45" t="str">
        <f t="shared" si="3"/>
        <v>1 - 5, &amp;#32všetky možnosti</v>
      </c>
      <c r="J87" s="46" t="str">
        <f t="shared" si="4"/>
        <v>,Register partnerov VS</v>
      </c>
      <c r="K87" s="47">
        <f t="shared" si="5"/>
        <v>15414.22984</v>
      </c>
      <c r="L87" s="45"/>
      <c r="M87" s="48" t="str">
        <f>IFERROR(__xludf.DUMMYFUNCTION("SPLIT(O87,"","")"),"Stred 449")</f>
        <v>Stred 449</v>
      </c>
      <c r="N87" s="48" t="str">
        <f>IFERROR(__xludf.DUMMYFUNCTION("""COMPUTED_VALUE""")," 027 05 Zázrivá")</f>
        <v> 027 05 Zázrivá</v>
      </c>
      <c r="O87" s="49" t="s">
        <v>1034</v>
      </c>
      <c r="P87" s="50">
        <v>49.2718455</v>
      </c>
      <c r="Q87" s="50">
        <v>19.1507757</v>
      </c>
      <c r="R87" s="78" t="s">
        <v>1035</v>
      </c>
      <c r="S87" s="86" t="s">
        <v>1036</v>
      </c>
      <c r="T87" s="87" t="s">
        <v>86</v>
      </c>
      <c r="U87" s="75" t="s">
        <v>1037</v>
      </c>
      <c r="V87" s="55" t="s">
        <v>1038</v>
      </c>
      <c r="W87" s="76" t="s">
        <v>1039</v>
      </c>
      <c r="X87" s="88" t="s">
        <v>1032</v>
      </c>
      <c r="Y87" s="89" t="s">
        <v>1040</v>
      </c>
      <c r="Z87" s="63" t="s">
        <v>1041</v>
      </c>
      <c r="AA87" s="79" t="s">
        <v>64</v>
      </c>
      <c r="AB87" s="65"/>
      <c r="AC87" s="66"/>
      <c r="AD87" s="67"/>
      <c r="AE87" s="65"/>
      <c r="AF87" s="65"/>
      <c r="AG87" s="66"/>
      <c r="AH87" s="67"/>
      <c r="AI87" s="65"/>
      <c r="AJ87" s="65"/>
      <c r="AK87" s="66"/>
      <c r="AL87" s="67"/>
      <c r="AM87" s="52"/>
      <c r="AN87" s="80" t="s">
        <v>39</v>
      </c>
      <c r="AO87" s="68" t="str">
        <f t="shared" si="6"/>
        <v>Nestor sluzby s.r.o. cistiace a upratovacie sluzby, dom a zahrada, stavebnictvo, &amp;#32vsetky kategorie  027 05 Zazriva Spolocnost NESTOR sluzby s.r.o. sa venuje, okrem ineho, poskytovaniu prania, zehlenia a manglovania bielizne, upratovacim sluzbam, zahradnickym pracam, organizovaniu sportovych, kulturnych a inych spolocenskych podujati, drobnym stavebnym pracam a udrzbe budov.
 Nasa spolocnost prispieva k dosahovaniu pozitivneho socialneho vplyvu poskytovanim spolocensky prospesnej sluzby v oblasti zamestnanosti, a to zamestnavanim zranitelnych osob a znevyhodnenych osob v nasej pracovni. Kolegovia budu zacleneni do kolektivu, kde budu mat rovnake pracovne podmienky, ako zamestnanci bez znevyhodnenia. Zaroven si osvoja pracovne navyky a ziskaju nove zrucnosti pre vykon povolania, co zvysi sance na ich opatovne spolocenske a pracovne zaclenenie beruc do uvahy ich novonadobudnutu mieru financnej autonomie a samostatnosti, sebadovery ci schopnosti fungovat v prostredi pracovneho kolektivu. Nestor sluzby s.r.o. Sluzby pracovne (pranie, zehlenie a manglovanie bielizne), upratovacie sluzby, zahradnicke prace, drobne stavebne prace, udrzba budovy. pracovna, pranie, zehlenie, manglovanie bielizne upratovanie, kosenie, drobne stavebne prace, zahradnicke prace           Register partnerov VS</v>
      </c>
      <c r="AP87" s="69" t="s">
        <v>41</v>
      </c>
    </row>
    <row r="88" ht="15.75" customHeight="1">
      <c r="A88" s="45"/>
      <c r="B88" s="70">
        <v>86.0</v>
      </c>
      <c r="C88" s="98" t="s">
        <v>1042</v>
      </c>
      <c r="D88" s="42" t="s">
        <v>228</v>
      </c>
      <c r="E88" s="43" t="str">
        <f t="shared" si="1"/>
        <v>Nitriansky kraj, &amp;#32celé Slovensko</v>
      </c>
      <c r="F88" s="71" t="s">
        <v>756</v>
      </c>
      <c r="G88" s="43" t="str">
        <f t="shared" si="2"/>
        <v>čistiace a upratovacie služby, &amp;#32všetky kategórie</v>
      </c>
      <c r="H88" s="44" t="s">
        <v>96</v>
      </c>
      <c r="I88" s="45" t="str">
        <f t="shared" si="3"/>
        <v>6 - 10, &amp;#32všetky možnosti</v>
      </c>
      <c r="J88" s="46" t="str">
        <f t="shared" si="4"/>
        <v>Servisné poukážky,Register partnerov VS</v>
      </c>
      <c r="K88" s="47">
        <f t="shared" si="5"/>
        <v>34007.64859</v>
      </c>
      <c r="L88" s="45"/>
      <c r="M88" s="48" t="str">
        <f>IFERROR(__xludf.DUMMYFUNCTION("SPLIT(O88,"","")"),"Rastislavova 12")</f>
        <v>Rastislavova 12</v>
      </c>
      <c r="N88" s="48" t="str">
        <f>IFERROR(__xludf.DUMMYFUNCTION("""COMPUTED_VALUE""")," 949 01 Nitra")</f>
        <v> 949 01 Nitra</v>
      </c>
      <c r="O88" s="49" t="s">
        <v>1043</v>
      </c>
      <c r="P88" s="50">
        <v>48.3253882</v>
      </c>
      <c r="Q88" s="50">
        <v>18.0431123</v>
      </c>
      <c r="R88" s="78" t="s">
        <v>1044</v>
      </c>
      <c r="S88" s="86" t="s">
        <v>1045</v>
      </c>
      <c r="T88" s="105" t="s">
        <v>1046</v>
      </c>
      <c r="U88" s="75" t="s">
        <v>1047</v>
      </c>
      <c r="V88" s="55" t="s">
        <v>1048</v>
      </c>
      <c r="W88" s="76" t="s">
        <v>1049</v>
      </c>
      <c r="X88" s="88" t="s">
        <v>1050</v>
      </c>
      <c r="Y88" s="89" t="s">
        <v>1051</v>
      </c>
      <c r="Z88" s="63" t="s">
        <v>1052</v>
      </c>
      <c r="AA88" s="79" t="s">
        <v>64</v>
      </c>
      <c r="AB88" s="65"/>
      <c r="AC88" s="66"/>
      <c r="AD88" s="67"/>
      <c r="AE88" s="65"/>
      <c r="AF88" s="65"/>
      <c r="AG88" s="66"/>
      <c r="AH88" s="67"/>
      <c r="AI88" s="65"/>
      <c r="AJ88" s="65"/>
      <c r="AK88" s="66"/>
      <c r="AL88" s="67"/>
      <c r="AM88" s="96" t="s">
        <v>320</v>
      </c>
      <c r="AN88" s="80" t="s">
        <v>39</v>
      </c>
      <c r="AO88" s="68" t="str">
        <f t="shared" si="6"/>
        <v>MINORITAS, s. r. o. cistiace a upratovacie sluzby, &amp;#32vsetky kategorie  949 01 Nitra Upratovacie a cistiace prace pre firmy a narocnejsie domacnosti, ktore kladu doraz na spolahlivost, preciznost a vysoky standard cistoty. V roku 2022 otvorime pracovnu so zvozom a rozvozom bielizne. Zamestnavame znevyhodnenych obcanov, najma zdravotne. Okrem zarobku a pocitu uzitocnosti im pracou na roznych miestach umoznujeme kontakt s ludmi mimo ich obvykleho okruhu. MINORITAS, s.r.o. Upratovacie a cistiace prace. upratovanie, cistenie          Servisne poukazky Register partnerov VS</v>
      </c>
      <c r="AP88" s="69" t="s">
        <v>41</v>
      </c>
    </row>
    <row r="89" ht="15.75" customHeight="1">
      <c r="A89" s="45"/>
      <c r="B89" s="70">
        <v>87.0</v>
      </c>
      <c r="C89" s="106" t="s">
        <v>1053</v>
      </c>
      <c r="D89" s="42" t="s">
        <v>134</v>
      </c>
      <c r="E89" s="43" t="str">
        <f t="shared" si="1"/>
        <v>Trenčiansky kraj, &amp;#32celé Slovensko</v>
      </c>
      <c r="F89" s="71" t="s">
        <v>722</v>
      </c>
      <c r="G89" s="43" t="str">
        <f t="shared" si="2"/>
        <v>dom a záhrada, stavebníctvo, &amp;#32všetky kategórie</v>
      </c>
      <c r="H89" s="44" t="s">
        <v>96</v>
      </c>
      <c r="I89" s="45" t="str">
        <f t="shared" si="3"/>
        <v>6 - 10, &amp;#32všetky možnosti</v>
      </c>
      <c r="J89" s="46" t="str">
        <f t="shared" si="4"/>
        <v>,</v>
      </c>
      <c r="K89" s="47">
        <f t="shared" si="5"/>
        <v>30003.19815</v>
      </c>
      <c r="L89" s="45"/>
      <c r="M89" s="48" t="str">
        <f>IFERROR(__xludf.DUMMYFUNCTION("SPLIT(O89,"","")"),"Bolešov 1038")</f>
        <v>Bolešov 1038</v>
      </c>
      <c r="N89" s="48" t="str">
        <f>IFERROR(__xludf.DUMMYFUNCTION("""COMPUTED_VALUE""")," 018 53 Bolešov")</f>
        <v> 018 53 Bolešov</v>
      </c>
      <c r="O89" s="49" t="s">
        <v>1054</v>
      </c>
      <c r="P89" s="50">
        <v>48.9981287</v>
      </c>
      <c r="Q89" s="50">
        <v>18.1461297</v>
      </c>
      <c r="R89" s="73" t="s">
        <v>1055</v>
      </c>
      <c r="S89" s="86" t="s">
        <v>1056</v>
      </c>
      <c r="T89" s="87" t="s">
        <v>1057</v>
      </c>
      <c r="U89" s="75" t="s">
        <v>1058</v>
      </c>
      <c r="V89" s="55" t="s">
        <v>1059</v>
      </c>
      <c r="W89" s="76" t="s">
        <v>1060</v>
      </c>
      <c r="X89" s="88" t="s">
        <v>1053</v>
      </c>
      <c r="Y89" s="89" t="s">
        <v>1061</v>
      </c>
      <c r="Z89" s="63" t="s">
        <v>1062</v>
      </c>
      <c r="AA89" s="79" t="s">
        <v>64</v>
      </c>
      <c r="AB89" s="65"/>
      <c r="AC89" s="66"/>
      <c r="AD89" s="67"/>
      <c r="AE89" s="65"/>
      <c r="AF89" s="65"/>
      <c r="AG89" s="66"/>
      <c r="AH89" s="67"/>
      <c r="AI89" s="65"/>
      <c r="AJ89" s="65"/>
      <c r="AK89" s="66"/>
      <c r="AL89" s="67"/>
      <c r="AM89" s="36"/>
      <c r="AN89" s="36"/>
      <c r="AO89" s="68" t="str">
        <f t="shared" si="6"/>
        <v>Pekna zahrada, spol. s r.o. dom a zahrada, stavebnictvo, &amp;#32vsetky kategorie  018 53 Bolesov Nasa firma sa venuje zahradnym a stavebnym pracam. Realizujeme zahrady na kluc, zavlahovy system, vysadbu stromov, vysev travnikov alebo pokladku hotovych travnych kobercov. Vypracuvame vlastne navrhy zahrad. Realizujeme aj stavebne prace: oplotenie, dlazby, chodniky, oporne muriky, schody a pod. Mame zamestnancov, ktori maju zdravotne znevyhodnenie. Pekna zahrada, spol. s r.o. Navrhy zahrad, spracovanie navrhov zavlahoveho systemu. zahrada, rastliny, zahradny material, stavebne prace, zavlazovaci system; zahradna architektura           </v>
      </c>
      <c r="AP89" s="82"/>
    </row>
    <row r="90" ht="15.75" customHeight="1">
      <c r="A90" s="45"/>
      <c r="B90" s="70">
        <v>88.0</v>
      </c>
      <c r="C90" s="106" t="s">
        <v>1063</v>
      </c>
      <c r="D90" s="42" t="s">
        <v>217</v>
      </c>
      <c r="E90" s="43" t="str">
        <f t="shared" si="1"/>
        <v>Košický kraj, &amp;#32celé Slovensko</v>
      </c>
      <c r="F90" s="71" t="s">
        <v>257</v>
      </c>
      <c r="G90" s="43" t="str">
        <f t="shared" si="2"/>
        <v>odevy a obuv, &amp;#32všetky kategórie</v>
      </c>
      <c r="H90" s="44" t="s">
        <v>170</v>
      </c>
      <c r="I90" s="45" t="str">
        <f t="shared" si="3"/>
        <v>21 a viac, &amp;#32všetky možnosti</v>
      </c>
      <c r="J90" s="46" t="str">
        <f t="shared" si="4"/>
        <v>,Register partnerov VS</v>
      </c>
      <c r="K90" s="47">
        <f t="shared" si="5"/>
        <v>23863.45108</v>
      </c>
      <c r="L90" s="45"/>
      <c r="M90" s="48" t="str">
        <f>IFERROR(__xludf.DUMMYFUNCTION("SPLIT(O90,"","")"),"Michalovská 73")</f>
        <v>Michalovská 73</v>
      </c>
      <c r="N90" s="48" t="str">
        <f>IFERROR(__xludf.DUMMYFUNCTION("""COMPUTED_VALUE""")," 073 01 Sobrance ")</f>
        <v> 073 01 Sobrance </v>
      </c>
      <c r="O90" s="49" t="s">
        <v>1064</v>
      </c>
      <c r="P90" s="50">
        <v>48.7485584999999</v>
      </c>
      <c r="Q90" s="50">
        <v>22.1718717</v>
      </c>
      <c r="R90" s="78" t="s">
        <v>1065</v>
      </c>
      <c r="S90" s="86" t="s">
        <v>1066</v>
      </c>
      <c r="T90" s="87" t="s">
        <v>86</v>
      </c>
      <c r="U90" s="75" t="s">
        <v>1067</v>
      </c>
      <c r="V90" s="55" t="s">
        <v>1068</v>
      </c>
      <c r="W90" s="76" t="s">
        <v>1069</v>
      </c>
      <c r="X90" s="88" t="s">
        <v>1070</v>
      </c>
      <c r="Y90" s="89" t="s">
        <v>1071</v>
      </c>
      <c r="Z90" s="63" t="s">
        <v>1072</v>
      </c>
      <c r="AA90" s="79" t="s">
        <v>64</v>
      </c>
      <c r="AB90" s="65"/>
      <c r="AC90" s="66"/>
      <c r="AD90" s="67"/>
      <c r="AE90" s="65"/>
      <c r="AF90" s="65"/>
      <c r="AG90" s="66"/>
      <c r="AH90" s="67"/>
      <c r="AI90" s="65"/>
      <c r="AJ90" s="65"/>
      <c r="AK90" s="66"/>
      <c r="AL90" s="67"/>
      <c r="AM90" s="52"/>
      <c r="AN90" s="80" t="s">
        <v>39</v>
      </c>
      <c r="AO90" s="68" t="str">
        <f t="shared" si="6"/>
        <v>DOZA, vyrobne druzstvo odevy a obuv, &amp;#32vsetky kategorie  073 01 Sobrance  Hlavnou pracovnou cinnostou druzstva je vyroba pracovnych odevov, ochrannych pracovnych odevov pre zvaracov a inych textilnych vyrobkov.
Nasi zakaznici: strojarsky priemysel, polnohospodarstvo, stavebny priemysel, zdravotnictvo a ine odvetvia. Zamestnavanim znevyhodnenych osob. Doza, vyrobne druzstvo Vyroba pracovnych odevov. pracovne odevy, ochranne odevy           Register partnerov VS</v>
      </c>
      <c r="AP90" s="69" t="s">
        <v>41</v>
      </c>
    </row>
    <row r="91" ht="15.75" customHeight="1">
      <c r="A91" s="45"/>
      <c r="B91" s="70">
        <v>89.0</v>
      </c>
      <c r="C91" s="106" t="s">
        <v>1073</v>
      </c>
      <c r="D91" s="42" t="s">
        <v>51</v>
      </c>
      <c r="E91" s="43" t="str">
        <f t="shared" si="1"/>
        <v>Prešovský kraj, &amp;#32celé Slovensko</v>
      </c>
      <c r="F91" s="71" t="s">
        <v>257</v>
      </c>
      <c r="G91" s="43" t="str">
        <f t="shared" si="2"/>
        <v>odevy a obuv, &amp;#32všetky kategórie</v>
      </c>
      <c r="H91" s="44" t="s">
        <v>53</v>
      </c>
      <c r="I91" s="45" t="str">
        <f t="shared" si="3"/>
        <v>1 - 5, &amp;#32všetky možnosti</v>
      </c>
      <c r="J91" s="46" t="str">
        <f t="shared" si="4"/>
        <v>,</v>
      </c>
      <c r="K91" s="47">
        <f t="shared" si="5"/>
        <v>38679.75287</v>
      </c>
      <c r="L91" s="45"/>
      <c r="M91" s="48" t="str">
        <f>IFERROR(__xludf.DUMMYFUNCTION("SPLIT(O91,"","")"),"Nad traťou 1342/28")</f>
        <v>Nad traťou 1342/28</v>
      </c>
      <c r="N91" s="48" t="str">
        <f>IFERROR(__xludf.DUMMYFUNCTION("""COMPUTED_VALUE""")," 060 01 Kežmarok")</f>
        <v> 060 01 Kežmarok</v>
      </c>
      <c r="O91" s="49" t="s">
        <v>1074</v>
      </c>
      <c r="P91" s="50">
        <v>49.1514414</v>
      </c>
      <c r="Q91" s="50">
        <v>20.4281536</v>
      </c>
      <c r="R91" s="78" t="s">
        <v>1075</v>
      </c>
      <c r="S91" s="86" t="s">
        <v>1076</v>
      </c>
      <c r="T91" s="87" t="s">
        <v>86</v>
      </c>
      <c r="U91" s="75" t="s">
        <v>1077</v>
      </c>
      <c r="V91" s="55" t="s">
        <v>1078</v>
      </c>
      <c r="W91" s="76" t="s">
        <v>1079</v>
      </c>
      <c r="X91" s="88" t="s">
        <v>1073</v>
      </c>
      <c r="Y91" s="89" t="s">
        <v>1080</v>
      </c>
      <c r="Z91" s="63" t="s">
        <v>1081</v>
      </c>
      <c r="AA91" s="79" t="s">
        <v>64</v>
      </c>
      <c r="AB91" s="65"/>
      <c r="AC91" s="66"/>
      <c r="AD91" s="67"/>
      <c r="AE91" s="65"/>
      <c r="AF91" s="65"/>
      <c r="AG91" s="66"/>
      <c r="AH91" s="67"/>
      <c r="AI91" s="65"/>
      <c r="AJ91" s="65"/>
      <c r="AK91" s="66"/>
      <c r="AL91" s="67"/>
      <c r="AM91" s="36"/>
      <c r="AN91" s="65"/>
      <c r="AO91" s="68" t="str">
        <f t="shared" si="6"/>
        <v>JuBaSa s.r.o. odevy a obuv, &amp;#32vsetky kategorie  060 01 Kezmarok Zaciname rozbiehat textilnu a odevnu vyrobu. Podnik sa venuje najma textilnej a odevnej vyrobe, uskutocnovaniu stavieb a ich zmien, pripravnym pracam k realizacii stavby, opracovaniu drevnej hmoty a vyrobe komponentov z dreva, vyrobe jednoduchych vyrobkov z dreva, korku a slamy, prutia a ich uprave, oprave a udrzbe. JuBaSa s.r.o. Rozbiehame textilnu a odevnu vyrobu. odevy, textil           </v>
      </c>
      <c r="AP91" s="69" t="s">
        <v>41</v>
      </c>
    </row>
    <row r="92" ht="15.75" customHeight="1">
      <c r="A92" s="45"/>
      <c r="B92" s="70">
        <v>90.0</v>
      </c>
      <c r="C92" s="106" t="s">
        <v>1082</v>
      </c>
      <c r="D92" s="42" t="s">
        <v>66</v>
      </c>
      <c r="E92" s="43" t="str">
        <f t="shared" si="1"/>
        <v>Žilinský kraj, &amp;#32celé Slovensko</v>
      </c>
      <c r="F92" s="71" t="s">
        <v>1083</v>
      </c>
      <c r="G92" s="43" t="str">
        <f t="shared" si="2"/>
        <v>čistiace a upratovacie služby, dom a záhrada, stavebníctvo, doprava, ubytovacie a stravovacie služby, kultúra a šport, odpady a recyklácia, &amp;#32všetky kategórie</v>
      </c>
      <c r="H92" s="44" t="s">
        <v>53</v>
      </c>
      <c r="I92" s="45" t="str">
        <f t="shared" si="3"/>
        <v>1 - 5, &amp;#32všetky možnosti</v>
      </c>
      <c r="J92" s="46" t="str">
        <f t="shared" si="4"/>
        <v>,</v>
      </c>
      <c r="K92" s="47">
        <f t="shared" si="5"/>
        <v>7979.813745</v>
      </c>
      <c r="L92" s="45"/>
      <c r="M92" s="48" t="str">
        <f>IFERROR(__xludf.DUMMYFUNCTION("SPLIT(O92,"","")"),"Pribiš 141")</f>
        <v>Pribiš 141</v>
      </c>
      <c r="N92" s="48" t="str">
        <f>IFERROR(__xludf.DUMMYFUNCTION("""COMPUTED_VALUE""")," 027 41 Pribiš")</f>
        <v> 027 41 Pribiš</v>
      </c>
      <c r="O92" s="49" t="s">
        <v>1084</v>
      </c>
      <c r="P92" s="50">
        <v>49.2204761</v>
      </c>
      <c r="Q92" s="50">
        <v>19.4055258</v>
      </c>
      <c r="R92" s="73" t="s">
        <v>1085</v>
      </c>
      <c r="S92" s="86" t="s">
        <v>1086</v>
      </c>
      <c r="T92" s="87" t="s">
        <v>1087</v>
      </c>
      <c r="U92" s="75" t="s">
        <v>1088</v>
      </c>
      <c r="V92" s="55" t="s">
        <v>1089</v>
      </c>
      <c r="W92" s="76" t="s">
        <v>1090</v>
      </c>
      <c r="X92" s="88" t="s">
        <v>1091</v>
      </c>
      <c r="Y92" s="89" t="s">
        <v>1092</v>
      </c>
      <c r="Z92" s="63" t="s">
        <v>1093</v>
      </c>
      <c r="AA92" s="79" t="s">
        <v>64</v>
      </c>
      <c r="AB92" s="65"/>
      <c r="AC92" s="66"/>
      <c r="AD92" s="67"/>
      <c r="AE92" s="65"/>
      <c r="AF92" s="65"/>
      <c r="AG92" s="66"/>
      <c r="AH92" s="67"/>
      <c r="AI92" s="65"/>
      <c r="AJ92" s="65"/>
      <c r="AK92" s="66"/>
      <c r="AL92" s="67"/>
      <c r="AM92" s="36"/>
      <c r="AN92" s="65"/>
      <c r="AO92" s="68" t="str">
        <f t="shared" si="6"/>
        <v>Obecny Podnik Pribis, s.r.o. cistiace a upratovacie sluzby, dom a zahrada, stavebnictvo, doprava, ubytovacie a stravovacie sluzby, kultura a sport, odpady a recyklacia, &amp;#32vsetky kategorie  027 41 Pribis Nas obecny socialny podnik vykonava momentalne temer vsetku cast svojich sluzieb pre obec Pribis. Vykonavame hlavne stavebnu cinnost vsetkeho druhu na roznych rekonstrukciach v obci, takisto vykonavame vsetky sluzby pre obec, ale aj pre obcanov nasej obce, hlavne v dochodkovom veku. Nakoniec postupne rozbiehame vyrobu vlastnych odvodnovacich zlabov a betonovych plotov, ktore vyuzivame na odvodnovanie miestnych komunikacii v obci a na oplotenia pozemkov obecnych institucii. Cely zisk socialneho podniku investujeme v obci. Kedze nasa obec je prestarnuta, socialny podnik je napomocny seniorom a socialne slabsim obcanom. Obecny podnik Pribis, s.r.o. Rozbiehame vyrobu betonovych zlabov a plotov, ktore vsak momentalne dodavame iba pre nasu obec Pribis. V buducnosti by sme chceli vyrobu rozsirit a uspokojit tak dopyt aj z ostatnych obci. stavebne a buracie prace, kosenie, upratovanie, remeselne prace           </v>
      </c>
      <c r="AP92" s="69" t="s">
        <v>41</v>
      </c>
    </row>
    <row r="93" ht="15.75" customHeight="1">
      <c r="A93" s="45"/>
      <c r="B93" s="70">
        <v>91.0</v>
      </c>
      <c r="C93" s="106" t="s">
        <v>1094</v>
      </c>
      <c r="D93" s="42" t="s">
        <v>217</v>
      </c>
      <c r="E93" s="43" t="str">
        <f t="shared" si="1"/>
        <v>Košický kraj, &amp;#32celé Slovensko</v>
      </c>
      <c r="F93" s="71" t="s">
        <v>767</v>
      </c>
      <c r="G93" s="43" t="str">
        <f t="shared" si="2"/>
        <v>nábytok a bytové doplnky, &amp;#32všetky kategórie</v>
      </c>
      <c r="H93" s="44" t="s">
        <v>53</v>
      </c>
      <c r="I93" s="45" t="str">
        <f t="shared" si="3"/>
        <v>1 - 5, &amp;#32všetky možnosti</v>
      </c>
      <c r="J93" s="46" t="str">
        <f t="shared" si="4"/>
        <v>,</v>
      </c>
      <c r="K93" s="47">
        <f t="shared" si="5"/>
        <v>40513.38628</v>
      </c>
      <c r="L93" s="45"/>
      <c r="M93" s="48" t="str">
        <f>IFERROR(__xludf.DUMMYFUNCTION("SPLIT(O93,"","")"),"Rastislavova 100")</f>
        <v>Rastislavova 100</v>
      </c>
      <c r="N93" s="48" t="str">
        <f>IFERROR(__xludf.DUMMYFUNCTION("""COMPUTED_VALUE""")," 040 01 Košice - mestská časť Juh ")</f>
        <v> 040 01 Košice - mestská časť Juh </v>
      </c>
      <c r="O93" s="49" t="s">
        <v>1095</v>
      </c>
      <c r="P93" s="50">
        <v>48.6934238</v>
      </c>
      <c r="Q93" s="50">
        <v>21.2624391</v>
      </c>
      <c r="R93" s="78" t="s">
        <v>1096</v>
      </c>
      <c r="S93" s="86" t="s">
        <v>1097</v>
      </c>
      <c r="T93" s="87" t="s">
        <v>1098</v>
      </c>
      <c r="U93" s="75" t="s">
        <v>1099</v>
      </c>
      <c r="V93" s="55" t="s">
        <v>1100</v>
      </c>
      <c r="W93" s="76" t="s">
        <v>1101</v>
      </c>
      <c r="X93" s="88" t="s">
        <v>1102</v>
      </c>
      <c r="Y93" s="89" t="s">
        <v>1103</v>
      </c>
      <c r="Z93" s="63" t="s">
        <v>1104</v>
      </c>
      <c r="AA93" s="79" t="s">
        <v>64</v>
      </c>
      <c r="AB93" s="65"/>
      <c r="AC93" s="66"/>
      <c r="AD93" s="67"/>
      <c r="AE93" s="65"/>
      <c r="AF93" s="65"/>
      <c r="AG93" s="66"/>
      <c r="AH93" s="67"/>
      <c r="AI93" s="65"/>
      <c r="AJ93" s="65"/>
      <c r="AK93" s="66"/>
      <c r="AL93" s="67"/>
      <c r="AM93" s="36"/>
      <c r="AN93" s="65"/>
      <c r="AO93" s="68" t="str">
        <f t="shared" si="6"/>
        <v>Patricius.sk s.r.o. nabytok a bytove doplnky, &amp;#32vsetky kategorie  040 01 Kosice - mestska cast Juh  Hotelovy a restauracny textil. Zamestnavame osoby so zdravotnym znevyhodnenim. Patricius.sk Predaj hoteloveho a restauracneho textilu. hotelovy textil, restauracny textil, obliecky, plachty, paplony, vankuse, hotelova kozmetika, matrace           </v>
      </c>
      <c r="AP93" s="82"/>
    </row>
    <row r="94" ht="15.75" customHeight="1">
      <c r="A94" s="45"/>
      <c r="B94" s="70">
        <v>92.0</v>
      </c>
      <c r="C94" s="106" t="s">
        <v>1105</v>
      </c>
      <c r="D94" s="42" t="s">
        <v>134</v>
      </c>
      <c r="E94" s="43" t="str">
        <f t="shared" si="1"/>
        <v>Trenčiansky kraj, &amp;#32celé Slovensko</v>
      </c>
      <c r="F94" s="71" t="s">
        <v>1106</v>
      </c>
      <c r="G94" s="43" t="str">
        <f t="shared" si="2"/>
        <v>stavebníctvo, &amp;#32všetky kategórie</v>
      </c>
      <c r="H94" s="44" t="s">
        <v>96</v>
      </c>
      <c r="I94" s="45" t="str">
        <f t="shared" si="3"/>
        <v>6 - 10, &amp;#32všetky možnosti</v>
      </c>
      <c r="J94" s="46" t="str">
        <f t="shared" si="4"/>
        <v>,</v>
      </c>
      <c r="K94" s="47">
        <f t="shared" si="5"/>
        <v>25113.03868</v>
      </c>
      <c r="L94" s="45"/>
      <c r="M94" s="48" t="str">
        <f>IFERROR(__xludf.DUMMYFUNCTION("SPLIT(O94,"","")"),"Ulica Ľ. Ondrejova 17A/1905")</f>
        <v>Ulica Ľ. Ondrejova 17A/1905</v>
      </c>
      <c r="N94" s="48" t="str">
        <f>IFERROR(__xludf.DUMMYFUNCTION("""COMPUTED_VALUE""")," 971 01 Prievidza")</f>
        <v> 971 01 Prievidza</v>
      </c>
      <c r="O94" s="49" t="s">
        <v>1107</v>
      </c>
      <c r="P94" s="50">
        <v>48.7817386</v>
      </c>
      <c r="Q94" s="50">
        <v>18.6188472</v>
      </c>
      <c r="R94" s="78" t="s">
        <v>1108</v>
      </c>
      <c r="S94" s="86" t="s">
        <v>1109</v>
      </c>
      <c r="T94" s="87" t="s">
        <v>86</v>
      </c>
      <c r="U94" s="75" t="s">
        <v>1110</v>
      </c>
      <c r="V94" s="55" t="s">
        <v>1111</v>
      </c>
      <c r="W94" s="76" t="s">
        <v>1112</v>
      </c>
      <c r="X94" s="88" t="s">
        <v>1105</v>
      </c>
      <c r="Y94" s="89" t="s">
        <v>1113</v>
      </c>
      <c r="Z94" s="63" t="s">
        <v>1114</v>
      </c>
      <c r="AA94" s="79" t="s">
        <v>64</v>
      </c>
      <c r="AB94" s="65"/>
      <c r="AC94" s="66"/>
      <c r="AD94" s="67"/>
      <c r="AE94" s="65"/>
      <c r="AF94" s="65"/>
      <c r="AG94" s="66"/>
      <c r="AH94" s="67"/>
      <c r="AI94" s="65"/>
      <c r="AJ94" s="65"/>
      <c r="AK94" s="66"/>
      <c r="AL94" s="67"/>
      <c r="AM94" s="36"/>
      <c r="AN94" s="65"/>
      <c r="AO94" s="68" t="str">
        <f t="shared" si="6"/>
        <v>IZONES, s. r. o. stavebnictvo, &amp;#32vsetky kategorie  971 01 Prievidza Hlavny predmet cinnosti je zalozeny na rekonstrukcii plochych striech stavieb. Nasimi klientmi su predovsetkym stavebne druzstva, spravcovia budov a individualni vlastnici stavieb. Vykonavame tiez montaze izolacnych a zateplovacich stavebnych systemov. Zamestnavanie znevyhodnenych osob. IZONES, s. r. o. Opravy a rekonstrukcie plochych striech stavieb. Opravy a rekonstrukcie plochych striech stavieb, ploche strechy           </v>
      </c>
      <c r="AP94" s="82"/>
    </row>
    <row r="95" ht="15.75" customHeight="1">
      <c r="A95" s="45"/>
      <c r="B95" s="70">
        <v>93.0</v>
      </c>
      <c r="C95" s="106" t="s">
        <v>1115</v>
      </c>
      <c r="D95" s="42" t="s">
        <v>217</v>
      </c>
      <c r="E95" s="43" t="str">
        <f t="shared" si="1"/>
        <v>Košický kraj, &amp;#32celé Slovensko</v>
      </c>
      <c r="F95" s="71" t="s">
        <v>1033</v>
      </c>
      <c r="G95" s="43" t="str">
        <f t="shared" si="2"/>
        <v>čistiace a upratovacie služby, dom a záhrada, stavebníctvo, &amp;#32všetky kategórie</v>
      </c>
      <c r="H95" s="44" t="s">
        <v>68</v>
      </c>
      <c r="I95" s="45" t="str">
        <f t="shared" si="3"/>
        <v>16 - 20, &amp;#32všetky možnosti</v>
      </c>
      <c r="J95" s="46" t="str">
        <f t="shared" si="4"/>
        <v>,Register partnerov VS</v>
      </c>
      <c r="K95" s="47">
        <f t="shared" si="5"/>
        <v>18187.33811</v>
      </c>
      <c r="L95" s="45"/>
      <c r="M95" s="48" t="str">
        <f>IFERROR(__xludf.DUMMYFUNCTION("SPLIT(O95,"","")"),"Budimír 19")</f>
        <v>Budimír 19</v>
      </c>
      <c r="N95" s="48" t="str">
        <f>IFERROR(__xludf.DUMMYFUNCTION("""COMPUTED_VALUE""")," 044 43 Budimír")</f>
        <v> 044 43 Budimír</v>
      </c>
      <c r="O95" s="49" t="s">
        <v>1116</v>
      </c>
      <c r="P95" s="50">
        <v>48.7973148</v>
      </c>
      <c r="Q95" s="50">
        <v>21.3048207</v>
      </c>
      <c r="R95" s="73" t="s">
        <v>1117</v>
      </c>
      <c r="S95" s="86" t="s">
        <v>1118</v>
      </c>
      <c r="T95" s="87" t="s">
        <v>86</v>
      </c>
      <c r="U95" s="75" t="s">
        <v>1119</v>
      </c>
      <c r="V95" s="55" t="s">
        <v>1120</v>
      </c>
      <c r="W95" s="76" t="s">
        <v>1121</v>
      </c>
      <c r="X95" s="88" t="s">
        <v>1115</v>
      </c>
      <c r="Y95" s="89" t="s">
        <v>1122</v>
      </c>
      <c r="Z95" s="63" t="s">
        <v>1123</v>
      </c>
      <c r="AA95" s="79" t="s">
        <v>64</v>
      </c>
      <c r="AB95" s="65"/>
      <c r="AC95" s="66"/>
      <c r="AD95" s="67"/>
      <c r="AE95" s="65"/>
      <c r="AF95" s="65"/>
      <c r="AG95" s="66"/>
      <c r="AH95" s="67"/>
      <c r="AI95" s="65"/>
      <c r="AJ95" s="65"/>
      <c r="AK95" s="66"/>
      <c r="AL95" s="67"/>
      <c r="AM95" s="52"/>
      <c r="AN95" s="80" t="s">
        <v>39</v>
      </c>
      <c r="AO95" s="68" t="str">
        <f t="shared" si="6"/>
        <v>Budimirske sluzby s.r.o., registrovany socialny podnik cistiace a upratovacie sluzby, dom a zahrada, stavebnictvo, &amp;#32vsetky kategorie  044 43 Budimir Nasa spolocnost sa zameriava na sluzby verejnoprospesneho charakteru v obci Budimir (kosenie, udrziavanie cistoty v obci, zimna udrzba), pomaha aj pri organizovani kulturno-spolocenskych podujati. V neposlednom rade je to nasa stavebna cinnost, s ktorou sa na nas obracaju starostovia okolitych obci, kde sme realizovali rozne rekonstrukcie budov, ale aj fyzicke osoby, u ktorych sme robili rekonstrukcie striech, stavbu zakladovej dosky alebo obvodovych murov rodinnych domov. Zamestnavame znevyhodnenych obcanov, ci uz z romskej komunity alebo so zdravotnym znevyhodnenim, ktore im nedovoluje sa plnohodnotne zamestnat. Budimirske sluzby s.r.o., registrovany socialny podnik Aktualne ponukame verejnoprospesne sluzby, kosenie, zimnu udrzbu, stavebne prace, rekonstrukcie striech, stavbu altankov, pokladku chodnikov a pod. stavebne prace, rekonstrukcie, zemne prace, stavba altankov, pokladka chodnikov           Register partnerov VS</v>
      </c>
      <c r="AP95" s="82"/>
    </row>
    <row r="96" ht="15.75" customHeight="1">
      <c r="A96" s="45"/>
      <c r="B96" s="70">
        <v>94.0</v>
      </c>
      <c r="C96" s="106" t="s">
        <v>1124</v>
      </c>
      <c r="D96" s="42" t="s">
        <v>134</v>
      </c>
      <c r="E96" s="43" t="str">
        <f t="shared" si="1"/>
        <v>Trenčiansky kraj, &amp;#32celé Slovensko</v>
      </c>
      <c r="F96" s="71" t="s">
        <v>1125</v>
      </c>
      <c r="G96" s="43" t="str">
        <f t="shared" si="2"/>
        <v>dom a záhrada, iné (tovary a služby), &amp;#32všetky kategórie</v>
      </c>
      <c r="H96" s="44" t="s">
        <v>53</v>
      </c>
      <c r="I96" s="45" t="str">
        <f t="shared" si="3"/>
        <v>1 - 5, &amp;#32všetky možnosti</v>
      </c>
      <c r="J96" s="46" t="str">
        <f t="shared" si="4"/>
        <v>,</v>
      </c>
      <c r="K96" s="47">
        <f t="shared" si="5"/>
        <v>31637.84251</v>
      </c>
      <c r="L96" s="45"/>
      <c r="M96" s="48" t="str">
        <f>IFERROR(__xludf.DUMMYFUNCTION("SPLIT(O96,"","")"),"Kukučínova 670/27")</f>
        <v>Kukučínova 670/27</v>
      </c>
      <c r="N96" s="48" t="str">
        <f>IFERROR(__xludf.DUMMYFUNCTION("""COMPUTED_VALUE""")," 972 12 Nedožery - Brezany ")</f>
        <v> 972 12 Nedožery - Brezany </v>
      </c>
      <c r="O96" s="49" t="s">
        <v>1126</v>
      </c>
      <c r="P96" s="50">
        <v>48.8182103</v>
      </c>
      <c r="Q96" s="50">
        <v>18.6417925</v>
      </c>
      <c r="R96" s="78" t="s">
        <v>1127</v>
      </c>
      <c r="S96" s="86" t="s">
        <v>1002</v>
      </c>
      <c r="T96" s="87" t="s">
        <v>1128</v>
      </c>
      <c r="U96" s="75" t="s">
        <v>1129</v>
      </c>
      <c r="V96" s="55" t="s">
        <v>1130</v>
      </c>
      <c r="W96" s="76" t="s">
        <v>1131</v>
      </c>
      <c r="X96" s="88" t="s">
        <v>1132</v>
      </c>
      <c r="Y96" s="89" t="s">
        <v>1133</v>
      </c>
      <c r="Z96" s="63" t="s">
        <v>1134</v>
      </c>
      <c r="AA96" s="79" t="s">
        <v>64</v>
      </c>
      <c r="AB96" s="65"/>
      <c r="AC96" s="66"/>
      <c r="AD96" s="67"/>
      <c r="AE96" s="65"/>
      <c r="AF96" s="65"/>
      <c r="AG96" s="66"/>
      <c r="AH96" s="67"/>
      <c r="AI96" s="65"/>
      <c r="AJ96" s="65"/>
      <c r="AK96" s="66"/>
      <c r="AL96" s="67"/>
      <c r="AM96" s="36"/>
      <c r="AN96" s="65"/>
      <c r="AO96" s="68" t="str">
        <f t="shared" si="6"/>
        <v>CRAFT PRODUCTION s. r. o. dom a zahrada, ine (tovary a sluzby), &amp;#32vsetky kategorie  972 12 Nedozery - Brezany  V nasej ponuke je vyroba dekorativnych predmetov, kamennych kvetinacov a sluzby v oblasti expedicie tovaru. Zamestnavame znevyhodnene a zranitelne osoby. CRAFT PRODUCTION s.r.o. Vyrabame dekorativne predmety. kamenne kvetinace a ponukame aj sluzby expedicie tovaru. kamenne kvetinace, dekorativne predmety           </v>
      </c>
      <c r="AP96" s="82"/>
    </row>
    <row r="97" ht="15.75" customHeight="1">
      <c r="A97" s="45"/>
      <c r="B97" s="70">
        <v>95.0</v>
      </c>
      <c r="C97" s="106" t="s">
        <v>1135</v>
      </c>
      <c r="D97" s="42" t="s">
        <v>217</v>
      </c>
      <c r="E97" s="43" t="str">
        <f t="shared" si="1"/>
        <v>Košický kraj, &amp;#32celé Slovensko</v>
      </c>
      <c r="F97" s="71" t="s">
        <v>1136</v>
      </c>
      <c r="G97" s="43" t="str">
        <f t="shared" si="2"/>
        <v>auto-moto, elektro, &amp;#32všetky kategórie</v>
      </c>
      <c r="H97" s="44" t="s">
        <v>170</v>
      </c>
      <c r="I97" s="45" t="str">
        <f t="shared" si="3"/>
        <v>21 a viac, &amp;#32všetky možnosti</v>
      </c>
      <c r="J97" s="46" t="str">
        <f t="shared" si="4"/>
        <v>,Register partnerov VS</v>
      </c>
      <c r="K97" s="47">
        <f t="shared" si="5"/>
        <v>35390.78163</v>
      </c>
      <c r="L97" s="45"/>
      <c r="M97" s="48" t="str">
        <f>IFERROR(__xludf.DUMMYFUNCTION("SPLIT(O97,"","")"),"Plynárenská 2")</f>
        <v>Plynárenská 2</v>
      </c>
      <c r="N97" s="48" t="str">
        <f>IFERROR(__xludf.DUMMYFUNCTION("""COMPUTED_VALUE""")," 071 01 Michalovce")</f>
        <v> 071 01 Michalovce</v>
      </c>
      <c r="O97" s="49" t="s">
        <v>1137</v>
      </c>
      <c r="P97" s="50">
        <v>48.7437307999999</v>
      </c>
      <c r="Q97" s="50">
        <v>21.925438</v>
      </c>
      <c r="R97" s="78" t="s">
        <v>1138</v>
      </c>
      <c r="S97" s="86" t="s">
        <v>1139</v>
      </c>
      <c r="T97" s="87" t="s">
        <v>86</v>
      </c>
      <c r="U97" s="75" t="s">
        <v>1140</v>
      </c>
      <c r="V97" s="84" t="s">
        <v>1141</v>
      </c>
      <c r="W97" s="76" t="s">
        <v>1142</v>
      </c>
      <c r="X97" s="88" t="s">
        <v>1143</v>
      </c>
      <c r="Y97" s="89" t="s">
        <v>1144</v>
      </c>
      <c r="Z97" s="63" t="s">
        <v>1145</v>
      </c>
      <c r="AA97" s="79" t="s">
        <v>64</v>
      </c>
      <c r="AB97" s="65"/>
      <c r="AC97" s="66"/>
      <c r="AD97" s="67"/>
      <c r="AE97" s="65"/>
      <c r="AF97" s="65"/>
      <c r="AG97" s="66"/>
      <c r="AH97" s="67"/>
      <c r="AI97" s="65"/>
      <c r="AJ97" s="65"/>
      <c r="AK97" s="66"/>
      <c r="AL97" s="67"/>
      <c r="AM97" s="52"/>
      <c r="AN97" s="80" t="s">
        <v>39</v>
      </c>
      <c r="AO97" s="68" t="str">
        <f t="shared" si="6"/>
        <v>CHDMI, s.r.o. auto-moto, elektro, &amp;#32vsetky kategorie  071 01 Michalovce Je to vyroba kablovych zvazkov a vyroba komponentov do elektromotorov. Zamestnavame zdravotne znevyhodnenych obcanov. CHDMI, s.r.o., RSP Vyroba kablovych zvazkov, vyroba komponentov do elektromotorov. kablove zvazky, komponenty do elektromotorov           Register partnerov VS</v>
      </c>
      <c r="AP97" s="69" t="s">
        <v>41</v>
      </c>
    </row>
    <row r="98" ht="15.75" customHeight="1">
      <c r="A98" s="45"/>
      <c r="B98" s="70">
        <v>96.0</v>
      </c>
      <c r="C98" s="106" t="s">
        <v>1146</v>
      </c>
      <c r="D98" s="42" t="s">
        <v>66</v>
      </c>
      <c r="E98" s="43" t="str">
        <f t="shared" si="1"/>
        <v>Žilinský kraj, &amp;#32celé Slovensko</v>
      </c>
      <c r="F98" s="71" t="s">
        <v>1147</v>
      </c>
      <c r="G98" s="43" t="str">
        <f t="shared" si="2"/>
        <v>poľnohospodárstvo a lesníctvo, dom a záhrada, stavebníctvo, vzdelávanie, kultúra a šport, potraviny a nápoje, reklama, &amp;#32všetky kategórie</v>
      </c>
      <c r="H98" s="44" t="s">
        <v>96</v>
      </c>
      <c r="I98" s="45" t="str">
        <f t="shared" si="3"/>
        <v>6 - 10, &amp;#32všetky možnosti</v>
      </c>
      <c r="J98" s="46" t="str">
        <f t="shared" si="4"/>
        <v>,Register partnerov VS</v>
      </c>
      <c r="K98" s="47">
        <f t="shared" si="5"/>
        <v>11282.00969</v>
      </c>
      <c r="L98" s="45"/>
      <c r="M98" s="48" t="str">
        <f>IFERROR(__xludf.DUMMYFUNCTION("SPLIT(O98,"","")"),"Areál sídla Roľníckeho družstva Veľká Rača 10062")</f>
        <v>Areál sídla Roľníckeho družstva Veľká Rača 10062</v>
      </c>
      <c r="N98" s="48" t="str">
        <f>IFERROR(__xludf.DUMMYFUNCTION("""COMPUTED_VALUE""")," 02301 Oščadnica")</f>
        <v> 02301 Oščadnica</v>
      </c>
      <c r="O98" s="49" t="s">
        <v>1148</v>
      </c>
      <c r="P98" s="50">
        <v>49.4132942</v>
      </c>
      <c r="Q98" s="50">
        <v>18.968879</v>
      </c>
      <c r="R98" s="73" t="s">
        <v>1149</v>
      </c>
      <c r="S98" s="86" t="s">
        <v>1150</v>
      </c>
      <c r="T98" s="107" t="s">
        <v>1151</v>
      </c>
      <c r="U98" s="75" t="s">
        <v>1152</v>
      </c>
      <c r="V98" s="55" t="s">
        <v>1153</v>
      </c>
      <c r="W98" s="76" t="s">
        <v>1154</v>
      </c>
      <c r="X98" s="88" t="s">
        <v>1146</v>
      </c>
      <c r="Y98" s="89" t="s">
        <v>1155</v>
      </c>
      <c r="Z98" s="63" t="s">
        <v>1156</v>
      </c>
      <c r="AA98" s="79" t="s">
        <v>64</v>
      </c>
      <c r="AB98" s="65"/>
      <c r="AC98" s="66"/>
      <c r="AD98" s="67"/>
      <c r="AE98" s="65"/>
      <c r="AF98" s="65"/>
      <c r="AG98" s="66"/>
      <c r="AH98" s="67"/>
      <c r="AI98" s="65"/>
      <c r="AJ98" s="65"/>
      <c r="AK98" s="66"/>
      <c r="AL98" s="67"/>
      <c r="AM98" s="52"/>
      <c r="AN98" s="80" t="s">
        <v>39</v>
      </c>
      <c r="AO98" s="68" t="str">
        <f t="shared" si="6"/>
        <v>Tradicie Kysuc, s. r. o. polnohospodarstvo a lesnictvo, dom a zahrada, stavebnictvo, vzdelavanie, kultura a sport, potraviny a napoje, reklama, &amp;#32vsetky kategorie  02301 Oscadnica Hlavnym predmetom nasho podnikania je vykup ovcieho mlieka od regionalnych prvovyrobcov, nasledne spracovanie - vyroba syrarskych vyrobkov a poskytovanie sluzieb v oblasti propagacie tohto druhu vyrobkov. V podnikovej predajni okrem svojich vyrobkov predavame aj remeselne vyrobky od regionalnych vyrobcov. Organizujeme spolocensko- kulturne akcie , workshopy, ktore prezentuju tradicne ovciarstvo na Kysuciach a kulturne tradicie regionu. Svoju podnikatelsku cinnost synergicky prepajame so snahou o tvorbu, rozvoj, ochranu, obnovu a prezentaciu duchovnych a kulturnych hodnot. V neposlednom rade sa snazime o zachovanie tradicii regionu. Poriadanim workshopov pre deti zo zasladnych skol, kde nazorne uvidia spracovanie ovcieho mlieka, prispievame k vzdelavaniu a vychove. Podporou chovu oviec nepriamo zasahujeme aj do tvorby a ochrany zivotneho prostredia a ochrany zdravia obyvatelstva. Zamestnavanim znevyhodnenych obcanov podporujeme regionalny rozvoj a zamestnanost. Tradicie Kysuc, s. r. o. Vyroba syrarskych vyrobkov z ovcieho mlieka, predaj remeselnych vyrobkov od regionalnych vyrobcov, organizovanie spolocensko kulturnych akcii, workshopov prezentujucich tradicne ovciarstvo na Kysuciach a kulturne tradicie regionu. ovci syr makky, ovcie syrove nite, ovcie jogurty, ovci syr dlho zrejuci, ovci syr udeny , nazorna ukazka spracovania ovcieho mlieka a vyroba vyrobkov, folklorne podujatia, ovciarstvo na Kysuciach           Register partnerov VS</v>
      </c>
      <c r="AP98" s="82"/>
    </row>
    <row r="99" ht="15.75" customHeight="1">
      <c r="A99" s="45"/>
      <c r="B99" s="70">
        <v>97.0</v>
      </c>
      <c r="C99" s="106" t="s">
        <v>1157</v>
      </c>
      <c r="D99" s="42" t="s">
        <v>217</v>
      </c>
      <c r="E99" s="43" t="str">
        <f t="shared" si="1"/>
        <v>Košický kraj, &amp;#32celé Slovensko</v>
      </c>
      <c r="F99" s="71" t="s">
        <v>1158</v>
      </c>
      <c r="G99" s="43" t="str">
        <f t="shared" si="2"/>
        <v>čistiace a upratovacie služby, auto-moto, &amp;#32všetky kategórie</v>
      </c>
      <c r="H99" s="44" t="s">
        <v>170</v>
      </c>
      <c r="I99" s="45" t="str">
        <f t="shared" si="3"/>
        <v>21 a viac, &amp;#32všetky možnosti</v>
      </c>
      <c r="J99" s="46" t="str">
        <f t="shared" si="4"/>
        <v>,Register partnerov VS</v>
      </c>
      <c r="K99" s="47">
        <f t="shared" si="5"/>
        <v>17465.24105</v>
      </c>
      <c r="L99" s="45"/>
      <c r="M99" s="48" t="str">
        <f>IFERROR(__xludf.DUMMYFUNCTION("SPLIT(O99,"","")"),"Plynárenská 2")</f>
        <v>Plynárenská 2</v>
      </c>
      <c r="N99" s="48" t="str">
        <f>IFERROR(__xludf.DUMMYFUNCTION("""COMPUTED_VALUE""")," 071 01 Michalovce")</f>
        <v> 071 01 Michalovce</v>
      </c>
      <c r="O99" s="49" t="s">
        <v>1137</v>
      </c>
      <c r="P99" s="50">
        <v>48.7437307999999</v>
      </c>
      <c r="Q99" s="50">
        <v>21.925438</v>
      </c>
      <c r="R99" s="73" t="s">
        <v>1159</v>
      </c>
      <c r="S99" s="86" t="s">
        <v>1139</v>
      </c>
      <c r="T99" s="87" t="s">
        <v>86</v>
      </c>
      <c r="U99" s="75" t="s">
        <v>1160</v>
      </c>
      <c r="V99" s="55" t="s">
        <v>1141</v>
      </c>
      <c r="W99" s="76" t="s">
        <v>1142</v>
      </c>
      <c r="X99" s="88" t="s">
        <v>1157</v>
      </c>
      <c r="Y99" s="89" t="s">
        <v>1161</v>
      </c>
      <c r="Z99" s="63" t="s">
        <v>1162</v>
      </c>
      <c r="AA99" s="79" t="s">
        <v>64</v>
      </c>
      <c r="AB99" s="65"/>
      <c r="AC99" s="66"/>
      <c r="AD99" s="67"/>
      <c r="AE99" s="65"/>
      <c r="AF99" s="65"/>
      <c r="AG99" s="66"/>
      <c r="AH99" s="67"/>
      <c r="AI99" s="65"/>
      <c r="AJ99" s="65"/>
      <c r="AK99" s="66"/>
      <c r="AL99" s="67"/>
      <c r="AM99" s="52"/>
      <c r="AN99" s="80" t="s">
        <v>39</v>
      </c>
      <c r="AO99" s="68" t="str">
        <f t="shared" si="6"/>
        <v>Abalstav spol. s r.o. cistiace a upratovacie sluzby, auto-moto, &amp;#32vsetky kategorie  071 01 Michalovce Vyroba kablovych zvazkov, cistenie priestorov - ochrana pred Covid. Zamestnavame zdravotne znevyhodnenych obcanov. Abalstav spol. s r.o. Vyroba kablovych zvazkov, cistenie priestorov - ochrana pred Covid, pomocne prace pri vyrobe zdravotnickeho materialu. kablove zvazky           Register partnerov VS</v>
      </c>
      <c r="AP99" s="69" t="s">
        <v>41</v>
      </c>
    </row>
    <row r="100" ht="15.75" customHeight="1">
      <c r="A100" s="45"/>
      <c r="B100" s="70">
        <v>98.0</v>
      </c>
      <c r="C100" s="106" t="s">
        <v>1163</v>
      </c>
      <c r="D100" s="42" t="s">
        <v>51</v>
      </c>
      <c r="E100" s="43" t="str">
        <f t="shared" si="1"/>
        <v>Prešovský kraj, &amp;#32celé Slovensko</v>
      </c>
      <c r="F100" s="71" t="s">
        <v>1164</v>
      </c>
      <c r="G100" s="43" t="str">
        <f t="shared" si="2"/>
        <v>poľnohospodárstvo a lesníctvo, stavebníctvo, potraviny a nápoje, elektro, iné (tovary a služby), &amp;#32všetky kategórie</v>
      </c>
      <c r="H100" s="44" t="s">
        <v>53</v>
      </c>
      <c r="I100" s="45" t="str">
        <f t="shared" si="3"/>
        <v>1 - 5, &amp;#32všetky možnosti</v>
      </c>
      <c r="J100" s="46" t="str">
        <f t="shared" si="4"/>
        <v>,</v>
      </c>
      <c r="K100" s="47">
        <f t="shared" si="5"/>
        <v>36548.59933</v>
      </c>
      <c r="L100" s="45"/>
      <c r="M100" s="48" t="str">
        <f>IFERROR(__xludf.DUMMYFUNCTION("SPLIT(O100,"","")"),"Domaňovce 92")</f>
        <v>Domaňovce 92</v>
      </c>
      <c r="N100" s="48" t="str">
        <f>IFERROR(__xludf.DUMMYFUNCTION("""COMPUTED_VALUE""")," 053 02 Domaňovce")</f>
        <v> 053 02 Domaňovce</v>
      </c>
      <c r="O100" s="49" t="s">
        <v>1165</v>
      </c>
      <c r="P100" s="50">
        <v>48.9638483</v>
      </c>
      <c r="Q100" s="50">
        <v>20.6611684</v>
      </c>
      <c r="R100" s="73" t="s">
        <v>1166</v>
      </c>
      <c r="S100" s="86" t="s">
        <v>1167</v>
      </c>
      <c r="T100" s="87" t="s">
        <v>86</v>
      </c>
      <c r="U100" s="75" t="s">
        <v>1168</v>
      </c>
      <c r="V100" s="55" t="s">
        <v>1169</v>
      </c>
      <c r="W100" s="76" t="s">
        <v>1170</v>
      </c>
      <c r="X100" s="88" t="s">
        <v>1171</v>
      </c>
      <c r="Y100" s="89" t="s">
        <v>1172</v>
      </c>
      <c r="Z100" s="63" t="s">
        <v>1173</v>
      </c>
      <c r="AA100" s="79" t="s">
        <v>64</v>
      </c>
      <c r="AB100" s="65"/>
      <c r="AC100" s="66"/>
      <c r="AD100" s="67"/>
      <c r="AE100" s="65"/>
      <c r="AF100" s="65"/>
      <c r="AG100" s="66"/>
      <c r="AH100" s="67"/>
      <c r="AI100" s="65"/>
      <c r="AJ100" s="65"/>
      <c r="AK100" s="66"/>
      <c r="AL100" s="67"/>
      <c r="AM100" s="36"/>
      <c r="AN100" s="65"/>
      <c r="AO100" s="68" t="str">
        <f t="shared" si="6"/>
        <v>Obecne sluzby Domanovce s. r. o., r. s. p. polnohospodarstvo a lesnictvo, stavebnictvo, potraviny a napoje, elektro, ine (tovary a sluzby), &amp;#32vsetky kategorie  053 02 Domanovce Obecne sluzby Domanovce s.r.o., r.s.p. boli zriadene obcou so 100% ucastou obce. Jedna sa o obecny podnik, ktoreho hlavnym cielom spolocnosti nie je a nebude vytvaranie zisku pre zisk, ale zamestnavanie predovsetkym miestneho obyvatelstva. Prijmy z podnikania budu pouzite na dalsi rozvoj a v prospech obce. Medzi hlavne podnikatelske cinnosti podniku patri stavebna cinnost – pripravne prace k realizacii stavby, dokoncovacie stavebne prace. Nasim cielom je poskytnutie takych sluzieb v mikroregione, ktore tu ziadna ina organizacia neposkytuje, a to montaz kablovych zvazkov, poskytovanie sluzieb v oblasti rychleho obcerstvenia - predaj napojov a polotovarov (obecna cukraren) a pestovanie rakytnika. Zamestnavame znevyhodnene osoby. Obecne sluzby s.r.o, r.s.p. Stavebna cinnost, montaz kablovych zvazkov, predaj zakuskov, kavy, cokolady, zmrzliny, cukroviniek, panin, napojov, pestovanie rakytnika. cukraren, kaviaren, stavebne prace, udrzba verejnych priestranstiev, montaz kablovych zvazkov, rakytnik           </v>
      </c>
      <c r="AP100" s="82"/>
    </row>
    <row r="101" ht="15.75" customHeight="1">
      <c r="A101" s="45"/>
      <c r="B101" s="70">
        <v>99.0</v>
      </c>
      <c r="C101" s="106" t="s">
        <v>1174</v>
      </c>
      <c r="D101" s="42" t="s">
        <v>94</v>
      </c>
      <c r="E101" s="43" t="str">
        <f t="shared" si="1"/>
        <v>Bratislavský kraj, &amp;#32celé Slovensko</v>
      </c>
      <c r="F101" s="71" t="s">
        <v>1175</v>
      </c>
      <c r="G101" s="43" t="str">
        <f t="shared" si="2"/>
        <v>dom a záhrada, krása-zdravie-relax, reklama, pre deti, iné (tovary a služby), &amp;#32všetky kategórie</v>
      </c>
      <c r="H101" s="44" t="s">
        <v>53</v>
      </c>
      <c r="I101" s="45" t="str">
        <f t="shared" si="3"/>
        <v>1 - 5, &amp;#32všetky možnosti</v>
      </c>
      <c r="J101" s="46" t="str">
        <f t="shared" si="4"/>
        <v>,</v>
      </c>
      <c r="K101" s="47">
        <f t="shared" si="5"/>
        <v>14210.35742</v>
      </c>
      <c r="L101" s="45"/>
      <c r="M101" s="48" t="str">
        <f>IFERROR(__xludf.DUMMYFUNCTION("SPLIT(O101,"","")"),"Biskupická 3")</f>
        <v>Biskupická 3</v>
      </c>
      <c r="N101" s="48" t="str">
        <f>IFERROR(__xludf.DUMMYFUNCTION("""COMPUTED_VALUE""")," 821 06 Bratislava ")</f>
        <v> 821 06 Bratislava </v>
      </c>
      <c r="O101" s="49" t="s">
        <v>1176</v>
      </c>
      <c r="P101" s="50">
        <v>48.1281571</v>
      </c>
      <c r="Q101" s="50">
        <v>17.2056473</v>
      </c>
      <c r="R101" s="73" t="s">
        <v>1177</v>
      </c>
      <c r="S101" s="86" t="s">
        <v>1178</v>
      </c>
      <c r="T101" s="87" t="s">
        <v>1179</v>
      </c>
      <c r="U101" s="75" t="s">
        <v>1180</v>
      </c>
      <c r="V101" s="55" t="s">
        <v>1181</v>
      </c>
      <c r="W101" s="76" t="s">
        <v>1182</v>
      </c>
      <c r="X101" s="88" t="s">
        <v>1183</v>
      </c>
      <c r="Y101" s="89" t="s">
        <v>1184</v>
      </c>
      <c r="Z101" s="63" t="s">
        <v>1185</v>
      </c>
      <c r="AA101" s="79" t="s">
        <v>64</v>
      </c>
      <c r="AB101" s="65"/>
      <c r="AC101" s="66"/>
      <c r="AD101" s="67"/>
      <c r="AE101" s="65"/>
      <c r="AF101" s="65"/>
      <c r="AG101" s="66"/>
      <c r="AH101" s="67"/>
      <c r="AI101" s="65"/>
      <c r="AJ101" s="65"/>
      <c r="AK101" s="66"/>
      <c r="AL101" s="67"/>
      <c r="AM101" s="36"/>
      <c r="AN101" s="65"/>
      <c r="AO101" s="68" t="str">
        <f t="shared" si="6"/>
        <v>Rozkvitnes, s. r. o. dom a zahrada, krasa-zdravie-relax, reklama, pre deti, ine (tovary a sluzby), &amp;#32vsetky kategorie  821 06 Bratislava  Predmetom cinnosti spolocnosti Rozkvitnes, s.r.o. je viazanie kytic pre rozne prilezitosti, kvetinove boxy, smutocne vence alebo aranzovanie kvetinovej vyzdoby do exterieru a interieru. Kytice sa budu viazat v roznych velkostiach od mensich a lacnejsich po vacsie a drahsie, podla prilezitosti aby si kazdy prisiel na svoje. V nasom zaujme je spolupracovat aj s roznymi firmami, ktorym by sme nasimi kvetinovymi vyrobkami skraslovali ich pracovne prostredie. Poskytujeme rovnako aj aranzovanie a vyzdobu priestorov na svadby a rozne ine slavnostne prilezitosti. Spolocnost sa rozhodla zamestnavat znevyhodnene osoby, ktore maju velky problem uplatnit sa na trhu prace. Ci uz su to obcania s chorobou z povolania, alebo ini obcania s invalidnym postihnutim, ktori nie su schopni najst si pracu. Zameriame sa tiez na poskytnutie prace absolventom skol, alebo takym obcanom, ktori sa dlhodobo nevedia zamestnat. Tym budeme podporovat pracovny trh na Slovensku a scasti prispejeme k tomu, aby tito ludia necestovali za pracou do zahranicia. Prijatim tychto osob do pracovno-pravneho vztahu by bolo mozne zvysit ich zivotnu uroven, zabezpecit rozvoj regionu i nasho podnikania a pracovneho kolektivu smerom napred. Rozkvitnes, s.r.o. Ponukame viazanie kytic pre rozne prilezitosti, kvetinove boxy, smutocne vence alebo aranzovanie kvetinovej vyzdoby do exterieru a interieru. kvety, kytica, kvetinova vyzdoba, darcek, veniec, aranzovanie, smutocne vence, kytice           </v>
      </c>
      <c r="AP101" s="69" t="s">
        <v>41</v>
      </c>
    </row>
    <row r="102" ht="15.75" customHeight="1">
      <c r="A102" s="45"/>
      <c r="B102" s="70">
        <v>100.0</v>
      </c>
      <c r="C102" s="108" t="s">
        <v>1186</v>
      </c>
      <c r="D102" s="42" t="s">
        <v>134</v>
      </c>
      <c r="E102" s="43" t="str">
        <f t="shared" si="1"/>
        <v>Trenčiansky kraj, &amp;#32celé Slovensko</v>
      </c>
      <c r="F102" s="42" t="s">
        <v>257</v>
      </c>
      <c r="G102" s="43" t="str">
        <f t="shared" si="2"/>
        <v>odevy a obuv, &amp;#32všetky kategórie</v>
      </c>
      <c r="H102" s="44" t="s">
        <v>53</v>
      </c>
      <c r="I102" s="45" t="str">
        <f t="shared" si="3"/>
        <v>1 - 5, &amp;#32všetky možnosti</v>
      </c>
      <c r="J102" s="46" t="str">
        <f t="shared" si="4"/>
        <v>,</v>
      </c>
      <c r="K102" s="47">
        <f t="shared" si="5"/>
        <v>16057.60308</v>
      </c>
      <c r="L102" s="45"/>
      <c r="M102" s="48" t="str">
        <f>IFERROR(__xludf.DUMMYFUNCTION("SPLIT(O102,"","")"),"Sládkovičova 2545")</f>
        <v>Sládkovičova 2545</v>
      </c>
      <c r="N102" s="48" t="str">
        <f>IFERROR(__xludf.DUMMYFUNCTION("""COMPUTED_VALUE""")," 017 01 Považská Bystrica ")</f>
        <v> 017 01 Považská Bystrica </v>
      </c>
      <c r="O102" s="49" t="s">
        <v>1187</v>
      </c>
      <c r="P102" s="50">
        <v>49.1152003</v>
      </c>
      <c r="Q102" s="109">
        <v>18.4412125</v>
      </c>
      <c r="R102" s="66" t="s">
        <v>1188</v>
      </c>
      <c r="S102" s="86" t="s">
        <v>1189</v>
      </c>
      <c r="T102" s="87" t="s">
        <v>86</v>
      </c>
      <c r="U102" s="75" t="s">
        <v>1190</v>
      </c>
      <c r="V102" s="55" t="s">
        <v>1191</v>
      </c>
      <c r="W102" s="76" t="s">
        <v>1192</v>
      </c>
      <c r="X102" s="77" t="s">
        <v>1186</v>
      </c>
      <c r="Y102" s="78" t="s">
        <v>1193</v>
      </c>
      <c r="Z102" s="63" t="s">
        <v>1194</v>
      </c>
      <c r="AA102" s="79" t="s">
        <v>64</v>
      </c>
      <c r="AB102" s="65"/>
      <c r="AC102" s="66"/>
      <c r="AD102" s="67"/>
      <c r="AE102" s="65"/>
      <c r="AF102" s="65"/>
      <c r="AG102" s="66"/>
      <c r="AH102" s="67"/>
      <c r="AI102" s="65"/>
      <c r="AJ102" s="65"/>
      <c r="AK102" s="66"/>
      <c r="AL102" s="67"/>
      <c r="AM102" s="36"/>
      <c r="AN102" s="65"/>
      <c r="AO102" s="68" t="str">
        <f t="shared" si="6"/>
        <v>CERNAN, s.r.o. odevy a obuv, &amp;#32vsetky kategorie  017 01 Povazska Bystrica  Prevadzkujeme krajcirsku dielnu, v ktorej realizujeme sitie pracovnych odevov, sportovych odevov, lahkej konfekcie. Nasimi zakaznikmi su fyzicke a pravnicke osoby, ponukame im sitie odevov podla ich zadania. Zamestnavame invalidne osoby. CERNAN, s.r.o. Sitie pracovnych a sportovych odevov, lahkej konfekcie. odevy, pracovne odevy, sportove odevy, konfekcia, ruska           </v>
      </c>
      <c r="AP102" s="82"/>
    </row>
    <row r="103" ht="15.75" customHeight="1">
      <c r="A103" s="45"/>
      <c r="B103" s="70">
        <v>101.0</v>
      </c>
      <c r="C103" s="108" t="s">
        <v>1195</v>
      </c>
      <c r="D103" s="42" t="s">
        <v>217</v>
      </c>
      <c r="E103" s="43" t="str">
        <f t="shared" si="1"/>
        <v>Košický kraj, &amp;#32celé Slovensko</v>
      </c>
      <c r="F103" s="71" t="s">
        <v>1196</v>
      </c>
      <c r="G103" s="43" t="str">
        <f t="shared" si="2"/>
        <v>doprava, ochrana a bezpečnosť, vzdelávanie, kultúra a šport, &amp;#32všetky kategórie</v>
      </c>
      <c r="H103" s="44" t="s">
        <v>53</v>
      </c>
      <c r="I103" s="45" t="str">
        <f t="shared" si="3"/>
        <v>1 - 5, &amp;#32všetky možnosti</v>
      </c>
      <c r="J103" s="46" t="str">
        <f t="shared" si="4"/>
        <v>,</v>
      </c>
      <c r="K103" s="47">
        <f t="shared" si="5"/>
        <v>8490.352481</v>
      </c>
      <c r="L103" s="45"/>
      <c r="M103" s="48" t="str">
        <f>IFERROR(__xludf.DUMMYFUNCTION("SPLIT(O103,"","")"),"Kollárova 998/56")</f>
        <v>Kollárova 998/56</v>
      </c>
      <c r="N103" s="48" t="str">
        <f>IFERROR(__xludf.DUMMYFUNCTION("""COMPUTED_VALUE""")," 073 01 Sobrance ")</f>
        <v> 073 01 Sobrance </v>
      </c>
      <c r="O103" s="49" t="s">
        <v>1197</v>
      </c>
      <c r="P103" s="50">
        <v>48.7447822</v>
      </c>
      <c r="Q103" s="109">
        <v>22.1743116</v>
      </c>
      <c r="R103" s="103" t="s">
        <v>1198</v>
      </c>
      <c r="S103" s="36" t="s">
        <v>1199</v>
      </c>
      <c r="T103" s="110" t="s">
        <v>1200</v>
      </c>
      <c r="U103" s="75" t="s">
        <v>1201</v>
      </c>
      <c r="V103" s="55" t="s">
        <v>1202</v>
      </c>
      <c r="W103" s="76" t="s">
        <v>1203</v>
      </c>
      <c r="X103" s="77" t="s">
        <v>1195</v>
      </c>
      <c r="Y103" s="78" t="s">
        <v>1204</v>
      </c>
      <c r="Z103" s="63" t="s">
        <v>1205</v>
      </c>
      <c r="AA103" s="79" t="s">
        <v>64</v>
      </c>
      <c r="AB103" s="65"/>
      <c r="AC103" s="66"/>
      <c r="AD103" s="67"/>
      <c r="AE103" s="65"/>
      <c r="AF103" s="65"/>
      <c r="AG103" s="66"/>
      <c r="AH103" s="67"/>
      <c r="AI103" s="65"/>
      <c r="AJ103" s="65"/>
      <c r="AK103" s="66"/>
      <c r="AL103" s="67"/>
      <c r="AM103" s="36"/>
      <c r="AN103" s="65"/>
      <c r="AO103" s="68" t="str">
        <f t="shared" si="6"/>
        <v>o. z. Detske dopravne ihrisko Sobrance doprava, ochrana a bezpecnost, vzdelavanie, kultura a sport, &amp;#32vsetky kategorie  073 01 Sobrance  Prevadzkujeme detske dopravne ihrisko (DDI) v Sobranciach, na ktorom preferujeme zazitkove formy teoretickeho vyucovania a praktickeho vycviku dopravnej vychovy deti, mladeze a aj ostatneho - dospeleho - obyvatelstva. To vsetko v bezpecnom prostredi cestnej premavky dopravneho ihriska, na troj- a stvorkolesovych sliapacich vozidlach s nosnostou do 150 kg a s vyuzivanim na Slovensku jedinecnych simulatorov - simulatorov vplyvu alkoholu a drog, simulatora narazu a simulatora prevratenia vozidla. Simulatory s obsluhou, ako aj mobilne DDI, prenajimame na akcie zamerane na zvysovanie bezpecnosti cestnej premavky. Prevadzame aplikaciu vodorovneho dopravneho znacenia. Nasimi klientmi su napriklad: materske, zakladne a stredne skoly, samospravy, organy statnej spravy, poistovne, firmy ci individualni zaujemcovia. Zamestnavanim 30% znevyhodnenych alebo zranitelnych osob. o. z. Detske dopravne ihrisko Sobrance Prevadzkovanie detskeho dopravneho ihriska v Sobranciach, pripadne jeho mobilne prevadzkovanie u klienta. Prenajom simulatorov vplyvu alkoholu a drog, simulatora narazu a simulatora prevratenia vozidla s obsluhou. Aplikovanie noveho, alebo renovacia stareho vodorovneho dopravneho znacenia. vzdelavanie, dopravna vychova, simulovanie vplyvu alkoholu a drog, simulacie dopravnych nehod, dopravne znacenie           </v>
      </c>
      <c r="AP103" s="69" t="s">
        <v>41</v>
      </c>
    </row>
    <row r="104" ht="15.75" customHeight="1">
      <c r="A104" s="45"/>
      <c r="B104" s="70">
        <v>102.0</v>
      </c>
      <c r="C104" s="108" t="s">
        <v>1206</v>
      </c>
      <c r="D104" s="42" t="s">
        <v>217</v>
      </c>
      <c r="E104" s="43" t="str">
        <f t="shared" si="1"/>
        <v>Košický kraj, &amp;#32celé Slovensko</v>
      </c>
      <c r="F104" s="71" t="s">
        <v>1207</v>
      </c>
      <c r="G104" s="43" t="str">
        <f t="shared" si="2"/>
        <v>cestovný ruch, účtovníctvo a poradenstvo, potraviny a nápoje, bižutéria a darčekové predmety, &amp;#32všetky kategórie</v>
      </c>
      <c r="H104" s="44" t="s">
        <v>170</v>
      </c>
      <c r="I104" s="45" t="str">
        <f t="shared" si="3"/>
        <v>21 a viac, &amp;#32všetky možnosti</v>
      </c>
      <c r="J104" s="46" t="str">
        <f t="shared" si="4"/>
        <v>,Register partnerov VS</v>
      </c>
      <c r="K104" s="47">
        <f t="shared" si="5"/>
        <v>30558.93378</v>
      </c>
      <c r="L104" s="45"/>
      <c r="M104" s="48" t="str">
        <f>IFERROR(__xludf.DUMMYFUNCTION("SPLIT(O104,"","")"),"Košické Oľšany 124")</f>
        <v>Košické Oľšany 124</v>
      </c>
      <c r="N104" s="48" t="str">
        <f>IFERROR(__xludf.DUMMYFUNCTION("""COMPUTED_VALUE""")," 044 42  Košické Oľšany")</f>
        <v> 044 42  Košické Oľšany</v>
      </c>
      <c r="O104" s="49" t="s">
        <v>1208</v>
      </c>
      <c r="P104" s="50">
        <v>48.7281679</v>
      </c>
      <c r="Q104" s="109">
        <v>21.3410285</v>
      </c>
      <c r="R104" s="66" t="s">
        <v>1209</v>
      </c>
      <c r="S104" s="36" t="s">
        <v>1210</v>
      </c>
      <c r="T104" s="110" t="s">
        <v>1211</v>
      </c>
      <c r="U104" s="75" t="s">
        <v>1212</v>
      </c>
      <c r="V104" s="55" t="s">
        <v>1213</v>
      </c>
      <c r="W104" s="76" t="s">
        <v>1214</v>
      </c>
      <c r="X104" s="77" t="s">
        <v>1215</v>
      </c>
      <c r="Y104" s="78" t="s">
        <v>1216</v>
      </c>
      <c r="Z104" s="63" t="s">
        <v>1217</v>
      </c>
      <c r="AA104" s="79" t="s">
        <v>64</v>
      </c>
      <c r="AB104" s="65"/>
      <c r="AC104" s="66"/>
      <c r="AD104" s="67" t="s">
        <v>1218</v>
      </c>
      <c r="AE104" s="65"/>
      <c r="AF104" s="65"/>
      <c r="AG104" s="66"/>
      <c r="AH104" s="67"/>
      <c r="AI104" s="65"/>
      <c r="AJ104" s="65"/>
      <c r="AK104" s="66"/>
      <c r="AL104" s="67" t="s">
        <v>1218</v>
      </c>
      <c r="AM104" s="52"/>
      <c r="AN104" s="80" t="s">
        <v>39</v>
      </c>
      <c r="AO104" s="68" t="str">
        <f t="shared" si="6"/>
        <v>ALLEGRIA KOSICE ISP s. r. o. cestovny ruch, uctovnictvo a poradenstvo, potraviny a napoje, bizuteria a darcekove predmety, &amp;#32vsetky kategorie  044 42  Kosicke Olsany Integracny socialny podnik Kaviaren od srdca ponuka svojim zakaznikom kaviarenske sluzby, vyrobu zakuskov, toriet, ale aj uctovnicke a mzdove sluzby, vyrobu dekoracnych predmetov a suvenirov. Nasimi zakaznikmi su obyvatelia a navstevnici Kosic, ktori pridu na kavu a kolacik do Kaviarne od srdca. Firmam ponukame vyrobky a sluzby v ramci povinneho nahradneho plnenia, ak nezamestnavaju obcanov so zdravotnym postihnutim. Kaviaren od srdca, ako chranene pracovisko typu Integracny socialny podnik,  zamestnava obcanov so zdravotnym postihnutim, ich asistentov a aj zdravych obcanov v sektore kaviarenskych sluzieb. Svojou cinnostou sa snazime likvidovat bariery, ktore brania ludom so specialnymi potrebami uplatnit sa v spolocnosti. Chceme tak zvysit kvalitu ich zivota a podporit ich v usili o samostatny zivot a integraciu do spolocnosti. Kaviaren od srdca Kaviaren od srdca ponuka svojim zakaznikom kaviarenske sluzby, posedenie pri kave a kolaciku, organizaciu malych akcii (narodeniny, oslavy, ...) vyrobu zakuskov alebo torty na objednavku, spracovanie podvojneho uctovnictva a mzdovej agendy pre pravnicke a fyzicke osoby, vyrobu dekoracnych hand-made vyrobkov a suvenirov. Kaviaren, cheesecake, kava, selfiecinno, cake, home-made vyrobky, uctovnictvo, mzdy, dane, suveniry             Register partnerov VS</v>
      </c>
      <c r="AP104" s="69" t="s">
        <v>41</v>
      </c>
    </row>
    <row r="105" ht="15.75" customHeight="1">
      <c r="A105" s="45"/>
      <c r="B105" s="70">
        <v>103.0</v>
      </c>
      <c r="C105" s="108" t="s">
        <v>1219</v>
      </c>
      <c r="D105" s="42" t="s">
        <v>181</v>
      </c>
      <c r="E105" s="43" t="str">
        <f t="shared" si="1"/>
        <v>Banskobystrický kraj, &amp;#32celé Slovensko</v>
      </c>
      <c r="F105" s="71" t="s">
        <v>1220</v>
      </c>
      <c r="G105" s="43" t="str">
        <f t="shared" si="2"/>
        <v>čistiace a upratovacie služby, dom a záhrada, stavebníctvo, ochrana a bezpečnosť, doprava, ubytovacie a stravovacie služby, potraviny a nápoje, krása-zdravie-relax, bižutéria a darčekové predmety, &amp;#32všetky kategórie</v>
      </c>
      <c r="H105" s="44" t="s">
        <v>68</v>
      </c>
      <c r="I105" s="45" t="str">
        <f t="shared" si="3"/>
        <v>16 - 20, &amp;#32všetky možnosti</v>
      </c>
      <c r="J105" s="46" t="str">
        <f t="shared" si="4"/>
        <v>,Register partnerov VS</v>
      </c>
      <c r="K105" s="47">
        <f t="shared" si="5"/>
        <v>28800.2939</v>
      </c>
      <c r="L105" s="45"/>
      <c r="M105" s="48" t="str">
        <f>IFERROR(__xludf.DUMMYFUNCTION("SPLIT(O105,"","")"),"Zvolenská 242/93")</f>
        <v>Zvolenská 242/93</v>
      </c>
      <c r="N105" s="48" t="str">
        <f>IFERROR(__xludf.DUMMYFUNCTION("""COMPUTED_VALUE""")," 992 01 Modrý Kameň")</f>
        <v> 992 01 Modrý Kameň</v>
      </c>
      <c r="O105" s="49" t="s">
        <v>1221</v>
      </c>
      <c r="P105" s="50">
        <v>48.2409630999999</v>
      </c>
      <c r="Q105" s="109">
        <v>19.3336798</v>
      </c>
      <c r="R105" s="103" t="s">
        <v>1222</v>
      </c>
      <c r="S105" s="36" t="s">
        <v>1002</v>
      </c>
      <c r="T105" s="110" t="s">
        <v>1223</v>
      </c>
      <c r="U105" s="75" t="s">
        <v>1224</v>
      </c>
      <c r="V105" s="55" t="s">
        <v>1225</v>
      </c>
      <c r="W105" s="76" t="s">
        <v>1226</v>
      </c>
      <c r="X105" s="77" t="s">
        <v>1227</v>
      </c>
      <c r="Y105" s="78" t="s">
        <v>1222</v>
      </c>
      <c r="Z105" s="63" t="s">
        <v>1228</v>
      </c>
      <c r="AA105" s="85" t="s">
        <v>129</v>
      </c>
      <c r="AB105" s="65" t="s">
        <v>1229</v>
      </c>
      <c r="AC105" s="66" t="s">
        <v>1230</v>
      </c>
      <c r="AD105" s="67" t="s">
        <v>1231</v>
      </c>
      <c r="AE105" s="90" t="s">
        <v>129</v>
      </c>
      <c r="AF105" s="65" t="s">
        <v>1232</v>
      </c>
      <c r="AG105" s="66" t="s">
        <v>1233</v>
      </c>
      <c r="AH105" s="67" t="s">
        <v>1234</v>
      </c>
      <c r="AI105" s="91" t="s">
        <v>129</v>
      </c>
      <c r="AJ105" s="65" t="s">
        <v>1235</v>
      </c>
      <c r="AK105" s="66" t="s">
        <v>1236</v>
      </c>
      <c r="AL105" s="92" t="s">
        <v>1237</v>
      </c>
      <c r="AM105" s="52"/>
      <c r="AN105" s="80" t="s">
        <v>39</v>
      </c>
      <c r="AO105" s="68" t="str">
        <f t="shared" si="6"/>
        <v>Bariak, s.r.o. cistiace a upratovacie sluzby, dom a zahrada, stavebnictvo, ochrana a bezpecnost, doprava, ubytovacie a stravovacie sluzby, potraviny a napoje, krasa-zdravie-relax, bizuteria a darcekove predmety, &amp;#32vsetky kategorie  992 01 Modry Kamen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Zamestnavame znevyhodnene a zranitelne osoby. Bariak, s. r. o., r. s. p.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potraviny, domace potreby, sluzby, doprava, ubytovanie, predaj, dekoracie Potraviny pod Hradom Predajna potravin potraviny, napoje, pecivo, Predajna drogerie a rozlicneho tovaru Predaj drogerie a rozlicneho tovaru. drogeria, rozlicny tovar, tovar do domacnosti, suveniry, dekoracie a pod. Ubytovacie zariadenie ponukame ubytovacie zariadenie bez pohostenia. ubytovna, ubytovanie, postel, sprcha, wc  Register partnerov VS</v>
      </c>
      <c r="AP105" s="82"/>
    </row>
    <row r="106" ht="15.75" customHeight="1">
      <c r="A106" s="45"/>
      <c r="B106" s="70">
        <v>104.0</v>
      </c>
      <c r="C106" s="108" t="s">
        <v>1238</v>
      </c>
      <c r="D106" s="42" t="s">
        <v>217</v>
      </c>
      <c r="E106" s="43" t="str">
        <f t="shared" si="1"/>
        <v>Košický kraj, &amp;#32celé Slovensko</v>
      </c>
      <c r="F106" s="71" t="s">
        <v>1239</v>
      </c>
      <c r="G106" s="43" t="str">
        <f t="shared" si="2"/>
        <v>doprava, ubytovacie a stravovacie služby, cestovný ruch, &amp;#32všetky kategórie</v>
      </c>
      <c r="H106" s="44" t="s">
        <v>53</v>
      </c>
      <c r="I106" s="45" t="str">
        <f t="shared" si="3"/>
        <v>1 - 5, &amp;#32všetky možnosti</v>
      </c>
      <c r="J106" s="46" t="str">
        <f t="shared" si="4"/>
        <v>,</v>
      </c>
      <c r="K106" s="47">
        <f t="shared" si="5"/>
        <v>9222.910893</v>
      </c>
      <c r="L106" s="45"/>
      <c r="M106" s="48" t="str">
        <f>IFERROR(__xludf.DUMMYFUNCTION("SPLIT(O106,"","")"),"Janigova 1324/9")</f>
        <v>Janigova 1324/9</v>
      </c>
      <c r="N106" s="48" t="str">
        <f>IFERROR(__xludf.DUMMYFUNCTION("""COMPUTED_VALUE""")," 040 23 Košice")</f>
        <v> 040 23 Košice</v>
      </c>
      <c r="O106" s="49" t="s">
        <v>1240</v>
      </c>
      <c r="P106" s="50">
        <v>48.716516</v>
      </c>
      <c r="Q106" s="109">
        <v>21.2073724</v>
      </c>
      <c r="R106" s="103" t="s">
        <v>1241</v>
      </c>
      <c r="S106" s="36" t="s">
        <v>1242</v>
      </c>
      <c r="T106" s="110" t="s">
        <v>1243</v>
      </c>
      <c r="U106" s="75" t="s">
        <v>1244</v>
      </c>
      <c r="V106" s="55" t="s">
        <v>1245</v>
      </c>
      <c r="W106" s="76" t="s">
        <v>1246</v>
      </c>
      <c r="X106" s="77" t="s">
        <v>1247</v>
      </c>
      <c r="Y106" s="78" t="s">
        <v>1248</v>
      </c>
      <c r="Z106" s="63" t="s">
        <v>1249</v>
      </c>
      <c r="AA106" s="79" t="s">
        <v>64</v>
      </c>
      <c r="AB106" s="65"/>
      <c r="AC106" s="66"/>
      <c r="AD106" s="67" t="s">
        <v>1218</v>
      </c>
      <c r="AE106" s="65"/>
      <c r="AF106" s="65"/>
      <c r="AG106" s="66"/>
      <c r="AH106" s="67"/>
      <c r="AI106" s="65"/>
      <c r="AJ106" s="65"/>
      <c r="AK106" s="66"/>
      <c r="AL106" s="67" t="s">
        <v>1218</v>
      </c>
      <c r="AM106" s="36"/>
      <c r="AN106" s="65"/>
      <c r="AO106" s="68" t="str">
        <f t="shared" si="6"/>
        <v>Obcianske zdruzenie Integrujeme doprava, ubytovacie a stravovacie sluzby, cestovny ruch, &amp;#32vsetky kategorie  040 23 Kosice Prevadzka osobnej dopravy do 8 ludi -TAXI, kurierske sluzby pri rozvoze stravy, kratkodobe rekreacne ubytovanie vo Vysokych Tatrach. Podpora regionalneho rozvoja a zamestnanosti zamestnavanim znevyhodnenych obcanov. Apartman B101 Kratkodobe turisticke ubytovanie s polpenziou alebo ranajkami v Restauracii Soul, akceptujeme vsetky dovolenkove kupony, vystavujeme faktury pre rekreacne poukazy. ubytovanie, turisticke ubytovanie, Restauracia Soul, ubytovanie Vysoke Tatry             </v>
      </c>
      <c r="AP106" s="69" t="s">
        <v>41</v>
      </c>
    </row>
    <row r="107" ht="15.75" customHeight="1">
      <c r="A107" s="45"/>
      <c r="B107" s="70">
        <v>105.0</v>
      </c>
      <c r="C107" s="108" t="s">
        <v>1250</v>
      </c>
      <c r="D107" s="42" t="s">
        <v>66</v>
      </c>
      <c r="E107" s="43" t="str">
        <f t="shared" si="1"/>
        <v>Žilinský kraj, &amp;#32celé Slovensko</v>
      </c>
      <c r="F107" s="71" t="s">
        <v>672</v>
      </c>
      <c r="G107" s="43" t="str">
        <f t="shared" si="2"/>
        <v>čistiace a upratovacie služby, dom a záhrada, &amp;#32všetky kategórie</v>
      </c>
      <c r="H107" s="44" t="s">
        <v>96</v>
      </c>
      <c r="I107" s="45" t="str">
        <f t="shared" si="3"/>
        <v>6 - 10, &amp;#32všetky možnosti</v>
      </c>
      <c r="J107" s="46" t="str">
        <f t="shared" si="4"/>
        <v>Servisné poukážky,Register partnerov VS</v>
      </c>
      <c r="K107" s="47">
        <f t="shared" si="5"/>
        <v>32259.64559</v>
      </c>
      <c r="L107" s="45"/>
      <c r="M107" s="48" t="str">
        <f>IFERROR(__xludf.DUMMYFUNCTION("SPLIT(O107,"","")"),"Podhorie 47")</f>
        <v>Podhorie 47</v>
      </c>
      <c r="N107" s="48" t="str">
        <f>IFERROR(__xludf.DUMMYFUNCTION("""COMPUTED_VALUE""")," 031 18 Podhorie")</f>
        <v> 031 18 Podhorie</v>
      </c>
      <c r="O107" s="49" t="s">
        <v>1251</v>
      </c>
      <c r="P107" s="50">
        <v>49.1728374</v>
      </c>
      <c r="Q107" s="109">
        <v>18.6446667</v>
      </c>
      <c r="R107" s="103" t="s">
        <v>1252</v>
      </c>
      <c r="S107" s="36" t="s">
        <v>1253</v>
      </c>
      <c r="T107" s="110" t="s">
        <v>1254</v>
      </c>
      <c r="U107" s="75" t="s">
        <v>1255</v>
      </c>
      <c r="V107" s="55" t="s">
        <v>1256</v>
      </c>
      <c r="W107" s="76" t="s">
        <v>1257</v>
      </c>
      <c r="X107" s="77" t="s">
        <v>1258</v>
      </c>
      <c r="Y107" s="78" t="s">
        <v>1259</v>
      </c>
      <c r="Z107" s="63" t="s">
        <v>1260</v>
      </c>
      <c r="AA107" s="79" t="s">
        <v>64</v>
      </c>
      <c r="AB107" s="65"/>
      <c r="AC107" s="66"/>
      <c r="AD107" s="67" t="s">
        <v>1218</v>
      </c>
      <c r="AE107" s="65"/>
      <c r="AF107" s="65"/>
      <c r="AG107" s="66"/>
      <c r="AH107" s="67"/>
      <c r="AI107" s="65"/>
      <c r="AJ107" s="65"/>
      <c r="AK107" s="66"/>
      <c r="AL107" s="67" t="s">
        <v>1218</v>
      </c>
      <c r="AM107" s="96" t="s">
        <v>320</v>
      </c>
      <c r="AN107" s="80" t="s">
        <v>39</v>
      </c>
      <c r="AO107" s="68" t="str">
        <f t="shared" si="6"/>
        <v>Lubivka, s. r. o. cistiace a upratovacie sluzby, dom a zahrada, &amp;#32vsetky kategorie  031 18 Podhorie Upratovacia sluzba, starostlivost o domacnost klienta - upratovanie, varenie, pranie, zehlenie, starostlivost o zahradu. Nasimi zakaznikmi su bezni zakaznici a osoby odkazane na pomoc. Vykonavame sluzby na podporu zamestnanosti – vytvaranie pracovnych prilezitosti pre osoby znevyhodnene alebo ohrozene na trhu prace. Lubivka s.r.o. Upratovacie sluzby upratovanie, pranie, zehlenie, starostlivost o domacnost a zahradu            Servisne poukazky Register partnerov VS</v>
      </c>
      <c r="AP107" s="82"/>
    </row>
    <row r="108" ht="15.75" customHeight="1">
      <c r="A108" s="45"/>
      <c r="B108" s="70">
        <v>106.0</v>
      </c>
      <c r="C108" s="108" t="s">
        <v>1261</v>
      </c>
      <c r="D108" s="42" t="s">
        <v>80</v>
      </c>
      <c r="E108" s="43" t="str">
        <f t="shared" si="1"/>
        <v>Trnavský kraj, &amp;#32celé Slovensko</v>
      </c>
      <c r="F108" s="71" t="s">
        <v>1262</v>
      </c>
      <c r="G108" s="43" t="str">
        <f t="shared" si="2"/>
        <v>doprava, &amp;#32všetky kategórie</v>
      </c>
      <c r="H108" s="44" t="s">
        <v>53</v>
      </c>
      <c r="I108" s="45" t="str">
        <f t="shared" si="3"/>
        <v>1 - 5, &amp;#32všetky možnosti</v>
      </c>
      <c r="J108" s="46" t="str">
        <f t="shared" si="4"/>
        <v>,</v>
      </c>
      <c r="K108" s="47">
        <f t="shared" si="5"/>
        <v>35593.72017</v>
      </c>
      <c r="L108" s="45"/>
      <c r="M108" s="48" t="str">
        <f>IFERROR(__xludf.DUMMYFUNCTION("SPLIT(O108,"","")"),"Kolónia 482")</f>
        <v>Kolónia 482</v>
      </c>
      <c r="N108" s="48" t="str">
        <f>IFERROR(__xludf.DUMMYFUNCTION("""COMPUTED_VALUE""")," 930 37 Lehnice")</f>
        <v> 930 37 Lehnice</v>
      </c>
      <c r="O108" s="49" t="s">
        <v>1263</v>
      </c>
      <c r="P108" s="50">
        <v>48.0312333</v>
      </c>
      <c r="Q108" s="109">
        <v>17.4497605</v>
      </c>
      <c r="R108" s="103" t="s">
        <v>1264</v>
      </c>
      <c r="S108" s="36" t="s">
        <v>1265</v>
      </c>
      <c r="T108" s="110" t="s">
        <v>86</v>
      </c>
      <c r="U108" s="75" t="s">
        <v>1266</v>
      </c>
      <c r="V108" s="55" t="s">
        <v>1267</v>
      </c>
      <c r="W108" s="76" t="s">
        <v>1268</v>
      </c>
      <c r="X108" s="77" t="s">
        <v>1269</v>
      </c>
      <c r="Y108" s="78" t="s">
        <v>1264</v>
      </c>
      <c r="Z108" s="63" t="s">
        <v>1270</v>
      </c>
      <c r="AA108" s="79" t="s">
        <v>64</v>
      </c>
      <c r="AB108" s="65"/>
      <c r="AC108" s="66"/>
      <c r="AD108" s="67" t="s">
        <v>1218</v>
      </c>
      <c r="AE108" s="65"/>
      <c r="AF108" s="65"/>
      <c r="AG108" s="66"/>
      <c r="AH108" s="67"/>
      <c r="AI108" s="65"/>
      <c r="AJ108" s="65"/>
      <c r="AK108" s="66"/>
      <c r="AL108" s="67" t="s">
        <v>1218</v>
      </c>
      <c r="AM108" s="36"/>
      <c r="AN108" s="65"/>
      <c r="AO108" s="68" t="str">
        <f t="shared" si="6"/>
        <v>VIPE s.r.o. doprava, &amp;#32vsetky kategorie  930 37 Lehnice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Obcania so zdravotnym postihnutim maju dlhodoby problem najst si pracu alebo cinnosti, pri ktorych by mohli byt v spolocnosti uzitocnymi. Pomahame ludom, ktori maju zdravotne problemy a nemaju dostatok prilezitosti, ako sa zaradit do poracovneho procesu a tym sa integrovat do spolocnosti. VIPE s.r.o.,r.s.p.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autodoprava             </v>
      </c>
      <c r="AP108" s="82"/>
    </row>
    <row r="109" ht="15.75" customHeight="1">
      <c r="A109" s="45"/>
      <c r="B109" s="70">
        <v>107.0</v>
      </c>
      <c r="C109" s="108" t="s">
        <v>1271</v>
      </c>
      <c r="D109" s="42" t="s">
        <v>66</v>
      </c>
      <c r="E109" s="43" t="str">
        <f t="shared" si="1"/>
        <v>Žilinský kraj, &amp;#32celé Slovensko</v>
      </c>
      <c r="F109" s="71" t="s">
        <v>1272</v>
      </c>
      <c r="G109" s="43" t="str">
        <f t="shared" si="2"/>
        <v>dom a záhrada, &amp;#32všetky kategórie</v>
      </c>
      <c r="H109" s="44" t="s">
        <v>96</v>
      </c>
      <c r="I109" s="45" t="str">
        <f t="shared" si="3"/>
        <v>6 - 10, &amp;#32všetky možnosti</v>
      </c>
      <c r="J109" s="46" t="str">
        <f t="shared" si="4"/>
        <v>,Register partnerov VS</v>
      </c>
      <c r="K109" s="47">
        <f t="shared" si="5"/>
        <v>27916.5737</v>
      </c>
      <c r="L109" s="45"/>
      <c r="M109" s="48" t="str">
        <f>IFERROR(__xludf.DUMMYFUNCTION("SPLIT(O109,"","")"),"Valča 207")</f>
        <v>Valča 207</v>
      </c>
      <c r="N109" s="48" t="str">
        <f>IFERROR(__xludf.DUMMYFUNCTION("""COMPUTED_VALUE"""),"  038 35 Valča")</f>
        <v>  038 35 Valča</v>
      </c>
      <c r="O109" s="49" t="s">
        <v>1273</v>
      </c>
      <c r="P109" s="50">
        <v>49.0225620999999</v>
      </c>
      <c r="Q109" s="109">
        <v>18.796679</v>
      </c>
      <c r="R109" s="66" t="s">
        <v>1274</v>
      </c>
      <c r="S109" s="36" t="s">
        <v>1275</v>
      </c>
      <c r="T109" s="110" t="s">
        <v>1276</v>
      </c>
      <c r="U109" s="75" t="s">
        <v>1277</v>
      </c>
      <c r="V109" s="55" t="s">
        <v>1278</v>
      </c>
      <c r="W109" s="76" t="s">
        <v>1279</v>
      </c>
      <c r="X109" s="77" t="s">
        <v>1280</v>
      </c>
      <c r="Y109" s="78" t="s">
        <v>1281</v>
      </c>
      <c r="Z109" s="63" t="s">
        <v>1282</v>
      </c>
      <c r="AA109" s="79" t="s">
        <v>64</v>
      </c>
      <c r="AB109" s="65"/>
      <c r="AC109" s="66"/>
      <c r="AD109" s="67" t="s">
        <v>1218</v>
      </c>
      <c r="AE109" s="65"/>
      <c r="AF109" s="65"/>
      <c r="AG109" s="66"/>
      <c r="AH109" s="67"/>
      <c r="AI109" s="65"/>
      <c r="AJ109" s="65"/>
      <c r="AK109" s="66"/>
      <c r="AL109" s="67" t="s">
        <v>1218</v>
      </c>
      <c r="AM109" s="52"/>
      <c r="AN109" s="80" t="s">
        <v>39</v>
      </c>
      <c r="AO109" s="68" t="str">
        <f t="shared" si="6"/>
        <v>BOBGRASS s.r.o. dom a zahrada, &amp;#32vsetky kategorie   038 35 Valca Zahradnicke sluzby - realizacia a udrzba zahrad a parkov, travnikov a futbalovych ihrisk, zavlahovych systemov, predaj zahradnickych potrieb. Nasa spolocnost sa od roku 2016 venuje budovaniu a udrziavaniu zelenej infrastruktury. Pocas tejto doby sme nadobudli dostatok skusenosti. Po realizacii viacerych projektov sme dospeli ku komplexnemu pohladu na nevyuzite moznosti a potencial zelenej infrastruktury. Jedna sa najma o potencial inteligentneho vyuzitia priestoru tak, aby vytvoril podmienky pre oddych a relax, akusi filozofiu oddychoveho priestoru a nie len radove a jednotvarne vysadzanie rastlin. ​Celkove architektonicko-realizacne riesenie predstavuje hlavny potencial a pridanu hodnotu nasich sluzieb. BOBGRASS Sme zahradnicka firma, ktora ponuka svoje sluzby v Martine a jeho okoli. Od kosenia travy, strihania stromov a krikov, zahradnych a terennych uprav, zakladania travnikov, zavlahovych systemov, az po vysadbu drevin. Mame dobre vztahy s nasimi dodavatelmi, vieme poskytnut vyborne ceny aj kvalitne sluzby.
 zavlahove systemy, travniky, ihriska, kosenie, zahrady, vysadba, frezovanie pnov, terenne upravy, predaj zahradnickeho sortimentu, zahradnicky sortiment, zahradna architektura             Register partnerov VS</v>
      </c>
      <c r="AP109" s="82"/>
    </row>
    <row r="110" ht="15.75" customHeight="1">
      <c r="A110" s="45"/>
      <c r="B110" s="70">
        <v>108.0</v>
      </c>
      <c r="C110" s="108" t="s">
        <v>1283</v>
      </c>
      <c r="D110" s="42" t="s">
        <v>134</v>
      </c>
      <c r="E110" s="43" t="str">
        <f t="shared" si="1"/>
        <v>Trenčiansky kraj, &amp;#32celé Slovensko</v>
      </c>
      <c r="F110" s="71" t="s">
        <v>1284</v>
      </c>
      <c r="G110" s="43" t="str">
        <f t="shared" si="2"/>
        <v>reklama, bižutéria a darčekové predmety, iné (tovary a služby), &amp;#32všetky kategórie</v>
      </c>
      <c r="H110" s="44" t="s">
        <v>53</v>
      </c>
      <c r="I110" s="45" t="str">
        <f t="shared" si="3"/>
        <v>1 - 5, &amp;#32všetky možnosti</v>
      </c>
      <c r="J110" s="46" t="str">
        <f t="shared" si="4"/>
        <v>,</v>
      </c>
      <c r="K110" s="47">
        <f t="shared" si="5"/>
        <v>13291.05408</v>
      </c>
      <c r="L110" s="45"/>
      <c r="M110" s="111" t="str">
        <f>IFERROR(__xludf.DUMMYFUNCTION("SPLIT(O110,"","")"),"Tužina 378 972 14 Tužina")</f>
        <v>Tužina 378 972 14 Tužina</v>
      </c>
      <c r="N110" s="48"/>
      <c r="O110" s="49" t="s">
        <v>1285</v>
      </c>
      <c r="P110" s="50">
        <v>48.8937886999999</v>
      </c>
      <c r="Q110" s="109">
        <v>18.6164555</v>
      </c>
      <c r="R110" s="103" t="s">
        <v>1286</v>
      </c>
      <c r="S110" s="36" t="s">
        <v>1287</v>
      </c>
      <c r="T110" s="110" t="s">
        <v>1288</v>
      </c>
      <c r="U110" s="75" t="s">
        <v>1289</v>
      </c>
      <c r="V110" s="55" t="s">
        <v>1290</v>
      </c>
      <c r="W110" s="76" t="s">
        <v>1291</v>
      </c>
      <c r="X110" s="77" t="s">
        <v>1292</v>
      </c>
      <c r="Y110" s="78" t="s">
        <v>1293</v>
      </c>
      <c r="Z110" s="63" t="s">
        <v>1294</v>
      </c>
      <c r="AA110" s="79" t="s">
        <v>64</v>
      </c>
      <c r="AB110" s="65"/>
      <c r="AC110" s="66"/>
      <c r="AD110" s="67" t="s">
        <v>1218</v>
      </c>
      <c r="AE110" s="65"/>
      <c r="AF110" s="65"/>
      <c r="AG110" s="66"/>
      <c r="AH110" s="67"/>
      <c r="AI110" s="65"/>
      <c r="AJ110" s="65"/>
      <c r="AK110" s="66"/>
      <c r="AL110" s="67" t="s">
        <v>1218</v>
      </c>
      <c r="AM110" s="36"/>
      <c r="AN110" s="65"/>
      <c r="AO110" s="68" t="str">
        <f t="shared" si="6"/>
        <v>Darcekovo Erika s. r. o. reklama, bizuteria a darcekove predmety, ine (tovary a sluzby), &amp;#32vsetky kategorie  Vyrabame darcekove a dekoracne predmety na mieru pre zakaznika - personalizovane vysivane produkty (uteraky, osusky, tricka, kucharske zastery, bytovy textil, mikiny, siltovky...) a produkty s potlacou (oblecenie, hrnceky, podnosy...), mydla a kozmeticke produkty s moznostou vyroby vlastnej etikety, darcekove vina (so zlatom, perletou, klasicke vina...), medovina s moznostou vyroby vlastnej etikety, darcekove dezerty a cokolady s venovanim, darcekove caje, sviecky, kozmeticke sady, drevene gravirovane predmety (srdiecka, lopariky, tabulky...), mydlove kytice, darcekove kose a ine - po dohode so zakaznikom moznost vyroby darcekoveho predmetu v pozadovanom mnozstve podla jeho predstav. Vytvarame pracovne miesta pre obcanov so zdravotnym znevyhodnenim. Darcekovo Erika Vyroba a predaj darcekovych a dekoracnych predmetov. Vysivane produkty, potlac, sperky, dezerty, caje, drevene dekoracne predmety s gravirom, sviecky, darcekove kose, mydla, kozmeticke sady, tricka s potlacou, zastery             </v>
      </c>
      <c r="AP110" s="69" t="s">
        <v>41</v>
      </c>
    </row>
    <row r="111" ht="15.75" customHeight="1">
      <c r="A111" s="45"/>
      <c r="B111" s="70">
        <v>109.0</v>
      </c>
      <c r="C111" s="108" t="s">
        <v>1295</v>
      </c>
      <c r="D111" s="42" t="s">
        <v>51</v>
      </c>
      <c r="E111" s="43" t="str">
        <f t="shared" si="1"/>
        <v>Prešovský kraj, &amp;#32celé Slovensko</v>
      </c>
      <c r="F111" s="71" t="s">
        <v>1296</v>
      </c>
      <c r="G111" s="43" t="str">
        <f t="shared" si="2"/>
        <v>poľnohospodárstvo a lesníctvo, &amp;#32všetky kategórie</v>
      </c>
      <c r="H111" s="44" t="s">
        <v>53</v>
      </c>
      <c r="I111" s="45" t="str">
        <f t="shared" si="3"/>
        <v>1 - 5, &amp;#32všetky možnosti</v>
      </c>
      <c r="J111" s="46" t="str">
        <f t="shared" si="4"/>
        <v>,</v>
      </c>
      <c r="K111" s="47">
        <f t="shared" si="5"/>
        <v>26632.88551</v>
      </c>
      <c r="L111" s="45"/>
      <c r="M111" s="48" t="str">
        <f>IFERROR(__xludf.DUMMYFUNCTION("SPLIT(O111,"","")"),"Ihľany 211")</f>
        <v>Ihľany 211</v>
      </c>
      <c r="N111" s="48" t="str">
        <f>IFERROR(__xludf.DUMMYFUNCTION("""COMPUTED_VALUE""")," 059 94 Ihľany")</f>
        <v> 059 94 Ihľany</v>
      </c>
      <c r="O111" s="49" t="s">
        <v>1297</v>
      </c>
      <c r="P111" s="50">
        <v>49.1888326</v>
      </c>
      <c r="Q111" s="109">
        <v>20.536883</v>
      </c>
      <c r="R111" s="103" t="s">
        <v>1298</v>
      </c>
      <c r="S111" s="36" t="s">
        <v>1299</v>
      </c>
      <c r="T111" s="110" t="s">
        <v>86</v>
      </c>
      <c r="U111" s="75" t="s">
        <v>1300</v>
      </c>
      <c r="V111" s="55" t="s">
        <v>1301</v>
      </c>
      <c r="W111" s="76" t="s">
        <v>1302</v>
      </c>
      <c r="X111" s="77" t="s">
        <v>1303</v>
      </c>
      <c r="Y111" s="78" t="s">
        <v>1304</v>
      </c>
      <c r="Z111" s="63" t="s">
        <v>1305</v>
      </c>
      <c r="AA111" s="79" t="s">
        <v>64</v>
      </c>
      <c r="AB111" s="65"/>
      <c r="AC111" s="66"/>
      <c r="AD111" s="67"/>
      <c r="AE111" s="65"/>
      <c r="AF111" s="65"/>
      <c r="AG111" s="66"/>
      <c r="AH111" s="67"/>
      <c r="AI111" s="65"/>
      <c r="AJ111" s="65"/>
      <c r="AK111" s="66"/>
      <c r="AL111" s="67"/>
      <c r="AM111" s="36"/>
      <c r="AN111" s="65"/>
      <c r="AO111" s="68" t="str">
        <f t="shared" si="6"/>
        <v>IHLA, s. r. o. - registrovany socialny podnik polnohospodarstvo a lesnictvo, &amp;#32vsetky kategorie  059 94 Ihlany Nas registrovany socialny podnik ponuka sluzby prevazne v lesnictve. Ide o cinnosti ako napriklad priprava ploch po tazbe (cistenie), zalesnovacia cinnost, ochrana proti burine (vyzinanie), ochrana proti zveri, vychovne zasahy (prerezavky), tazbova cinnost (tazba dreva). Cielom socialneho podniku je ponuknut pracovnu moznost prevazne znevyhodnenym obcanom (ZTP), ktori su tazsie uplatnitelni na trhu prace. IHLA, s. r. o. Cinnosti v lesnictve (priprava ploch po tazbe, ochrana proti zveri, ochrana proti burine, zalesnovanie). Cinnosti v lesnictve,  obnova lesov, vysadba stromov, ochrana lesov           </v>
      </c>
      <c r="AP111" s="82"/>
    </row>
    <row r="112" ht="15.75" customHeight="1">
      <c r="A112" s="45"/>
      <c r="B112" s="70">
        <v>110.0</v>
      </c>
      <c r="C112" s="108" t="s">
        <v>1306</v>
      </c>
      <c r="D112" s="42" t="s">
        <v>134</v>
      </c>
      <c r="E112" s="43" t="str">
        <f t="shared" si="1"/>
        <v>Trenčiansky kraj, &amp;#32celé Slovensko</v>
      </c>
      <c r="F112" s="71" t="s">
        <v>484</v>
      </c>
      <c r="G112" s="43" t="str">
        <f t="shared" si="2"/>
        <v>auto-moto, &amp;#32všetky kategórie</v>
      </c>
      <c r="H112" s="44" t="s">
        <v>68</v>
      </c>
      <c r="I112" s="45" t="str">
        <f t="shared" si="3"/>
        <v>16 - 20, &amp;#32všetky možnosti</v>
      </c>
      <c r="J112" s="46" t="str">
        <f t="shared" si="4"/>
        <v>,Register partnerov VS</v>
      </c>
      <c r="K112" s="47">
        <f t="shared" si="5"/>
        <v>18799.9974</v>
      </c>
      <c r="L112" s="45"/>
      <c r="M112" s="48" t="str">
        <f>IFERROR(__xludf.DUMMYFUNCTION("SPLIT(O112,"","")"),"29. Augusta 44/6")</f>
        <v>29. Augusta 44/6</v>
      </c>
      <c r="N112" s="48" t="str">
        <f>IFERROR(__xludf.DUMMYFUNCTION("""COMPUTED_VALUE""")," 972 51 Handlová")</f>
        <v> 972 51 Handlová</v>
      </c>
      <c r="O112" s="49" t="s">
        <v>1307</v>
      </c>
      <c r="P112" s="50">
        <v>48.7234384</v>
      </c>
      <c r="Q112" s="109">
        <v>18.7575591</v>
      </c>
      <c r="R112" s="103" t="s">
        <v>1308</v>
      </c>
      <c r="S112" s="36" t="s">
        <v>1309</v>
      </c>
      <c r="T112" s="110" t="s">
        <v>86</v>
      </c>
      <c r="U112" s="75" t="s">
        <v>1310</v>
      </c>
      <c r="V112" s="55" t="s">
        <v>1311</v>
      </c>
      <c r="W112" s="76" t="s">
        <v>1312</v>
      </c>
      <c r="X112" s="77" t="s">
        <v>1313</v>
      </c>
      <c r="Y112" s="78" t="s">
        <v>1314</v>
      </c>
      <c r="Z112" s="63" t="s">
        <v>1315</v>
      </c>
      <c r="AA112" s="79" t="s">
        <v>64</v>
      </c>
      <c r="AB112" s="65"/>
      <c r="AC112" s="66"/>
      <c r="AD112" s="67"/>
      <c r="AE112" s="65"/>
      <c r="AF112" s="65"/>
      <c r="AG112" s="66"/>
      <c r="AH112" s="67"/>
      <c r="AI112" s="65"/>
      <c r="AJ112" s="65"/>
      <c r="AK112" s="66"/>
      <c r="AL112" s="67"/>
      <c r="AM112" s="52"/>
      <c r="AN112" s="80" t="s">
        <v>39</v>
      </c>
      <c r="AO112" s="68" t="str">
        <f t="shared" si="6"/>
        <v>C.B. ONE, s.r.o. auto-moto, &amp;#32vsetky kategorie  972 51 Handlova V roku 1991 sme zacali predajom a montazami radiokomunikacnej techniky, neskor sme rozsirili cinnost o dovoz a montaz offroad prislusenstva australskeho vyrobcu ARB na zvysenie priechodnosti a zivotnosti terennych vozidiel. Svojou polohou v strede Slovenska je nasa ponuka dostupna pre zakaznikov z celej republiky. Medzi najcastejsie upravy patri montaz navijakov, uzavierok diferencialu, zvysenych a zatazovych podvozkovych sad, pevnostnych naraznikov, mechanickej ochrany podvozku, radiostanic a pod.
Opakovane vykonavame komplexne upravy vozidiel pre lesnikov, polovnikov, energetikov, vyznamne stavebne firmy, silove a zachranne zlozky, statnu spravu, ci upravy vozidiel pre expedicne a sportove ucely. Najobjektivnejsim dokazom nasej odbornosti je vyhradne zastupenie renomovanej australskej spolocnosti ARB 4x4 Accessories pre Slovensko, ako i americkej spolocnosti PREDATOR 4x4 accessories a inych TOP znaciek. Opakovane vykonavame komplexne upravy vozidiel pre lesnikov, polovnikov, energetikov, vyznamne stavebne firmy, silove a zachranne zlozky, statnu spravu, ci upravy vozidiel pre expedicne a sportove ucely. Predvadzacie stredisko C.B. ONE, s.r.o. Vykonavame komplexne upravy vozidiel a predaj kvalitnych komponentov na motorove vozidla. Mame vyhradne zastupenie australskej spolocnosti ARB 4x4 Accessories pre Slovensko, ako i americkej spolocnosti PREDATOR 4x4 accessories a inych TOP znaciek, napr. OLDMAN EMU, PREDATOR 4x4, KING ONE WINCH,SAFARI SNORKEL, ASFIR, AVM, WARN, CRT- France, SIRIO. Predaj a montaz znackovych komponentov, navijaky, uzavierky diferencialu, zvysene a zatazove podvozkove sady, pevnostne narazniky, mechanicka ochrana podvozku, radiostanice, autosuciastky, autodiely           Register partnerov VS</v>
      </c>
      <c r="AP112" s="82"/>
    </row>
    <row r="113" ht="15.75" customHeight="1">
      <c r="A113" s="45"/>
      <c r="B113" s="70">
        <v>111.0</v>
      </c>
      <c r="C113" s="108" t="s">
        <v>1316</v>
      </c>
      <c r="D113" s="42" t="s">
        <v>228</v>
      </c>
      <c r="E113" s="43" t="str">
        <f t="shared" si="1"/>
        <v>Nitriansky kraj, &amp;#32celé Slovensko</v>
      </c>
      <c r="F113" s="71" t="s">
        <v>1317</v>
      </c>
      <c r="G113" s="43" t="str">
        <f t="shared" si="2"/>
        <v>ochrana a bezpečnosť, &amp;#32všetky kategórie</v>
      </c>
      <c r="H113" s="44" t="s">
        <v>53</v>
      </c>
      <c r="I113" s="45" t="str">
        <f t="shared" si="3"/>
        <v>1 - 5, &amp;#32všetky možnosti</v>
      </c>
      <c r="J113" s="46" t="str">
        <f t="shared" si="4"/>
        <v>,</v>
      </c>
      <c r="K113" s="47">
        <f t="shared" si="5"/>
        <v>7954.467252</v>
      </c>
      <c r="L113" s="45"/>
      <c r="M113" s="48" t="str">
        <f>IFERROR(__xludf.DUMMYFUNCTION("SPLIT(O113,"","")"),"A. Hlinku 484/10A")</f>
        <v>A. Hlinku 484/10A</v>
      </c>
      <c r="N113" s="48" t="str">
        <f>IFERROR(__xludf.DUMMYFUNCTION("""COMPUTED_VALUE""")," 951 31 Močenok")</f>
        <v> 951 31 Močenok</v>
      </c>
      <c r="O113" s="49" t="s">
        <v>1318</v>
      </c>
      <c r="P113" s="50">
        <v>48.2279012</v>
      </c>
      <c r="Q113" s="109">
        <v>17.9275105</v>
      </c>
      <c r="R113" s="103" t="s">
        <v>1319</v>
      </c>
      <c r="S113" s="36" t="s">
        <v>1320</v>
      </c>
      <c r="T113" s="112" t="s">
        <v>86</v>
      </c>
      <c r="U113" s="75" t="s">
        <v>1321</v>
      </c>
      <c r="V113" s="55" t="s">
        <v>1322</v>
      </c>
      <c r="W113" s="76" t="s">
        <v>1323</v>
      </c>
      <c r="X113" s="77" t="s">
        <v>1316</v>
      </c>
      <c r="Y113" s="78" t="s">
        <v>1324</v>
      </c>
      <c r="Z113" s="63" t="s">
        <v>1325</v>
      </c>
      <c r="AA113" s="79" t="s">
        <v>64</v>
      </c>
      <c r="AB113" s="65"/>
      <c r="AC113" s="66"/>
      <c r="AD113" s="67"/>
      <c r="AE113" s="65"/>
      <c r="AF113" s="65"/>
      <c r="AG113" s="66"/>
      <c r="AH113" s="67"/>
      <c r="AI113" s="65"/>
      <c r="AJ113" s="65"/>
      <c r="AK113" s="66"/>
      <c r="AL113" s="67"/>
      <c r="AM113" s="36"/>
      <c r="AN113" s="65"/>
      <c r="AO113" s="68" t="str">
        <f t="shared" si="6"/>
        <v>Obecny podnik Mocenok, s. r. o. ochrana a bezpecnost, &amp;#32vsetky kategorie  951 31 Mocenok Obecny podnik Mocenok, s. r. o. ponuka sluzby spojene s prevadzkou dohladoveho pracoviska kameroveho systemu - vykon prac zameranych na sledovanie kameroveho systemu a vyhodnocovanie moznych naruseni verejneho poriadku, ci ochrany majetku. Obecny podnik Mocenok, s. r. o. splna podmienku dosahovania pozitivneho socialneho vplyvu hlavne znizenim nezamestnanosti znevyhodnenych a najviac zranitelnych osob z obce Mocenok a jej okolia. Pozitivny spolocensky dopad Obecny podnik Mocenok, s.r.o. dosahuje aj svojou cinnostou - prevadzkovanim dohladoveho kameroveho systemu. Obecny podnik Mocenok, s. r. o. Prevadzkovanie dohladoveho pracoviska kameroveho systemu - vykon prac zameranych na sledovanie kameroveho systemu a vyhodnocovanie moznych naruseni verejneho poriadku, ci ochrany majetku. dohladove pracovisko kameroveho systemu           </v>
      </c>
      <c r="AP113" s="82"/>
    </row>
    <row r="114" ht="15.75" customHeight="1">
      <c r="A114" s="45"/>
      <c r="B114" s="70">
        <v>112.0</v>
      </c>
      <c r="C114" s="108" t="s">
        <v>1326</v>
      </c>
      <c r="D114" s="42" t="s">
        <v>228</v>
      </c>
      <c r="E114" s="43" t="str">
        <f t="shared" si="1"/>
        <v>Nitriansky kraj, &amp;#32celé Slovensko</v>
      </c>
      <c r="F114" s="71" t="s">
        <v>1296</v>
      </c>
      <c r="G114" s="43" t="str">
        <f t="shared" si="2"/>
        <v>poľnohospodárstvo a lesníctvo, &amp;#32všetky kategórie</v>
      </c>
      <c r="H114" s="44" t="s">
        <v>68</v>
      </c>
      <c r="I114" s="45" t="str">
        <f t="shared" si="3"/>
        <v>16 - 20, &amp;#32všetky možnosti</v>
      </c>
      <c r="J114" s="46" t="str">
        <f t="shared" si="4"/>
        <v>,Register partnerov VS</v>
      </c>
      <c r="K114" s="47">
        <f t="shared" si="5"/>
        <v>39214.92681</v>
      </c>
      <c r="L114" s="45"/>
      <c r="M114" s="48" t="str">
        <f>IFERROR(__xludf.DUMMYFUNCTION("SPLIT(O114,"","")"),"Tajná 163")</f>
        <v>Tajná 163</v>
      </c>
      <c r="N114" s="48" t="str">
        <f>IFERROR(__xludf.DUMMYFUNCTION("""COMPUTED_VALUE""")," 952 01 Tajná")</f>
        <v> 952 01 Tajná</v>
      </c>
      <c r="O114" s="49" t="s">
        <v>1327</v>
      </c>
      <c r="P114" s="50">
        <v>48.2556924</v>
      </c>
      <c r="Q114" s="109">
        <v>18.358972</v>
      </c>
      <c r="R114" s="66" t="s">
        <v>1328</v>
      </c>
      <c r="S114" s="36" t="s">
        <v>1329</v>
      </c>
      <c r="T114" s="110" t="s">
        <v>1330</v>
      </c>
      <c r="U114" s="113" t="s">
        <v>1331</v>
      </c>
      <c r="V114" s="55" t="s">
        <v>1332</v>
      </c>
      <c r="W114" s="76" t="s">
        <v>1333</v>
      </c>
      <c r="X114" s="77" t="s">
        <v>1326</v>
      </c>
      <c r="Y114" s="78" t="s">
        <v>1334</v>
      </c>
      <c r="Z114" s="63" t="s">
        <v>1335</v>
      </c>
      <c r="AA114" s="79" t="s">
        <v>64</v>
      </c>
      <c r="AB114" s="65"/>
      <c r="AC114" s="66"/>
      <c r="AD114" s="67"/>
      <c r="AE114" s="65"/>
      <c r="AF114" s="65"/>
      <c r="AG114" s="66"/>
      <c r="AH114" s="67"/>
      <c r="AI114" s="65"/>
      <c r="AJ114" s="65"/>
      <c r="AK114" s="66"/>
      <c r="AL114" s="67"/>
      <c r="AM114" s="52"/>
      <c r="AN114" s="80" t="s">
        <v>39</v>
      </c>
      <c r="AO114" s="68" t="str">
        <f t="shared" si="6"/>
        <v>AGRO SOCIALNY PODNIK s.r.o polnohospodarstvo a lesnictvo, &amp;#32vsetky kategorie  952 01 Tajna Sluzby v oblasti polnohospodarskej prvovyroby, sluzby vo vinohrade, zelene prace, zahradnicky servis. Integrujeme marginalizovane skupiny obyvatelov. AGRO SOCIALNY PODNIK s.r.o Sluzby v oblasti starostlivosti o vinohrad. zelene prace, prace vo vinohrade, pomocne stavebne prace, vykopove prace, buracie prace           Register partnerov VS</v>
      </c>
      <c r="AP114" s="82"/>
    </row>
    <row r="115" ht="15.75" customHeight="1">
      <c r="A115" s="45"/>
      <c r="B115" s="70">
        <v>113.0</v>
      </c>
      <c r="C115" s="108" t="s">
        <v>1336</v>
      </c>
      <c r="D115" s="42" t="s">
        <v>94</v>
      </c>
      <c r="E115" s="43" t="str">
        <f t="shared" si="1"/>
        <v>Bratislavský kraj, &amp;#32celé Slovensko</v>
      </c>
      <c r="F115" s="71" t="s">
        <v>1337</v>
      </c>
      <c r="G115" s="43" t="str">
        <f t="shared" si="2"/>
        <v>krása-zdravie-relax, účtovníctvo a poradenstvo, vzdelávanie, pre deti, &amp;#32všetky kategórie</v>
      </c>
      <c r="H115" s="44" t="s">
        <v>82</v>
      </c>
      <c r="I115" s="45" t="str">
        <f t="shared" si="3"/>
        <v>11 - 15, &amp;#32všetky možnosti</v>
      </c>
      <c r="J115" s="46" t="str">
        <f t="shared" si="4"/>
        <v>,Register partnerov VS</v>
      </c>
      <c r="K115" s="47">
        <f t="shared" si="5"/>
        <v>14167.07731</v>
      </c>
      <c r="L115" s="45"/>
      <c r="M115" s="48" t="str">
        <f>IFERROR(__xludf.DUMMYFUNCTION("SPLIT(O115,"","")"),"Lichnerova 41")</f>
        <v>Lichnerova 41</v>
      </c>
      <c r="N115" s="48" t="str">
        <f>IFERROR(__xludf.DUMMYFUNCTION("""COMPUTED_VALUE""")," 903 01 Senec")</f>
        <v> 903 01 Senec</v>
      </c>
      <c r="O115" s="49" t="s">
        <v>1338</v>
      </c>
      <c r="P115" s="50">
        <v>48.2184685</v>
      </c>
      <c r="Q115" s="109">
        <v>17.4030421</v>
      </c>
      <c r="R115" s="103" t="s">
        <v>1339</v>
      </c>
      <c r="S115" s="36" t="s">
        <v>1340</v>
      </c>
      <c r="T115" s="110" t="s">
        <v>1341</v>
      </c>
      <c r="U115" s="75" t="s">
        <v>1342</v>
      </c>
      <c r="V115" s="55" t="s">
        <v>1343</v>
      </c>
      <c r="W115" s="76" t="s">
        <v>1344</v>
      </c>
      <c r="X115" s="77" t="s">
        <v>1345</v>
      </c>
      <c r="Y115" s="78" t="s">
        <v>1346</v>
      </c>
      <c r="Z115" s="63" t="s">
        <v>1347</v>
      </c>
      <c r="AA115" s="79" t="s">
        <v>64</v>
      </c>
      <c r="AB115" s="65"/>
      <c r="AC115" s="66"/>
      <c r="AD115" s="67"/>
      <c r="AE115" s="65"/>
      <c r="AF115" s="65"/>
      <c r="AG115" s="66"/>
      <c r="AH115" s="67"/>
      <c r="AI115" s="65"/>
      <c r="AJ115" s="65"/>
      <c r="AK115" s="66"/>
      <c r="AL115" s="67"/>
      <c r="AM115" s="52"/>
      <c r="AN115" s="80" t="s">
        <v>39</v>
      </c>
      <c r="AO115" s="68" t="str">
        <f t="shared" si="6"/>
        <v>WELLNEA s. r. o., r. s. p. krasa-zdravie-relax, uctovnictvo a poradenstvo, vzdelavanie, pre deti, &amp;#32vsetky kategorie  903 01 Senec Sluzby salonu krasy (kadernictvo, kozmetika, manikura, pedikura, masaze) a poradenstvo zamerane na regeneraciu a rekondiciu dusevnych a fyzickych sil pre siroku verejnost.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Organizacia kulturnych a inych spolocenskych podujati.
Vyroba didaktickych pomocok a uciacich hraciek pre deti so specialno-vzdelavacimi a vychovnymi potrebami, vratane deti so zdravotnym znevyhodnenim. Pozitivnym socialnym vplyvom nasej spolocnosti je podpora regionalneho rozvoja a zamestnanosti, a to prostrednictvom zamestnavania znevyhodnenych osob a zranitelnych osob najma z radov zdravotne znevyhodnenych obcanov a umoznenie ich pracovnej integracie. WELLNEA s.r.o., r.s.p. 
Sluzby salonu krasy (kadernictvo, kozmetika, manikura, pedikura, masaze) a poradenstvo zamerane na regeneraciu a rekondiciu dusevnych a fyzickych sil.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
Organizacia kulturnych a inych spolocenskych podujati;
Vyroba didaktickych pomocok a uciacich hraciek pre deti so specialno- vzdelavacimi a vychovnymi potrebami vratane deti so zdravotnym znevyhodnenim. vlasy, nechty, nohy, ruky, farbenie vlasov, gelove nechty, pedikura, manikura, kadernictvo, kozmetika, masaze, konzultacie, skolenia, eventy, spolocenske akcie, pomocky pre postihnute deti           Register partnerov VS</v>
      </c>
      <c r="AP115" s="69" t="s">
        <v>41</v>
      </c>
    </row>
    <row r="116" ht="15.75" customHeight="1">
      <c r="A116" s="45"/>
      <c r="B116" s="70">
        <v>114.0</v>
      </c>
      <c r="C116" s="108" t="s">
        <v>1348</v>
      </c>
      <c r="D116" s="42" t="s">
        <v>94</v>
      </c>
      <c r="E116" s="43" t="str">
        <f t="shared" si="1"/>
        <v>Bratislavský kraj, &amp;#32celé Slovensko</v>
      </c>
      <c r="F116" s="71" t="s">
        <v>1349</v>
      </c>
      <c r="G116" s="43" t="str">
        <f t="shared" si="2"/>
        <v>obaly, &amp;#32všetky kategórie</v>
      </c>
      <c r="H116" s="44" t="s">
        <v>82</v>
      </c>
      <c r="I116" s="45" t="str">
        <f t="shared" si="3"/>
        <v>11 - 15, &amp;#32všetky možnosti</v>
      </c>
      <c r="J116" s="46" t="str">
        <f t="shared" si="4"/>
        <v>,Register partnerov VS</v>
      </c>
      <c r="K116" s="47">
        <f t="shared" si="5"/>
        <v>18184.40299</v>
      </c>
      <c r="L116" s="45"/>
      <c r="M116" s="48" t="str">
        <f>IFERROR(__xludf.DUMMYFUNCTION("SPLIT(O116,"","")"),"Potočná 42")</f>
        <v>Potočná 42</v>
      </c>
      <c r="N116" s="48" t="str">
        <f>IFERROR(__xludf.DUMMYFUNCTION("""COMPUTED_VALUE""")," 900 84 Báhoň")</f>
        <v> 900 84 Báhoň</v>
      </c>
      <c r="O116" s="49" t="s">
        <v>1350</v>
      </c>
      <c r="P116" s="50">
        <v>48.3060621</v>
      </c>
      <c r="Q116" s="109">
        <v>17.4445623</v>
      </c>
      <c r="R116" s="103" t="s">
        <v>1351</v>
      </c>
      <c r="S116" s="36" t="s">
        <v>1352</v>
      </c>
      <c r="T116" s="110" t="s">
        <v>86</v>
      </c>
      <c r="U116" s="75" t="s">
        <v>1353</v>
      </c>
      <c r="V116" s="55" t="s">
        <v>1354</v>
      </c>
      <c r="W116" s="76" t="s">
        <v>1355</v>
      </c>
      <c r="X116" s="77" t="s">
        <v>1356</v>
      </c>
      <c r="Y116" s="78" t="s">
        <v>1357</v>
      </c>
      <c r="Z116" s="63" t="s">
        <v>1358</v>
      </c>
      <c r="AA116" s="79" t="s">
        <v>64</v>
      </c>
      <c r="AB116" s="65"/>
      <c r="AC116" s="66"/>
      <c r="AD116" s="67"/>
      <c r="AE116" s="65"/>
      <c r="AF116" s="65"/>
      <c r="AG116" s="66"/>
      <c r="AH116" s="67"/>
      <c r="AI116" s="65"/>
      <c r="AJ116" s="65"/>
      <c r="AK116" s="66"/>
      <c r="AL116" s="67"/>
      <c r="AM116" s="52"/>
      <c r="AN116" s="80" t="s">
        <v>39</v>
      </c>
      <c r="AO116" s="68" t="str">
        <f t="shared" si="6"/>
        <v>LUDIB, s. r. o. obaly, &amp;#32vsetky kategorie  900 84 Bahon Robime baliace cinnosti, triedenie a balenie spojovacieho materialu. Zamestnavame invalidnych obcanov. LUDIB s.r.o., r.s.p. Baliace cinnosti balenie spojovacieho materialu, obaly           Register partnerov VS</v>
      </c>
      <c r="AP116" s="69" t="s">
        <v>41</v>
      </c>
    </row>
    <row r="117" ht="15.75" customHeight="1">
      <c r="A117" s="45"/>
      <c r="B117" s="70">
        <v>115.0</v>
      </c>
      <c r="C117" s="108" t="s">
        <v>1359</v>
      </c>
      <c r="D117" s="42" t="s">
        <v>217</v>
      </c>
      <c r="E117" s="43" t="str">
        <f t="shared" si="1"/>
        <v>Košický kraj, &amp;#32celé Slovensko</v>
      </c>
      <c r="F117" s="71" t="s">
        <v>1360</v>
      </c>
      <c r="G117" s="43" t="str">
        <f t="shared" si="2"/>
        <v>čistiace a upratovacie služby, potraviny a nápoje, dom a záhrada, iné (tovary a služby), &amp;#32všetky kategórie</v>
      </c>
      <c r="H117" s="44" t="s">
        <v>82</v>
      </c>
      <c r="I117" s="45" t="str">
        <f t="shared" si="3"/>
        <v>11 - 15, &amp;#32všetky možnosti</v>
      </c>
      <c r="J117" s="46" t="str">
        <f t="shared" si="4"/>
        <v>,Register partnerov VS</v>
      </c>
      <c r="K117" s="47">
        <f t="shared" si="5"/>
        <v>21645.68267</v>
      </c>
      <c r="L117" s="45"/>
      <c r="M117" s="48" t="str">
        <f>IFERROR(__xludf.DUMMYFUNCTION("SPLIT(O117,"","")"),"Krásnohorská Dlhá Lúka 165")</f>
        <v>Krásnohorská Dlhá Lúka 165</v>
      </c>
      <c r="N117" s="48" t="str">
        <f>IFERROR(__xludf.DUMMYFUNCTION("""COMPUTED_VALUE""")," 049 45 Krásnohorská Dlhá Lúka ")</f>
        <v> 049 45 Krásnohorská Dlhá Lúka </v>
      </c>
      <c r="O117" s="49" t="s">
        <v>1361</v>
      </c>
      <c r="P117" s="50">
        <v>48.6252055</v>
      </c>
      <c r="Q117" s="109">
        <v>20.5792732</v>
      </c>
      <c r="R117" s="103" t="s">
        <v>1362</v>
      </c>
      <c r="S117" s="36" t="s">
        <v>1363</v>
      </c>
      <c r="T117" s="110" t="s">
        <v>1364</v>
      </c>
      <c r="U117" s="75" t="s">
        <v>1365</v>
      </c>
      <c r="V117" s="55" t="s">
        <v>1366</v>
      </c>
      <c r="W117" s="76" t="s">
        <v>1367</v>
      </c>
      <c r="X117" s="77" t="s">
        <v>1359</v>
      </c>
      <c r="Y117" s="78" t="s">
        <v>1368</v>
      </c>
      <c r="Z117" s="63" t="s">
        <v>1369</v>
      </c>
      <c r="AA117" s="85" t="s">
        <v>129</v>
      </c>
      <c r="AB117" s="65" t="s">
        <v>1370</v>
      </c>
      <c r="AC117" s="66" t="s">
        <v>1371</v>
      </c>
      <c r="AD117" s="67" t="s">
        <v>1372</v>
      </c>
      <c r="AE117" s="90" t="s">
        <v>129</v>
      </c>
      <c r="AF117" s="65" t="s">
        <v>1373</v>
      </c>
      <c r="AG117" s="66" t="s">
        <v>1374</v>
      </c>
      <c r="AH117" s="67" t="s">
        <v>1375</v>
      </c>
      <c r="AI117" s="65" t="s">
        <v>64</v>
      </c>
      <c r="AJ117" s="65"/>
      <c r="AK117" s="66"/>
      <c r="AL117" s="67"/>
      <c r="AM117" s="52"/>
      <c r="AN117" s="80" t="s">
        <v>39</v>
      </c>
      <c r="AO117" s="68" t="str">
        <f t="shared" si="6"/>
        <v>BUZGO registrovany socialny podnik, s.r.o. (skratene BUZGO r.s.p., s.r.o.) cistiace a upratovacie sluzby, potraviny a napoje, dom a zahrada, ine (tovary a sluzby), &amp;#32vsetky kategorie  049 45 Krasnohorska Dlha Luka  Nasim cielom je prispiet k zvyseniu zamestnanosti, spolocenskej sudrznosti a regionalnemu rozvoju. Chceme oslovit vsetkych, ktori maju zaujem zmenit Slovensko k lepsiemu. Nase cinnosti su zamerane na papierovu hygienu, servisne sluzby a pohostinstvo. O papierovej hygiene sa dozviete v nasom e-shope: https://www.buzgopaper.sk/. Servisne prace - zamerali sme sa na upratovanie, malovanie, zimnu udrzbu, kosenie a dopravu zdravotne postihnutych. Zamestnanost, spolocenska sudrznost a regionalny rozvoj. BUZGO registrovany socialny podnik, s.r.o. (skratene BUZGO r.s.p., s.r.o.) Papierova hygiena - papierove utierky, toaletny papier a boxy pre dodavany tovar. Profesionalne riesenia pre skoly, obce, firmy aj jednotlivcov.  Papierove utierky, toaletny papier, papierova hygiena, obrusky papierove, priemyselne utierky BUZGO pohostinstvo Pohostinstvo - obcerstvenie, prijemne posedenie s priatelmi, kvalitne suroviny a ustretove sluzby. Realizujeme spolocenske akcie a oslavy. pohostinstvo, krcma, vycap, spolocenske akcie, organizovanie oslav, party BUZGO registrovany socialny podnik, s.r.o. (skratene BUZGO r.s.p.,s.r.o.) Upratovacie sluzby. Byty rodinne domy, administrativne budovy, vyrobne haly, exterier, interier. Upratovanie, upratovacie sluzby, cistenie, zimna udrzba, malovanie, kosenie     Register partnerov VS</v>
      </c>
      <c r="AP117" s="69" t="s">
        <v>41</v>
      </c>
    </row>
    <row r="118" ht="15.75" customHeight="1">
      <c r="A118" s="45"/>
      <c r="B118" s="70">
        <v>116.0</v>
      </c>
      <c r="C118" s="108" t="s">
        <v>1376</v>
      </c>
      <c r="D118" s="42" t="s">
        <v>181</v>
      </c>
      <c r="E118" s="43" t="str">
        <f t="shared" si="1"/>
        <v>Banskobystrický kraj, &amp;#32celé Slovensko</v>
      </c>
      <c r="F118" s="71" t="s">
        <v>396</v>
      </c>
      <c r="G118" s="43" t="str">
        <f t="shared" si="2"/>
        <v>iné (tovary a služby), &amp;#32všetky kategórie</v>
      </c>
      <c r="H118" s="44" t="s">
        <v>96</v>
      </c>
      <c r="I118" s="45" t="str">
        <f t="shared" si="3"/>
        <v>6 - 10, &amp;#32všetky možnosti</v>
      </c>
      <c r="J118" s="46" t="str">
        <f t="shared" si="4"/>
        <v>,Register partnerov VS</v>
      </c>
      <c r="K118" s="47">
        <f t="shared" si="5"/>
        <v>8158.866524</v>
      </c>
      <c r="L118" s="45"/>
      <c r="M118" s="48" t="str">
        <f>IFERROR(__xludf.DUMMYFUNCTION("SPLIT(O118,"","")"),"Nemčianska cesta 102/113")</f>
        <v>Nemčianska cesta 102/113</v>
      </c>
      <c r="N118" s="48" t="str">
        <f>IFERROR(__xludf.DUMMYFUNCTION("""COMPUTED_VALUE""")," 974 01 Nemce ")</f>
        <v> 974 01 Nemce </v>
      </c>
      <c r="O118" s="49" t="s">
        <v>1377</v>
      </c>
      <c r="P118" s="50">
        <v>48.7651307</v>
      </c>
      <c r="Q118" s="109">
        <v>19.1846308</v>
      </c>
      <c r="R118" s="103" t="s">
        <v>1378</v>
      </c>
      <c r="S118" s="36" t="s">
        <v>1379</v>
      </c>
      <c r="T118" s="110" t="s">
        <v>86</v>
      </c>
      <c r="U118" s="75" t="s">
        <v>1380</v>
      </c>
      <c r="V118" s="55" t="s">
        <v>1381</v>
      </c>
      <c r="W118" s="76" t="s">
        <v>1382</v>
      </c>
      <c r="X118" s="77" t="s">
        <v>1383</v>
      </c>
      <c r="Y118" s="78" t="s">
        <v>1384</v>
      </c>
      <c r="Z118" s="63" t="s">
        <v>1385</v>
      </c>
      <c r="AA118" s="79" t="s">
        <v>64</v>
      </c>
      <c r="AB118" s="65"/>
      <c r="AC118" s="66"/>
      <c r="AD118" s="67"/>
      <c r="AE118" s="65"/>
      <c r="AF118" s="65"/>
      <c r="AG118" s="66"/>
      <c r="AH118" s="67"/>
      <c r="AI118" s="65"/>
      <c r="AJ118" s="65"/>
      <c r="AK118" s="66"/>
      <c r="AL118" s="67"/>
      <c r="AM118" s="52"/>
      <c r="AN118" s="80" t="s">
        <v>39</v>
      </c>
      <c r="AO118" s="68" t="str">
        <f t="shared" si="6"/>
        <v>VYGAST s.r.o. ine (tovary a sluzby), &amp;#32vsetky kategorie  974 01 Nemce  Vyroba specialneho zdravotnickeho materialu z gazy - vyrabame a ponukame presivane tampony, stacane tampony, longety, skladanu gazu a prierezy, ktore sa pouzivaju na susenie a osetrovanie ran na operacnych salach, oddeleniach v nemocniciach a v ambulanciach. Vyrobky su site, stacane a skladane rucne v roznych rozmeroch a vrstvach podla specialnych poziadaviek. Nasimi zakaznikmi su zdravotnicke zariadenia, lekarne, distribucne spolocnosti a veterinarne ambulancie. Najvacsi objem nasich produktov dodavame do statnych koncovych nemocnic, specializovanych ustavov, vseobecnych nemocnic a sukromnym klinikam. Podmienku dosahovania pozitivneho socialneho vplyvu splname v zamestnavani zdravotne znevyhodnenych pracovnikov a ponukou slovenskych vyrobkov do nemocnic na osetrovanie pacientov. VYGAST s.r.o., r.s.p. Vyrabame presivane tampony z gazy, stacane tampony, longety, skladanu gazu, gazove prierezy. specialny zdravotnicky material z gazy , tampony, longety, gaza           Register partnerov VS</v>
      </c>
      <c r="AP118" s="69" t="s">
        <v>41</v>
      </c>
    </row>
    <row r="119" ht="15.75" customHeight="1">
      <c r="A119" s="45"/>
      <c r="B119" s="70">
        <v>117.0</v>
      </c>
      <c r="C119" s="108" t="s">
        <v>1386</v>
      </c>
      <c r="D119" s="42" t="s">
        <v>51</v>
      </c>
      <c r="E119" s="43" t="str">
        <f t="shared" si="1"/>
        <v>Prešovský kraj, &amp;#32celé Slovensko</v>
      </c>
      <c r="F119" s="71" t="s">
        <v>1387</v>
      </c>
      <c r="G119" s="43" t="str">
        <f t="shared" si="2"/>
        <v>čistiace a upratovacie služby, krása-zdravie-relax, &amp;#32všetky kategórie</v>
      </c>
      <c r="H119" s="44" t="s">
        <v>53</v>
      </c>
      <c r="I119" s="45" t="str">
        <f t="shared" si="3"/>
        <v>1 - 5, &amp;#32všetky možnosti</v>
      </c>
      <c r="J119" s="46" t="str">
        <f t="shared" si="4"/>
        <v>,</v>
      </c>
      <c r="K119" s="47">
        <f t="shared" si="5"/>
        <v>28027.2851</v>
      </c>
      <c r="L119" s="45"/>
      <c r="M119" s="114" t="str">
        <f>IFERROR(__xludf.DUMMYFUNCTION("SPLIT(O119,"","")"),"#REF!")</f>
        <v>#REF!</v>
      </c>
      <c r="N119" s="115" t="s">
        <v>1388</v>
      </c>
      <c r="O119" s="49" t="s">
        <v>1389</v>
      </c>
      <c r="P119" s="50">
        <v>49.3024123999999</v>
      </c>
      <c r="Q119" s="109">
        <v>20.689701</v>
      </c>
      <c r="R119" s="103" t="s">
        <v>1390</v>
      </c>
      <c r="S119" s="36" t="s">
        <v>1391</v>
      </c>
      <c r="T119" s="110" t="s">
        <v>1392</v>
      </c>
      <c r="U119" s="75" t="s">
        <v>1393</v>
      </c>
      <c r="V119" s="55" t="s">
        <v>1394</v>
      </c>
      <c r="W119" s="76" t="s">
        <v>1395</v>
      </c>
      <c r="X119" s="77" t="s">
        <v>1396</v>
      </c>
      <c r="Y119" s="78" t="s">
        <v>1397</v>
      </c>
      <c r="Z119" s="63" t="s">
        <v>1398</v>
      </c>
      <c r="AA119" s="85" t="s">
        <v>129</v>
      </c>
      <c r="AB119" s="65" t="s">
        <v>1399</v>
      </c>
      <c r="AC119" s="66" t="s">
        <v>1400</v>
      </c>
      <c r="AD119" s="67" t="s">
        <v>1401</v>
      </c>
      <c r="AE119" s="65" t="s">
        <v>64</v>
      </c>
      <c r="AF119" s="65"/>
      <c r="AG119" s="66"/>
      <c r="AH119" s="67"/>
      <c r="AI119" s="65"/>
      <c r="AJ119" s="65"/>
      <c r="AK119" s="66"/>
      <c r="AL119" s="67"/>
      <c r="AM119" s="36"/>
      <c r="AN119" s="65"/>
      <c r="AO119" s="68" t="str">
        <f t="shared" si="6"/>
        <v>Registrovany socialny podnik MJ Faba, s. r. o. cistiace a upratovacie sluzby, krasa-zdravie-relax, &amp;#32vsetky kategorie  064 01 Stara Lubovna Nas podnik ma dve oblasti posobnosti: 1. ponukame medicinalnu pedikuru, riesime zarastajuce nechty a kompletnu starostlivost o chodidla, a to odborne vyskolenym personalom a spickovo zariadenym salonom; 2. poskytujeme upratovacie sluzby pre kancelarske priestory a domacnosti, tepovanie caluneneho nabytku a automobilov. Ponukame zamestnanie pre zdravotne znevyhodnenych pracovnikov. Pedikj, TepovanieSL V nasej ponuke su: 1.) medicinalna pedikura, reflexna masaz chodidiel, riesenie zarastajucich nechtov, liecba mykotickych nechtov a chodidiel, riesenie deformit a problemov chodidiel, predaj doplnkov a pomocok pre starostlivost o chodidla.
2.) upratovacie sluzby prevadzok, kancelarskych priestorov, bytov a domacnosti, tepovanie caluneneho nabytku, kobercov, tepovanie automobilov vsetkych druhov.
3.) predaj cistiacich prostriedkov. pedikura, masaz,  tepovanie, upratovanie, predaj tovaru, predaj cistiacich prostriedkov, drogeria TepovanieSL Tepovacie a upratovacie sluzby. Tepovanie,  Upratovanie, Predaj vyrobkov        </v>
      </c>
      <c r="AP119" s="69" t="s">
        <v>41</v>
      </c>
    </row>
    <row r="120" ht="15.75" customHeight="1">
      <c r="A120" s="45"/>
      <c r="B120" s="70">
        <v>118.0</v>
      </c>
      <c r="C120" s="108" t="s">
        <v>1402</v>
      </c>
      <c r="D120" s="42" t="s">
        <v>181</v>
      </c>
      <c r="E120" s="43" t="str">
        <f t="shared" si="1"/>
        <v>Banskobystrický kraj, &amp;#32celé Slovensko</v>
      </c>
      <c r="F120" s="71" t="s">
        <v>722</v>
      </c>
      <c r="G120" s="43" t="str">
        <f t="shared" si="2"/>
        <v>dom a záhrada, stavebníctvo, &amp;#32všetky kategórie</v>
      </c>
      <c r="H120" s="44" t="s">
        <v>96</v>
      </c>
      <c r="I120" s="45" t="str">
        <f t="shared" si="3"/>
        <v>6 - 10, &amp;#32všetky možnosti</v>
      </c>
      <c r="J120" s="46" t="str">
        <f t="shared" si="4"/>
        <v>,</v>
      </c>
      <c r="K120" s="47">
        <f t="shared" si="5"/>
        <v>21019.99897</v>
      </c>
      <c r="L120" s="45"/>
      <c r="M120" s="48" t="str">
        <f>IFERROR(__xludf.DUMMYFUNCTION("SPLIT(O120,"","")"),"Hlavná 66/62")</f>
        <v>Hlavná 66/62</v>
      </c>
      <c r="N120" s="48" t="str">
        <f>IFERROR(__xludf.DUMMYFUNCTION("""COMPUTED_VALUE""")," 064 01 Pohronská Polhora")</f>
        <v> 064 01 Pohronská Polhora</v>
      </c>
      <c r="O120" s="49" t="s">
        <v>1403</v>
      </c>
      <c r="P120" s="50">
        <v>48.7551565</v>
      </c>
      <c r="Q120" s="109">
        <v>19.799098</v>
      </c>
      <c r="R120" s="66" t="s">
        <v>1404</v>
      </c>
      <c r="S120" s="36" t="s">
        <v>1405</v>
      </c>
      <c r="T120" s="110" t="s">
        <v>86</v>
      </c>
      <c r="U120" s="75" t="s">
        <v>1406</v>
      </c>
      <c r="V120" s="55" t="s">
        <v>1407</v>
      </c>
      <c r="W120" s="76" t="s">
        <v>1408</v>
      </c>
      <c r="X120" s="77" t="s">
        <v>1409</v>
      </c>
      <c r="Y120" s="78" t="s">
        <v>1404</v>
      </c>
      <c r="Z120" s="63" t="s">
        <v>1410</v>
      </c>
      <c r="AA120" s="79" t="s">
        <v>64</v>
      </c>
      <c r="AB120" s="65"/>
      <c r="AC120" s="66"/>
      <c r="AD120" s="67"/>
      <c r="AE120" s="65"/>
      <c r="AF120" s="65"/>
      <c r="AG120" s="66"/>
      <c r="AH120" s="67"/>
      <c r="AI120" s="65"/>
      <c r="AJ120" s="65"/>
      <c r="AK120" s="66"/>
      <c r="AL120" s="67"/>
      <c r="AM120" s="36"/>
      <c r="AN120" s="65"/>
      <c r="AO120" s="68" t="str">
        <f t="shared" si="6"/>
        <v>Obecne sluzby Polhora, s. r. o. dom a zahrada, stavebnictvo, &amp;#32vsetky kategorie  064 01 Pohronska Polhora Pomocne stavebne prace, starostlivost o dom a zahradu. Zamestnavanim socialne znevyhodnenych osob. Obecne sluzby Polhora, s.r.o Pomocne stavebne prace, starostlivost o dom a zahradu. pomocne stavebne prace, kosenie           </v>
      </c>
      <c r="AP120" s="69" t="s">
        <v>41</v>
      </c>
    </row>
    <row r="121" ht="15.75" customHeight="1">
      <c r="A121" s="45"/>
      <c r="B121" s="70">
        <v>119.0</v>
      </c>
      <c r="C121" s="108" t="s">
        <v>1411</v>
      </c>
      <c r="D121" s="42" t="s">
        <v>181</v>
      </c>
      <c r="E121" s="43" t="str">
        <f t="shared" si="1"/>
        <v>Banskobystrický kraj, &amp;#32celé Slovensko</v>
      </c>
      <c r="F121" s="71" t="s">
        <v>1412</v>
      </c>
      <c r="G121" s="43" t="str">
        <f t="shared" si="2"/>
        <v>poľnohospodárstvo a lesníctvo, dom a záhrada, stavebníctvo, obaly, &amp;#32všetky kategórie</v>
      </c>
      <c r="H121" s="44" t="s">
        <v>68</v>
      </c>
      <c r="I121" s="45" t="str">
        <f t="shared" si="3"/>
        <v>16 - 20, &amp;#32všetky možnosti</v>
      </c>
      <c r="J121" s="46" t="str">
        <f t="shared" si="4"/>
        <v>,Register partnerov VS</v>
      </c>
      <c r="K121" s="47">
        <f t="shared" si="5"/>
        <v>20039.85686</v>
      </c>
      <c r="L121" s="45"/>
      <c r="M121" s="48" t="str">
        <f>IFERROR(__xludf.DUMMYFUNCTION("SPLIT(O121,"","")"),"Lučenecká 847")</f>
        <v>Lučenecká 847</v>
      </c>
      <c r="N121" s="48" t="str">
        <f>IFERROR(__xludf.DUMMYFUNCTION("""COMPUTED_VALUE""")," 990 01 Veľký Krtíš ")</f>
        <v> 990 01 Veľký Krtíš </v>
      </c>
      <c r="O121" s="49" t="s">
        <v>1413</v>
      </c>
      <c r="P121" s="50">
        <v>48.177695</v>
      </c>
      <c r="Q121" s="109">
        <v>19.501955</v>
      </c>
      <c r="R121" s="103" t="s">
        <v>1414</v>
      </c>
      <c r="S121" s="36" t="s">
        <v>1167</v>
      </c>
      <c r="T121" s="110" t="s">
        <v>86</v>
      </c>
      <c r="U121" s="75" t="s">
        <v>1415</v>
      </c>
      <c r="V121" s="55" t="s">
        <v>1416</v>
      </c>
      <c r="W121" s="76" t="s">
        <v>1417</v>
      </c>
      <c r="X121" s="77" t="s">
        <v>1411</v>
      </c>
      <c r="Y121" s="78" t="s">
        <v>1414</v>
      </c>
      <c r="Z121" s="63" t="s">
        <v>1418</v>
      </c>
      <c r="AA121" s="79" t="s">
        <v>64</v>
      </c>
      <c r="AB121" s="65"/>
      <c r="AC121" s="66"/>
      <c r="AD121" s="67"/>
      <c r="AE121" s="65"/>
      <c r="AF121" s="65"/>
      <c r="AG121" s="66"/>
      <c r="AH121" s="67"/>
      <c r="AI121" s="65"/>
      <c r="AJ121" s="65"/>
      <c r="AK121" s="66"/>
      <c r="AL121" s="67"/>
      <c r="AM121" s="52"/>
      <c r="AN121" s="80" t="s">
        <v>39</v>
      </c>
      <c r="AO121" s="68" t="str">
        <f t="shared" si="6"/>
        <v>PRIMA TIMBER s.r.o. polnohospodarstvo a lesnictvo, dom a zahrada, stavebnictvo, obaly, &amp;#32vsetky kategorie  990 01 Velky Krtis  Nasa spolocnost sa zameriava na spracovanie reziva a naslednu vyrobu paliet podla poziadaviek zakaznika. Zamestnavame znevyhodnene osoby. PRIMA TIMBER s.r.o. Nasa spolocnost sa zameriava na spracovanie reziva a naslednu vyrobu paliet podla poziadaviek zakaznika. drevene palety, palety, drevo, rezivo, gulatina, stavebne rezivo, pila, drevovyroba, krovy           Register partnerov VS</v>
      </c>
      <c r="AP121" s="82"/>
    </row>
    <row r="122" ht="15.75" customHeight="1">
      <c r="A122" s="45"/>
      <c r="B122" s="70">
        <v>120.0</v>
      </c>
      <c r="C122" s="108" t="s">
        <v>1419</v>
      </c>
      <c r="D122" s="42" t="s">
        <v>134</v>
      </c>
      <c r="E122" s="43" t="str">
        <f t="shared" si="1"/>
        <v>Trenčiansky kraj, &amp;#32celé Slovensko</v>
      </c>
      <c r="F122" s="71" t="s">
        <v>1420</v>
      </c>
      <c r="G122" s="43" t="str">
        <f t="shared" si="2"/>
        <v>stavebníctvo, elektro, kultúra a šport, bižutéria a darčekové predmety, &amp;#32všetky kategórie</v>
      </c>
      <c r="H122" s="44" t="s">
        <v>170</v>
      </c>
      <c r="I122" s="45" t="str">
        <f t="shared" si="3"/>
        <v>21 a viac, &amp;#32všetky možnosti</v>
      </c>
      <c r="J122" s="46" t="str">
        <f t="shared" si="4"/>
        <v>,Register partnerov VS</v>
      </c>
      <c r="K122" s="47">
        <f t="shared" si="5"/>
        <v>31808.28992</v>
      </c>
      <c r="L122" s="45"/>
      <c r="M122" s="48" t="str">
        <f>IFERROR(__xludf.DUMMYFUNCTION("SPLIT(O122,"","")"),"Okružná 99")</f>
        <v>Okružná 99</v>
      </c>
      <c r="N122" s="48" t="str">
        <f>IFERROR(__xludf.DUMMYFUNCTION("""COMPUTED_VALUE""")," 972 26 Nitrianske Rudno")</f>
        <v> 972 26 Nitrianske Rudno</v>
      </c>
      <c r="O122" s="49" t="s">
        <v>1421</v>
      </c>
      <c r="P122" s="50">
        <v>48.7985724</v>
      </c>
      <c r="Q122" s="109">
        <v>18.4738764</v>
      </c>
      <c r="R122" s="66" t="s">
        <v>1422</v>
      </c>
      <c r="S122" s="36" t="s">
        <v>1423</v>
      </c>
      <c r="T122" s="110" t="s">
        <v>86</v>
      </c>
      <c r="U122" s="75" t="s">
        <v>1424</v>
      </c>
      <c r="V122" s="55" t="s">
        <v>1425</v>
      </c>
      <c r="W122" s="76" t="s">
        <v>1426</v>
      </c>
      <c r="X122" s="77" t="s">
        <v>1419</v>
      </c>
      <c r="Y122" s="78" t="s">
        <v>1427</v>
      </c>
      <c r="Z122" s="63" t="s">
        <v>1428</v>
      </c>
      <c r="AA122" s="85" t="s">
        <v>129</v>
      </c>
      <c r="AB122" s="65" t="s">
        <v>1419</v>
      </c>
      <c r="AC122" s="66" t="s">
        <v>1429</v>
      </c>
      <c r="AD122" s="67" t="s">
        <v>1430</v>
      </c>
      <c r="AE122" s="90" t="s">
        <v>129</v>
      </c>
      <c r="AF122" s="65" t="s">
        <v>1419</v>
      </c>
      <c r="AG122" s="66" t="s">
        <v>1431</v>
      </c>
      <c r="AH122" s="67" t="s">
        <v>1432</v>
      </c>
      <c r="AI122" s="65" t="s">
        <v>64</v>
      </c>
      <c r="AJ122" s="65"/>
      <c r="AK122" s="66"/>
      <c r="AL122" s="67"/>
      <c r="AM122" s="52"/>
      <c r="AN122" s="80" t="s">
        <v>39</v>
      </c>
      <c r="AO122" s="68" t="str">
        <f t="shared" si="6"/>
        <v>B a B, spol. s r.o. stavebnictvo, elektro, kultura a sport, bizuteria a darcekove predmety, &amp;#32vsetky kategorie  972 26 Nitrianske Rudno Predavame stavebne a elektroinstalacne materialy, robime sluzby v oblasti stavebnictva, vyrobu krojovych vyrobkov. Realizujeme sluzby na podporu regionalneho rozvoja a zamestnanosti. B a B, spol. s r.o. Predavame stavebne a elektroinstalacne materialy, ponukame sluzby v oblasti stavebnictva. stavebniny, poradenstvo B a B, spol. s r.o. Predaj stavebnych a elektroinstalacnych materialov. Stavebniny, sluzby v stavebnictve  B a B, spol. s r.o. Vyroba ludovych krojov a darcekovych predmetov. vyroba ludovych krojov, darcekove predmety     Register partnerov VS</v>
      </c>
      <c r="AP122" s="82"/>
    </row>
    <row r="123" ht="15.75" customHeight="1">
      <c r="A123" s="45"/>
      <c r="B123" s="70">
        <v>121.0</v>
      </c>
      <c r="C123" s="108" t="s">
        <v>1433</v>
      </c>
      <c r="D123" s="42" t="s">
        <v>51</v>
      </c>
      <c r="E123" s="43" t="str">
        <f t="shared" si="1"/>
        <v>Prešovský kraj, &amp;#32celé Slovensko</v>
      </c>
      <c r="F123" s="44" t="s">
        <v>1106</v>
      </c>
      <c r="G123" s="43" t="str">
        <f t="shared" si="2"/>
        <v>stavebníctvo, &amp;#32všetky kategórie</v>
      </c>
      <c r="H123" s="44" t="s">
        <v>96</v>
      </c>
      <c r="I123" s="45" t="str">
        <f t="shared" si="3"/>
        <v>6 - 10, &amp;#32všetky možnosti</v>
      </c>
      <c r="J123" s="46" t="str">
        <f t="shared" si="4"/>
        <v>,Register partnerov VS</v>
      </c>
      <c r="K123" s="47">
        <f t="shared" si="5"/>
        <v>28515.31349</v>
      </c>
      <c r="L123" s="45"/>
      <c r="M123" s="48" t="str">
        <f>IFERROR(__xludf.DUMMYFUNCTION("SPLIT(O123,"","")"),"Jarovnice 129")</f>
        <v>Jarovnice 129</v>
      </c>
      <c r="N123" s="48" t="str">
        <f>IFERROR(__xludf.DUMMYFUNCTION("""COMPUTED_VALUE""")," 082 63 Jarovnice")</f>
        <v> 082 63 Jarovnice</v>
      </c>
      <c r="O123" s="49" t="s">
        <v>1434</v>
      </c>
      <c r="P123" s="50">
        <v>49.0583126999999</v>
      </c>
      <c r="Q123" s="109">
        <v>21.055168</v>
      </c>
      <c r="R123" s="66" t="s">
        <v>1435</v>
      </c>
      <c r="S123" s="36" t="s">
        <v>1436</v>
      </c>
      <c r="T123" s="110" t="s">
        <v>86</v>
      </c>
      <c r="U123" s="75" t="s">
        <v>1437</v>
      </c>
      <c r="V123" s="55" t="s">
        <v>1438</v>
      </c>
      <c r="W123" s="76" t="s">
        <v>1439</v>
      </c>
      <c r="X123" s="77" t="s">
        <v>1440</v>
      </c>
      <c r="Y123" s="78" t="s">
        <v>1441</v>
      </c>
      <c r="Z123" s="63" t="s">
        <v>1442</v>
      </c>
      <c r="AA123" s="79" t="s">
        <v>64</v>
      </c>
      <c r="AB123" s="65"/>
      <c r="AC123" s="66"/>
      <c r="AD123" s="67"/>
      <c r="AE123" s="65"/>
      <c r="AF123" s="65"/>
      <c r="AG123" s="66"/>
      <c r="AH123" s="67"/>
      <c r="AI123" s="65"/>
      <c r="AJ123" s="65"/>
      <c r="AK123" s="66"/>
      <c r="AL123" s="67"/>
      <c r="AM123" s="52"/>
      <c r="AN123" s="80" t="s">
        <v>39</v>
      </c>
      <c r="AO123" s="68" t="str">
        <f t="shared" si="6"/>
        <v>Socialny podnik Jarovnice, s.r.o. stavebnictvo, &amp;#32vsetky kategorie  082 63 Jarovnice Vykopove prace, pomocne stavebne prace, buracie prace a odpadove hospodarstvo. Zamestnavame osoby z marginalizovanej romskej komunity. Socialny podnik Jarovnice s.r.o Robime vykopove a buracie prace. zemne prace buranie           Register partnerov VS</v>
      </c>
      <c r="AP123" s="82"/>
    </row>
    <row r="124" ht="15.75" customHeight="1">
      <c r="A124" s="45"/>
      <c r="B124" s="70">
        <v>122.0</v>
      </c>
      <c r="C124" s="108" t="s">
        <v>1443</v>
      </c>
      <c r="D124" s="42" t="s">
        <v>181</v>
      </c>
      <c r="E124" s="43" t="str">
        <f t="shared" si="1"/>
        <v>Banskobystrický kraj, &amp;#32celé Slovensko</v>
      </c>
      <c r="F124" s="72" t="s">
        <v>1444</v>
      </c>
      <c r="G124" s="43" t="str">
        <f t="shared" si="2"/>
        <v>čistiace a upratovacie služby, dom a záhrada, poľnohospodárstvo a lesníctvo,  cestovný ruch, ubytovacie a stravovacie služby,  vzdelávanie, kultúra a šport, krása-zdravie-relax, &amp;#32všetky kategórie</v>
      </c>
      <c r="H124" s="44" t="s">
        <v>96</v>
      </c>
      <c r="I124" s="45" t="str">
        <f t="shared" si="3"/>
        <v>6 - 10, &amp;#32všetky možnosti</v>
      </c>
      <c r="J124" s="46" t="str">
        <f t="shared" si="4"/>
        <v>,Register partnerov VS</v>
      </c>
      <c r="K124" s="47">
        <f t="shared" si="5"/>
        <v>39295.3484</v>
      </c>
      <c r="L124" s="45"/>
      <c r="M124" s="48" t="str">
        <f>IFERROR(__xludf.DUMMYFUNCTION("SPLIT(O124,"","")"),"Žarnovická Huta 66")</f>
        <v>Žarnovická Huta 66</v>
      </c>
      <c r="N124" s="48" t="str">
        <f>IFERROR(__xludf.DUMMYFUNCTION("""COMPUTED_VALUE""")," 966 81 Žarnovica")</f>
        <v> 966 81 Žarnovica</v>
      </c>
      <c r="O124" s="49" t="s">
        <v>1445</v>
      </c>
      <c r="P124" s="50">
        <v>48.4931764</v>
      </c>
      <c r="Q124" s="109">
        <v>18.6923728</v>
      </c>
      <c r="R124" s="103" t="s">
        <v>1446</v>
      </c>
      <c r="S124" s="36" t="s">
        <v>1447</v>
      </c>
      <c r="T124" s="110" t="s">
        <v>1448</v>
      </c>
      <c r="U124" s="75" t="s">
        <v>1449</v>
      </c>
      <c r="V124" s="55" t="s">
        <v>1450</v>
      </c>
      <c r="W124" s="76" t="s">
        <v>1451</v>
      </c>
      <c r="X124" s="77" t="s">
        <v>1452</v>
      </c>
      <c r="Y124" s="78" t="s">
        <v>1453</v>
      </c>
      <c r="Z124" s="63" t="s">
        <v>1454</v>
      </c>
      <c r="AA124" s="85" t="s">
        <v>129</v>
      </c>
      <c r="AB124" s="65" t="s">
        <v>1455</v>
      </c>
      <c r="AC124" s="66" t="s">
        <v>1456</v>
      </c>
      <c r="AD124" s="67" t="s">
        <v>1457</v>
      </c>
      <c r="AE124" s="65" t="s">
        <v>64</v>
      </c>
      <c r="AF124" s="65"/>
      <c r="AG124" s="66"/>
      <c r="AH124" s="67"/>
      <c r="AI124" s="65"/>
      <c r="AJ124" s="65"/>
      <c r="AK124" s="66"/>
      <c r="AL124" s="67"/>
      <c r="AM124" s="52"/>
      <c r="AN124" s="80" t="s">
        <v>39</v>
      </c>
      <c r="AO124" s="68" t="str">
        <f t="shared" si="6"/>
        <v>STEFANI n.o. cistiace a upratovacie sluzby, dom a zahrada, polnohospodarstvo a lesnictvo,  cestovny ruch, ubytovacie a stravovacie sluzby,  vzdelavanie, kultura a sport, krasa-zdravie-relax, &amp;#32vsetky kategorie  966 81 Zarnovica Nas tim tvoria zrucni mladi ludia so zdravotnym znevyhodnenim, ktori sa nezlaknu ziadnej (fyzicky nenarocnej) prace. Prijimame zakazky na vyrobu drobnych dekoracnych predmetov, balenie, skladanie, sitie, malovanie, ale tiez vieme poskytnut sluzby ako nakupy do domacnosti, upratovanie, pomocne prace v exterieri a ine. Idealne su pre nas velke dlhodobe zakazky, kde sa vieme zapracovat a zautomatizovat procesy a nasledne dlhodobo opakovat jednu cinnost. Velmi nas tesia pomocne prace pre vyrobne spolocnosti, ktorym pomahame s ukonmi, ktore zatazuju ich interny personal a pre nas su velkym potesenim. Dakujeme za kazdu jednu objednavku nasich sluzieb. :) Okrem zamestnavania zdravotne znevyhodnenych zamestnancov sa venujeme dobrovolnickym aktivitam v oblasti ekologie, prevencie psychickeho zdravia, budovania zdravych rodinnych vztahov, vzdelavania mladych ludi, organizovania podujati pre deti a mladez v nasom meste a mnohemu inemu. Zapajame sa do vsetkych zmysluplnych iniciativ v regione a podporujeme priatelsky komunitny zivot v nasom meste i sirokom okoli. STEFANI n.o., r.s.p. V nasej prevadzke vykonavame drobne rucne prace na zakazku. Priestor je zaroven komunitnym centrom pre rodiny s detmi v nasom meste. kaviaren, kosiky, sviecky, kosenie, upratovanie, dekoracie, balenie, skladanie, strihanie, vyroba, sitie, pletenie Pekny les  Turisticko-vzdelavaci areal zamerany na vzdelavanie v oblasti ekologie. Poskytujeme tu ubytovanie v prirode, skolenia, teambuildingy, svadby, oslavy, tabory, animacie, vzdelavanie deti a mladeze. V prevadzke je moznost zakupit si lokalne vyrobky: vcelarske produkty, mlieka a syry, sirupy a stavy a mnoho ineho. med, propolis, syr, zvierata, ubytovanie, oslava, teambuilding, svadba, vzdelavanie, pobyt, ekologia, priroda, tabor, restauracia, bufet, koncert, penzion, gastro,         Register partnerov VS</v>
      </c>
      <c r="AP124" s="69" t="s">
        <v>41</v>
      </c>
    </row>
    <row r="125" ht="15.75" customHeight="1">
      <c r="A125" s="45"/>
      <c r="B125" s="70">
        <v>123.0</v>
      </c>
      <c r="C125" s="108" t="s">
        <v>1458</v>
      </c>
      <c r="D125" s="42" t="s">
        <v>228</v>
      </c>
      <c r="E125" s="43" t="str">
        <f t="shared" si="1"/>
        <v>Nitriansky kraj, &amp;#32celé Slovensko</v>
      </c>
      <c r="F125" s="44" t="s">
        <v>1459</v>
      </c>
      <c r="G125" s="43" t="str">
        <f t="shared" si="2"/>
        <v>krása-zdravie-relax, stavebníctvo, &amp;#32všetky kategórie</v>
      </c>
      <c r="H125" s="44" t="s">
        <v>96</v>
      </c>
      <c r="I125" s="45" t="str">
        <f t="shared" si="3"/>
        <v>6 - 10, &amp;#32všetky možnosti</v>
      </c>
      <c r="J125" s="46" t="str">
        <f t="shared" si="4"/>
        <v>,Register partnerov VS</v>
      </c>
      <c r="K125" s="47">
        <f t="shared" si="5"/>
        <v>34125.09986</v>
      </c>
      <c r="L125" s="45"/>
      <c r="M125" s="48" t="str">
        <f>IFERROR(__xludf.DUMMYFUNCTION("SPLIT(O125,"","")"),"Svodov 59")</f>
        <v>Svodov 59</v>
      </c>
      <c r="N125" s="48" t="str">
        <f>IFERROR(__xludf.DUMMYFUNCTION("""COMPUTED_VALUE""")," 937 01 Želiezovce")</f>
        <v> 937 01 Želiezovce</v>
      </c>
      <c r="O125" s="49" t="s">
        <v>1460</v>
      </c>
      <c r="P125" s="50">
        <v>48.0789416999999</v>
      </c>
      <c r="Q125" s="109">
        <v>18.6577373</v>
      </c>
      <c r="R125" s="103" t="s">
        <v>1461</v>
      </c>
      <c r="S125" s="36" t="s">
        <v>1462</v>
      </c>
      <c r="T125" s="110" t="s">
        <v>1463</v>
      </c>
      <c r="U125" s="75" t="s">
        <v>1464</v>
      </c>
      <c r="V125" s="55" t="s">
        <v>1465</v>
      </c>
      <c r="W125" s="76" t="s">
        <v>1466</v>
      </c>
      <c r="X125" s="77" t="s">
        <v>1467</v>
      </c>
      <c r="Y125" s="78" t="s">
        <v>1468</v>
      </c>
      <c r="Z125" s="63" t="s">
        <v>1469</v>
      </c>
      <c r="AA125" s="79" t="s">
        <v>64</v>
      </c>
      <c r="AB125" s="65"/>
      <c r="AC125" s="66"/>
      <c r="AD125" s="67"/>
      <c r="AE125" s="65"/>
      <c r="AF125" s="65"/>
      <c r="AG125" s="66"/>
      <c r="AH125" s="67"/>
      <c r="AI125" s="65"/>
      <c r="AJ125" s="65"/>
      <c r="AK125" s="66"/>
      <c r="AL125" s="67"/>
      <c r="AM125" s="52"/>
      <c r="AN125" s="80" t="s">
        <v>39</v>
      </c>
      <c r="AO125" s="68" t="str">
        <f t="shared" si="6"/>
        <v>MULTIHOUSE, s. r. o. krasa-zdravie-relax, stavebnictvo, &amp;#32vsetky kategorie  937 01 Zeliezovce Hlavnou cinnostou nasej firmy je stavebna cinnost, zelena energia - poradenstvo, projekt a samotna instalacia fotovoltaickeho systemu, ktory dokaze okrem setrenia zivotneho prostredia usetrit niekolko stovak eur aj domacnostiam a aj podnikatelskym subjektom. MULTIHOUSE, s.r.o. sa okrem zdraveho, ekologickeho zivotneho prostredia stara aj o zdravie ludi. Prevadzka NATURHOUSE, zdrava vyziva, sa nachadza v Sturove na Hlavnej ulici 57, kde Vas s radostou uvita a postara sa o Vas pani dietologicka. Nase produkty su 100% prirodne a ucinne pri zdravej vyzive. Poskytujeme konzultacie, poradenstvo, predaj. Nasa spolocnost sa neustale rozsiruje a sluzi sirokej verejnosti. Zamestnavanim znevyhodnenych a zranitelnych osob. NATURHOUSE Ponukame konzultacie, poradenstvo a predaj 100%-ne prirodnych produktov zdravej vyzivy. Celym procesom Vas prevedie odbornicka zdravej vyzivy, dietologicka... 100% prirodne produkty zdravej vyzivy- predaj, konzultacie, poradenstvo, zdrava vyziva, vyzivove doplnky; stavebne prace, zelena energia, uspora energie; fotovoltaicky system           Register partnerov VS</v>
      </c>
      <c r="AP125" s="69" t="s">
        <v>41</v>
      </c>
    </row>
    <row r="126" ht="15.75" customHeight="1">
      <c r="A126" s="45"/>
      <c r="B126" s="70">
        <v>124.0</v>
      </c>
      <c r="C126" s="108" t="s">
        <v>1470</v>
      </c>
      <c r="D126" s="42" t="s">
        <v>51</v>
      </c>
      <c r="E126" s="43" t="str">
        <f t="shared" si="1"/>
        <v>Prešovský kraj, &amp;#32celé Slovensko</v>
      </c>
      <c r="F126" s="44" t="s">
        <v>1471</v>
      </c>
      <c r="G126" s="43" t="str">
        <f t="shared" si="2"/>
        <v>stavebníctvo, dom a záhrada, &amp;#32všetky kategórie</v>
      </c>
      <c r="H126" s="44" t="s">
        <v>82</v>
      </c>
      <c r="I126" s="45" t="str">
        <f t="shared" si="3"/>
        <v>11 - 15, &amp;#32všetky možnosti</v>
      </c>
      <c r="J126" s="46" t="str">
        <f t="shared" si="4"/>
        <v>,Register partnerov VS</v>
      </c>
      <c r="K126" s="47">
        <f t="shared" si="5"/>
        <v>2400.453374</v>
      </c>
      <c r="L126" s="45"/>
      <c r="M126" s="48" t="str">
        <f>IFERROR(__xludf.DUMMYFUNCTION("SPLIT(O126,"","")"),"Masarykova 10")</f>
        <v>Masarykova 10</v>
      </c>
      <c r="N126" s="48" t="str">
        <f>IFERROR(__xludf.DUMMYFUNCTION("""COMPUTED_VALUE""")," 080 01 Prešov ")</f>
        <v> 080 01 Prešov </v>
      </c>
      <c r="O126" s="49" t="s">
        <v>1472</v>
      </c>
      <c r="P126" s="50">
        <v>48.9910649</v>
      </c>
      <c r="Q126" s="109">
        <v>21.2466313</v>
      </c>
      <c r="R126" s="66" t="s">
        <v>1473</v>
      </c>
      <c r="S126" s="36" t="s">
        <v>1474</v>
      </c>
      <c r="T126" s="110" t="s">
        <v>86</v>
      </c>
      <c r="U126" s="75" t="s">
        <v>1475</v>
      </c>
      <c r="V126" s="55" t="s">
        <v>1476</v>
      </c>
      <c r="W126" s="76" t="s">
        <v>1477</v>
      </c>
      <c r="X126" s="77" t="s">
        <v>1478</v>
      </c>
      <c r="Y126" s="78" t="s">
        <v>1479</v>
      </c>
      <c r="Z126" s="63" t="s">
        <v>1480</v>
      </c>
      <c r="AA126" s="79" t="s">
        <v>64</v>
      </c>
      <c r="AB126" s="65"/>
      <c r="AC126" s="66"/>
      <c r="AD126" s="67"/>
      <c r="AE126" s="65"/>
      <c r="AF126" s="65"/>
      <c r="AG126" s="66"/>
      <c r="AH126" s="67"/>
      <c r="AI126" s="65"/>
      <c r="AJ126" s="65"/>
      <c r="AK126" s="66"/>
      <c r="AL126" s="67"/>
      <c r="AM126" s="52"/>
      <c r="AN126" s="80" t="s">
        <v>39</v>
      </c>
      <c r="AO126" s="68" t="str">
        <f t="shared" si="6"/>
        <v>ATILA GENA s. r. o. stavebnictvo, dom a zahrada, &amp;#32vsetky kategorie  080 01 Presov  Robime pomocne prace na stavbe, vykopove a buracie prace, kladieme zamkovu dlazbu, malujeme. Davame pracu dlhodobo nezamestnanym ludom, ktori maju problem najst si zamestnanie. Atila gena s.r.o Pomocne prace, buracie a vykopove prace, zamkove dlazby; robime aj pilenie a vyrezavanie stromov. stavebne prace, pilenie stromov, malovanie           Register partnerov VS</v>
      </c>
      <c r="AP126" s="69" t="s">
        <v>41</v>
      </c>
    </row>
    <row r="127" ht="15.75" customHeight="1">
      <c r="A127" s="45"/>
      <c r="B127" s="70">
        <v>125.0</v>
      </c>
      <c r="C127" s="116" t="s">
        <v>1481</v>
      </c>
      <c r="D127" s="42" t="s">
        <v>134</v>
      </c>
      <c r="E127" s="43" t="str">
        <f t="shared" si="1"/>
        <v>Trenčiansky kraj, &amp;#32celé Slovensko</v>
      </c>
      <c r="F127" s="44" t="s">
        <v>1482</v>
      </c>
      <c r="G127" s="43" t="str">
        <f t="shared" si="2"/>
        <v>ubytovacie a stravovacie služby, cestovný ruch, &amp;#32všetky kategórie</v>
      </c>
      <c r="H127" s="44" t="s">
        <v>96</v>
      </c>
      <c r="I127" s="45" t="str">
        <f t="shared" si="3"/>
        <v>6 - 10, &amp;#32všetky možnosti</v>
      </c>
      <c r="J127" s="46" t="str">
        <f t="shared" si="4"/>
        <v>,Register partnerov VS</v>
      </c>
      <c r="K127" s="47">
        <f t="shared" si="5"/>
        <v>37798.23249</v>
      </c>
      <c r="L127" s="45"/>
      <c r="M127" s="48" t="str">
        <f>IFERROR(__xludf.DUMMYFUNCTION("SPLIT(O127,"","")"),"Hlboké 1564")</f>
        <v>Hlboké 1564</v>
      </c>
      <c r="N127" s="48" t="str">
        <f>IFERROR(__xludf.DUMMYFUNCTION("""COMPUTED_VALUE""")," 972 01 Bojnice")</f>
        <v> 972 01 Bojnice</v>
      </c>
      <c r="O127" s="49" t="s">
        <v>1483</v>
      </c>
      <c r="P127" s="50">
        <v>48.7884764</v>
      </c>
      <c r="Q127" s="109">
        <v>18.5505014</v>
      </c>
      <c r="R127" s="66" t="s">
        <v>1484</v>
      </c>
      <c r="S127" s="36" t="s">
        <v>1485</v>
      </c>
      <c r="T127" s="110" t="s">
        <v>86</v>
      </c>
      <c r="U127" s="75" t="s">
        <v>1486</v>
      </c>
      <c r="V127" s="55" t="s">
        <v>1487</v>
      </c>
      <c r="W127" s="76" t="s">
        <v>1488</v>
      </c>
      <c r="X127" s="77" t="s">
        <v>1489</v>
      </c>
      <c r="Y127" s="78" t="s">
        <v>1490</v>
      </c>
      <c r="Z127" s="63" t="s">
        <v>1491</v>
      </c>
      <c r="AA127" s="85" t="s">
        <v>129</v>
      </c>
      <c r="AB127" s="65" t="s">
        <v>1492</v>
      </c>
      <c r="AC127" s="66" t="s">
        <v>1490</v>
      </c>
      <c r="AD127" s="67" t="s">
        <v>1491</v>
      </c>
      <c r="AE127" s="65" t="s">
        <v>64</v>
      </c>
      <c r="AF127" s="65"/>
      <c r="AG127" s="66"/>
      <c r="AH127" s="67"/>
      <c r="AI127" s="65"/>
      <c r="AJ127" s="65"/>
      <c r="AK127" s="66"/>
      <c r="AL127" s="67"/>
      <c r="AM127" s="52"/>
      <c r="AN127" s="80" t="s">
        <v>39</v>
      </c>
      <c r="AO127" s="68" t="str">
        <f t="shared" si="6"/>
        <v>ISTRASLOV spol. s r.o. ubytovacie a stravovacie sluzby, cestovny ruch, &amp;#32vsetky kategorie  972 01 Bojnice Poskytujeme ubytovacie, stravovacie a doplnkove sluzby v cestovnom ruchu. Zamestnavame zdravotne znevyhodnene a zranitelne osoby. Pouzivame 100 % svojho zisku po zdaneni na dosahovanie hlavneho pozitivneho ciela spolocnosti. Penzion Hlboke Ubytovacie, stravovacie a doplnkove sluzby v cestovnom ruchu. hotel, penzion, ubytovanie, doprava Penzion MADO Ubytovacie, stravovacie a doplnkove sluzby v cestovnom ruchu. hotel, penzion, ubytovanie, doprava        Register partnerov VS</v>
      </c>
      <c r="AP127" s="82"/>
    </row>
    <row r="128" ht="15.75" customHeight="1">
      <c r="A128" s="45"/>
      <c r="B128" s="70">
        <v>126.0</v>
      </c>
      <c r="C128" s="108" t="s">
        <v>1493</v>
      </c>
      <c r="D128" s="42" t="s">
        <v>66</v>
      </c>
      <c r="E128" s="43" t="str">
        <f t="shared" si="1"/>
        <v>Žilinský kraj, &amp;#32celé Slovensko</v>
      </c>
      <c r="F128" s="44" t="s">
        <v>108</v>
      </c>
      <c r="G128" s="43" t="str">
        <f t="shared" si="2"/>
        <v>čistiace a upratovacie služby, stavebníctvo, &amp;#32všetky kategórie</v>
      </c>
      <c r="H128" s="44" t="s">
        <v>170</v>
      </c>
      <c r="I128" s="45" t="str">
        <f t="shared" si="3"/>
        <v>21 a viac, &amp;#32všetky možnosti</v>
      </c>
      <c r="J128" s="46" t="str">
        <f t="shared" si="4"/>
        <v>,Register partnerov VS</v>
      </c>
      <c r="K128" s="47">
        <f t="shared" si="5"/>
        <v>18551.4009</v>
      </c>
      <c r="L128" s="45"/>
      <c r="M128" s="48" t="str">
        <f>IFERROR(__xludf.DUMMYFUNCTION("SPLIT(O128,"","")"),"Komenského 2622/48")</f>
        <v>Komenského 2622/48</v>
      </c>
      <c r="N128" s="48" t="str">
        <f>IFERROR(__xludf.DUMMYFUNCTION("""COMPUTED_VALUE""")," 011 09 Žilina")</f>
        <v> 011 09 Žilina</v>
      </c>
      <c r="O128" s="49" t="s">
        <v>1494</v>
      </c>
      <c r="P128" s="50">
        <v>49.2167097</v>
      </c>
      <c r="Q128" s="109">
        <v>18.7371857</v>
      </c>
      <c r="R128" s="103" t="s">
        <v>1495</v>
      </c>
      <c r="S128" s="36" t="s">
        <v>1066</v>
      </c>
      <c r="T128" s="110" t="s">
        <v>1496</v>
      </c>
      <c r="U128" s="75" t="s">
        <v>1497</v>
      </c>
      <c r="V128" s="55" t="s">
        <v>1498</v>
      </c>
      <c r="W128" s="76" t="s">
        <v>1499</v>
      </c>
      <c r="X128" s="77" t="s">
        <v>1500</v>
      </c>
      <c r="Y128" s="78" t="s">
        <v>1501</v>
      </c>
      <c r="Z128" s="63" t="s">
        <v>1502</v>
      </c>
      <c r="AA128" s="85" t="s">
        <v>129</v>
      </c>
      <c r="AB128" s="65" t="s">
        <v>1503</v>
      </c>
      <c r="AC128" s="66" t="s">
        <v>1504</v>
      </c>
      <c r="AD128" s="67" t="s">
        <v>1505</v>
      </c>
      <c r="AE128" s="90" t="s">
        <v>129</v>
      </c>
      <c r="AF128" s="65" t="s">
        <v>1506</v>
      </c>
      <c r="AG128" s="66" t="s">
        <v>1507</v>
      </c>
      <c r="AH128" s="67" t="s">
        <v>1508</v>
      </c>
      <c r="AI128" s="65" t="s">
        <v>64</v>
      </c>
      <c r="AJ128" s="65"/>
      <c r="AK128" s="66"/>
      <c r="AL128" s="67"/>
      <c r="AM128" s="52"/>
      <c r="AN128" s="80" t="s">
        <v>39</v>
      </c>
      <c r="AO128" s="68" t="str">
        <f t="shared" si="6"/>
        <v>Socialno-ekonomicky podnik ZSK, s.r.o. r. s. p. cistiace a upratovacie sluzby, stavebnictvo, &amp;#32vsetky kategorie  011 09 Zilina Nasa spolocnost poskytuje sluzby pracovne (pranie postelnej bielizne, uterakov, obrusov,...), upratovacie a udrzbarske sluzby v centrach zdravotnej starostlivosti, maliarske a natieracske prace, drobne udrzbarske prace. Zamestnavanim znevyhodnenych osob. Socialno-ekonomicky podnik ZSK, Pracovna LIPA Pracovna: pranie postelnej bielizne, obrusov, uterakov, i ostatne velke pradlo; Stredisko oprav a udrzby: maliarske a drobne stavebne prace; Stredisko upratovania a udrzby CZS: upratovanie centier zdravotnej starostlivosti ZSK. pranie, susenie, manglovanie pradla, pranie postelneho pradla Stredisko oprav a udrzby Maliarske a natieracske prace, drobne stavebne prace. maliarske prace, natieracske prace, udrzba okolia budov Stredisko upratovania a udrzby centier zdravotnej starostlivosti Upratovacie a udrzbarske prace v budovach centier zdravotnej starostlivosti ZSK. upratovanie, cistota, dezinfekcia, udrzbarske prace, drobne opravy      Register partnerov VS</v>
      </c>
      <c r="AP128" s="82"/>
    </row>
    <row r="129" ht="15.75" customHeight="1">
      <c r="A129" s="45"/>
      <c r="B129" s="70">
        <v>127.0</v>
      </c>
      <c r="C129" s="108" t="s">
        <v>1509</v>
      </c>
      <c r="D129" s="42" t="s">
        <v>51</v>
      </c>
      <c r="E129" s="43" t="str">
        <f t="shared" si="1"/>
        <v>Prešovský kraj, &amp;#32celé Slovensko</v>
      </c>
      <c r="F129" s="44" t="s">
        <v>108</v>
      </c>
      <c r="G129" s="43" t="str">
        <f t="shared" si="2"/>
        <v>čistiace a upratovacie služby, stavebníctvo, &amp;#32všetky kategórie</v>
      </c>
      <c r="H129" s="44" t="s">
        <v>68</v>
      </c>
      <c r="I129" s="45" t="str">
        <f t="shared" si="3"/>
        <v>16 - 20, &amp;#32všetky možnosti</v>
      </c>
      <c r="J129" s="46" t="str">
        <f t="shared" si="4"/>
        <v>,Register partnerov VS</v>
      </c>
      <c r="K129" s="47">
        <f t="shared" si="5"/>
        <v>6003.508547</v>
      </c>
      <c r="L129" s="45"/>
      <c r="M129" s="48" t="str">
        <f>IFERROR(__xludf.DUMMYFUNCTION("SPLIT(O129,"","")"),"Námestie Sv. Michala 76/2")</f>
        <v>Námestie Sv. Michala 76/2</v>
      </c>
      <c r="N129" s="48" t="str">
        <f>IFERROR(__xludf.DUMMYFUNCTION("""COMPUTED_VALUE""")," 059 95 Toporec")</f>
        <v> 059 95 Toporec</v>
      </c>
      <c r="O129" s="49" t="s">
        <v>1510</v>
      </c>
      <c r="P129" s="50">
        <v>49.2643832</v>
      </c>
      <c r="Q129" s="109">
        <v>20.4912889</v>
      </c>
      <c r="R129" s="66" t="s">
        <v>1511</v>
      </c>
      <c r="S129" s="36" t="s">
        <v>1512</v>
      </c>
      <c r="T129" s="110" t="s">
        <v>86</v>
      </c>
      <c r="U129" s="75" t="s">
        <v>1513</v>
      </c>
      <c r="V129" s="55" t="s">
        <v>1514</v>
      </c>
      <c r="W129" s="76" t="s">
        <v>1515</v>
      </c>
      <c r="X129" s="77" t="s">
        <v>1516</v>
      </c>
      <c r="Y129" s="78" t="s">
        <v>1517</v>
      </c>
      <c r="Z129" s="63" t="s">
        <v>1518</v>
      </c>
      <c r="AA129" s="79" t="s">
        <v>64</v>
      </c>
      <c r="AB129" s="65"/>
      <c r="AC129" s="66"/>
      <c r="AD129" s="67"/>
      <c r="AE129" s="65"/>
      <c r="AF129" s="65"/>
      <c r="AG129" s="66"/>
      <c r="AH129" s="67"/>
      <c r="AI129" s="65"/>
      <c r="AJ129" s="65"/>
      <c r="AK129" s="66"/>
      <c r="AL129" s="67"/>
      <c r="AM129" s="52"/>
      <c r="AN129" s="80" t="s">
        <v>39</v>
      </c>
      <c r="AO129" s="68" t="str">
        <f t="shared" si="6"/>
        <v>Socialny podnik Toporec, s. r. o. cistiace a upratovacie sluzby, stavebnictvo, &amp;#32vsetky kategorie  059 95 Toporec Stavebna cinnost, upratovacie prace, pomocnice v domacnosti. Prispievame k rozvoju sluzieb v obci. Socialna podnik Toporec, s.r.o. Stavebna cinnost. stavebna cinnost, upratovanie, cistenie, pomoc v domacnosti           Register partnerov VS</v>
      </c>
      <c r="AP129" s="82"/>
    </row>
    <row r="130" ht="15.75" customHeight="1">
      <c r="A130" s="45"/>
      <c r="B130" s="70">
        <v>128.0</v>
      </c>
      <c r="C130" s="108" t="s">
        <v>1519</v>
      </c>
      <c r="D130" s="42" t="s">
        <v>134</v>
      </c>
      <c r="E130" s="43" t="str">
        <f t="shared" si="1"/>
        <v>Trenčiansky kraj, &amp;#32celé Slovensko</v>
      </c>
      <c r="F130" s="44" t="s">
        <v>1520</v>
      </c>
      <c r="G130" s="43" t="str">
        <f t="shared" si="2"/>
        <v>dom a záhrada, odevy a obuv, &amp;#32všetky kategórie</v>
      </c>
      <c r="H130" s="44" t="s">
        <v>170</v>
      </c>
      <c r="I130" s="45" t="str">
        <f t="shared" si="3"/>
        <v>21 a viac, &amp;#32všetky možnosti</v>
      </c>
      <c r="J130" s="46" t="str">
        <f t="shared" si="4"/>
        <v>Servisné poukážky,Register partnerov VS</v>
      </c>
      <c r="K130" s="47">
        <f t="shared" si="5"/>
        <v>35470.04436</v>
      </c>
      <c r="L130" s="45"/>
      <c r="M130" s="48" t="str">
        <f>IFERROR(__xludf.DUMMYFUNCTION("SPLIT(O130,"","")"),"Moravská 1633/15")</f>
        <v>Moravská 1633/15</v>
      </c>
      <c r="N130" s="48" t="str">
        <f>IFERROR(__xludf.DUMMYFUNCTION("""COMPUTED_VALUE""")," 020 01 Púchov")</f>
        <v> 020 01 Púchov</v>
      </c>
      <c r="O130" s="49" t="s">
        <v>1521</v>
      </c>
      <c r="P130" s="50">
        <v>49.1233121</v>
      </c>
      <c r="Q130" s="109">
        <v>18.3273622</v>
      </c>
      <c r="R130" s="103" t="s">
        <v>1522</v>
      </c>
      <c r="S130" s="36" t="s">
        <v>1523</v>
      </c>
      <c r="T130" s="110" t="s">
        <v>1524</v>
      </c>
      <c r="U130" s="75" t="s">
        <v>1525</v>
      </c>
      <c r="V130" s="55" t="s">
        <v>1526</v>
      </c>
      <c r="W130" s="76" t="s">
        <v>1527</v>
      </c>
      <c r="X130" s="77" t="s">
        <v>1528</v>
      </c>
      <c r="Y130" s="78" t="s">
        <v>1529</v>
      </c>
      <c r="Z130" s="63" t="s">
        <v>1530</v>
      </c>
      <c r="AA130" s="79" t="s">
        <v>64</v>
      </c>
      <c r="AB130" s="65"/>
      <c r="AC130" s="66"/>
      <c r="AD130" s="67"/>
      <c r="AE130" s="65"/>
      <c r="AF130" s="65"/>
      <c r="AG130" s="66"/>
      <c r="AH130" s="67"/>
      <c r="AI130" s="65"/>
      <c r="AJ130" s="65"/>
      <c r="AK130" s="66"/>
      <c r="AL130" s="67"/>
      <c r="AM130" s="96" t="s">
        <v>320</v>
      </c>
      <c r="AN130" s="80" t="s">
        <v>39</v>
      </c>
      <c r="AO130" s="68" t="str">
        <f t="shared" si="6"/>
        <v>CONTI-eco s. r. o. dom a zahrada, odevy a obuv, &amp;#32vsetky kategorie  020 01 Puchov Ponukame sitie damskeho a panskeho vrchneho osatenia, lahkej konfekcie ako su saka, saty, bluzky a ine. Zaroven ponukame sluzby pre domacnost - starostlivost o zahradu, kosenie, strihanie stromov a krikov, a ine zahradne prace. Pozitivny socialny vplyv splname zamestnavanim znevyhodnenych a zranitelnych osob - 40% nasich zamestnancov. CONTI-eco s.r.o. Sitie damskeho a panskeho vrchneho osatenia. Ponukame tiez pomoc pri koseni, strihani stromov a krikov. sitie, kosenie, pilenie stromov, krajcistvo, krajcirska dielna, zakazkove sitie          Servisne poukazky Register partnerov VS</v>
      </c>
      <c r="AP130" s="82"/>
    </row>
    <row r="131" ht="15.75" customHeight="1">
      <c r="A131" s="45"/>
      <c r="B131" s="70">
        <v>129.0</v>
      </c>
      <c r="C131" s="108" t="s">
        <v>1531</v>
      </c>
      <c r="D131" s="42" t="s">
        <v>228</v>
      </c>
      <c r="E131" s="43" t="str">
        <f t="shared" si="1"/>
        <v>Nitriansky kraj, &amp;#32celé Slovensko</v>
      </c>
      <c r="F131" s="44" t="s">
        <v>1532</v>
      </c>
      <c r="G131" s="43" t="str">
        <f t="shared" si="2"/>
        <v>poľnohospodárstvo a lesníctvo, doprava, odevy a obuv, ochrana a bezpečnosť, &amp;#32všetky kategórie</v>
      </c>
      <c r="H131" s="44" t="s">
        <v>68</v>
      </c>
      <c r="I131" s="45" t="str">
        <f t="shared" si="3"/>
        <v>16 - 20, &amp;#32všetky možnosti</v>
      </c>
      <c r="J131" s="46" t="str">
        <f t="shared" si="4"/>
        <v>,Register partnerov VS</v>
      </c>
      <c r="K131" s="47">
        <f t="shared" si="5"/>
        <v>19847.87979</v>
      </c>
      <c r="L131" s="45"/>
      <c r="M131" s="48" t="str">
        <f>IFERROR(__xludf.DUMMYFUNCTION("SPLIT(O131,"","")"),"Mojmírovce 964")</f>
        <v>Mojmírovce 964</v>
      </c>
      <c r="N131" s="48" t="str">
        <f>IFERROR(__xludf.DUMMYFUNCTION("""COMPUTED_VALUE""")," 951 15 Mojmírovce")</f>
        <v> 951 15 Mojmírovce</v>
      </c>
      <c r="O131" s="49" t="s">
        <v>1533</v>
      </c>
      <c r="P131" s="50">
        <v>48.207471</v>
      </c>
      <c r="Q131" s="109">
        <v>18.064238</v>
      </c>
      <c r="R131" s="66" t="s">
        <v>1534</v>
      </c>
      <c r="S131" s="36" t="s">
        <v>1535</v>
      </c>
      <c r="T131" s="110" t="s">
        <v>1536</v>
      </c>
      <c r="U131" s="75" t="s">
        <v>1537</v>
      </c>
      <c r="V131" s="55" t="s">
        <v>1538</v>
      </c>
      <c r="W131" s="76" t="s">
        <v>1539</v>
      </c>
      <c r="X131" s="77" t="s">
        <v>1531</v>
      </c>
      <c r="Y131" s="78" t="s">
        <v>1540</v>
      </c>
      <c r="Z131" s="63" t="s">
        <v>1541</v>
      </c>
      <c r="AA131" s="85" t="s">
        <v>129</v>
      </c>
      <c r="AB131" s="65" t="s">
        <v>1542</v>
      </c>
      <c r="AC131" s="66" t="s">
        <v>1543</v>
      </c>
      <c r="AD131" s="67" t="s">
        <v>1544</v>
      </c>
      <c r="AE131" s="65" t="s">
        <v>64</v>
      </c>
      <c r="AF131" s="65"/>
      <c r="AG131" s="66"/>
      <c r="AH131" s="67"/>
      <c r="AI131" s="65"/>
      <c r="AJ131" s="65"/>
      <c r="AK131" s="66"/>
      <c r="AL131" s="67"/>
      <c r="AM131" s="52"/>
      <c r="AN131" s="80" t="s">
        <v>39</v>
      </c>
      <c r="AO131" s="68" t="str">
        <f t="shared" si="6"/>
        <v>JUMBO MOJMIROVCE spol. s r.o. polnohospodarstvo a lesnictvo, doprava, odevy a obuv, ochrana a bezpecnost, &amp;#32vsetky kategorie  951 15 Mojmirovce Spolocnost sa zaobera poskytovanim sluzieb vnutrostatnej a medzinarodnej nakladnej cestnej dopravy a spedicie a obchodnou cinnostou v oblasti agrokomodit, nakupom a predajom pracovneho oblecenia, obuvi a ochrannych pracovnych pomocok - predajna v obci Mocenok, e-shop. Cinnost, ktorou spolocnost dosahuje pozitivny socialny vplyv v zmysle zakladneho dokumentu spolocnosti, je zamestnavanie zdravotne znevyhodnenych osob alebo zranitelnych osob. Spolocnost zamestnava viac ako 70% takychto zamestnancov, cim splna meratelny PSV. JUMBO MOJMIROVCE spol. s r.o. Nakladna cestna doprava a spedicia, obchodna cinnost v oblasti agrokomodit.
 doprava, obchod, preprava krmiv, spedicia, preprava polnohospodarskych materialov PRODESAFETY Predaj pracovneho oblecenia a ochrannych pracovnych prostriedkov. pracovne oblecenie, pracovna obuv, rukavice, respirator, rusko, ochrana sluchu, sluchadla, postroj, lano, karabina        Register partnerov VS</v>
      </c>
      <c r="AP131" s="82"/>
    </row>
    <row r="132" ht="15.75" customHeight="1">
      <c r="A132" s="45"/>
      <c r="B132" s="70">
        <v>130.0</v>
      </c>
      <c r="C132" s="108" t="s">
        <v>1545</v>
      </c>
      <c r="D132" s="42" t="s">
        <v>134</v>
      </c>
      <c r="E132" s="43" t="str">
        <f t="shared" si="1"/>
        <v>Trenčiansky kraj, &amp;#32celé Slovensko</v>
      </c>
      <c r="F132" s="44" t="s">
        <v>650</v>
      </c>
      <c r="G132" s="43" t="str">
        <f t="shared" si="2"/>
        <v>počítačová a kancelárska technika, &amp;#32všetky kategórie</v>
      </c>
      <c r="H132" s="44" t="s">
        <v>96</v>
      </c>
      <c r="I132" s="45" t="str">
        <f t="shared" si="3"/>
        <v>6 - 10, &amp;#32všetky možnosti</v>
      </c>
      <c r="J132" s="46" t="str">
        <f t="shared" si="4"/>
        <v>,</v>
      </c>
      <c r="K132" s="47">
        <f t="shared" si="5"/>
        <v>26914.35881</v>
      </c>
      <c r="L132" s="45"/>
      <c r="M132" s="48" t="str">
        <f>IFERROR(__xludf.DUMMYFUNCTION("SPLIT(O132,"","")"),"Športová 655")</f>
        <v>Športová 655</v>
      </c>
      <c r="N132" s="48" t="str">
        <f>IFERROR(__xludf.DUMMYFUNCTION("""COMPUTED_VALUE""")," 972 26 Nitrianske Rudno ")</f>
        <v> 972 26 Nitrianske Rudno </v>
      </c>
      <c r="O132" s="49" t="s">
        <v>1546</v>
      </c>
      <c r="P132" s="50">
        <v>48.8011195</v>
      </c>
      <c r="Q132" s="109">
        <v>18.4798054</v>
      </c>
      <c r="R132" s="103" t="s">
        <v>1547</v>
      </c>
      <c r="S132" s="36" t="s">
        <v>1066</v>
      </c>
      <c r="T132" s="110" t="s">
        <v>86</v>
      </c>
      <c r="U132" s="75" t="s">
        <v>1548</v>
      </c>
      <c r="V132" s="55" t="s">
        <v>1549</v>
      </c>
      <c r="W132" s="76" t="s">
        <v>1550</v>
      </c>
      <c r="X132" s="77" t="s">
        <v>1551</v>
      </c>
      <c r="Y132" s="78" t="s">
        <v>1552</v>
      </c>
      <c r="Z132" s="63" t="s">
        <v>1553</v>
      </c>
      <c r="AA132" s="79" t="s">
        <v>64</v>
      </c>
      <c r="AB132" s="65"/>
      <c r="AC132" s="66"/>
      <c r="AD132" s="67"/>
      <c r="AE132" s="65"/>
      <c r="AF132" s="65"/>
      <c r="AG132" s="66"/>
      <c r="AH132" s="67"/>
      <c r="AI132" s="65"/>
      <c r="AJ132" s="65"/>
      <c r="AK132" s="66"/>
      <c r="AL132" s="67"/>
      <c r="AM132" s="36"/>
      <c r="AN132" s="65"/>
      <c r="AO132" s="68" t="str">
        <f t="shared" si="6"/>
        <v>MURALI s. r. o. pocitacova a kancelarska technika, &amp;#32vsetky kategorie  972 26 Nitrianske Rudno  Vyroba a plnenie atramentovych (inkjetovych) kaziet roznych znaciek a roznych farieb. Zamestnavanim znevyhodnenych osob. MURALI s.r.o. Vyroba a plnenie atramentovych (inkjetovych) kaziet. atramentova kazeta, inkjet           </v>
      </c>
      <c r="AP132" s="82"/>
    </row>
    <row r="133" ht="15.75" customHeight="1">
      <c r="A133" s="45"/>
      <c r="B133" s="70">
        <v>131.0</v>
      </c>
      <c r="C133" s="108" t="s">
        <v>1554</v>
      </c>
      <c r="D133" s="42" t="s">
        <v>66</v>
      </c>
      <c r="E133" s="43" t="str">
        <f t="shared" si="1"/>
        <v>Žilinský kraj, &amp;#32celé Slovensko</v>
      </c>
      <c r="F133" s="44" t="s">
        <v>1482</v>
      </c>
      <c r="G133" s="43" t="str">
        <f t="shared" si="2"/>
        <v>ubytovacie a stravovacie služby, cestovný ruch, &amp;#32všetky kategórie</v>
      </c>
      <c r="H133" s="44" t="s">
        <v>96</v>
      </c>
      <c r="I133" s="45" t="str">
        <f t="shared" si="3"/>
        <v>6 - 10, &amp;#32všetky možnosti</v>
      </c>
      <c r="J133" s="46" t="str">
        <f t="shared" si="4"/>
        <v>,</v>
      </c>
      <c r="K133" s="47">
        <f t="shared" si="5"/>
        <v>42181.91643</v>
      </c>
      <c r="L133" s="45"/>
      <c r="M133" s="48" t="str">
        <f>IFERROR(__xludf.DUMMYFUNCTION("SPLIT(O133,"","")"),"Námestie M. Benku 1385/1")</f>
        <v>Námestie M. Benku 1385/1</v>
      </c>
      <c r="N133" s="48" t="str">
        <f>IFERROR(__xludf.DUMMYFUNCTION("""COMPUTED_VALUE""")," 034 84 Liptovské Sliače")</f>
        <v> 034 84 Liptovské Sliače</v>
      </c>
      <c r="O133" s="49" t="s">
        <v>1555</v>
      </c>
      <c r="P133" s="50">
        <v>49.0569127</v>
      </c>
      <c r="Q133" s="109">
        <v>19.4085574</v>
      </c>
      <c r="R133" s="103" t="s">
        <v>1556</v>
      </c>
      <c r="S133" s="36" t="s">
        <v>1557</v>
      </c>
      <c r="T133" s="110" t="s">
        <v>1558</v>
      </c>
      <c r="U133" s="75" t="s">
        <v>1559</v>
      </c>
      <c r="V133" s="55" t="s">
        <v>1560</v>
      </c>
      <c r="W133" s="76" t="s">
        <v>1561</v>
      </c>
      <c r="X133" s="77" t="s">
        <v>1562</v>
      </c>
      <c r="Y133" s="78" t="s">
        <v>1556</v>
      </c>
      <c r="Z133" s="63" t="s">
        <v>1563</v>
      </c>
      <c r="AA133" s="79" t="s">
        <v>64</v>
      </c>
      <c r="AB133" s="65"/>
      <c r="AC133" s="66"/>
      <c r="AD133" s="67"/>
      <c r="AE133" s="65"/>
      <c r="AF133" s="65"/>
      <c r="AG133" s="66"/>
      <c r="AH133" s="67"/>
      <c r="AI133" s="65"/>
      <c r="AJ133" s="65"/>
      <c r="AK133" s="66"/>
      <c r="AL133" s="67"/>
      <c r="AM133" s="36"/>
      <c r="AN133" s="65"/>
      <c r="AO133" s="68" t="str">
        <f t="shared" si="6"/>
        <v>Sliacanske Obecne Sluzby, s.r.o. ubytovacie a stravovacie sluzby, cestovny ruch, &amp;#32vsetky kategorie  034 84 Liptovske Sliace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Spolocnost Sliacanske Obecne Sluzby, s. r. o., r.s.p. je verejnoprospesny podnik, ktoreho hlavnym cielom je dosahovanie meratelneho pozitivneho socialneho vplyvu poskytovanim spolocensky prospesnej sluzby v oblasti sluzieb na podporu regionalneho rozvoja a zamestnanosti, a to najma poskytovanim ubytovania, stravovania v restauracii, varenim a rozvozom obedov pre dochodcov a pre znevyhodnene a zranitelne osoby. Penzion Pramen**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penzion, ubytovanie, restauracia, pizza, obedove menu, oslavy, eventy, akcie           </v>
      </c>
      <c r="AP133" s="82"/>
    </row>
    <row r="134" ht="15.75" customHeight="1">
      <c r="A134" s="45"/>
      <c r="B134" s="70">
        <v>132.0</v>
      </c>
      <c r="C134" s="108" t="s">
        <v>1564</v>
      </c>
      <c r="D134" s="42" t="s">
        <v>134</v>
      </c>
      <c r="E134" s="43" t="str">
        <f t="shared" si="1"/>
        <v>Trenčiansky kraj, &amp;#32celé Slovensko</v>
      </c>
      <c r="F134" s="44" t="s">
        <v>650</v>
      </c>
      <c r="G134" s="43" t="str">
        <f t="shared" si="2"/>
        <v>počítačová a kancelárska technika, &amp;#32všetky kategórie</v>
      </c>
      <c r="H134" s="44" t="s">
        <v>96</v>
      </c>
      <c r="I134" s="45" t="str">
        <f t="shared" si="3"/>
        <v>6 - 10, &amp;#32všetky možnosti</v>
      </c>
      <c r="J134" s="46" t="str">
        <f t="shared" si="4"/>
        <v>,</v>
      </c>
      <c r="K134" s="47">
        <f t="shared" si="5"/>
        <v>21036.18987</v>
      </c>
      <c r="L134" s="45"/>
      <c r="M134" s="48" t="str">
        <f>IFERROR(__xludf.DUMMYFUNCTION("SPLIT(O134,"","")"),"Športová 655")</f>
        <v>Športová 655</v>
      </c>
      <c r="N134" s="48" t="str">
        <f>IFERROR(__xludf.DUMMYFUNCTION("""COMPUTED_VALUE""")," 972 26 Nitrianske Rudno ")</f>
        <v> 972 26 Nitrianske Rudno </v>
      </c>
      <c r="O134" s="49" t="s">
        <v>1546</v>
      </c>
      <c r="P134" s="50">
        <v>48.8011195</v>
      </c>
      <c r="Q134" s="109">
        <v>18.4798054</v>
      </c>
      <c r="R134" s="66" t="s">
        <v>1565</v>
      </c>
      <c r="S134" s="36" t="s">
        <v>1066</v>
      </c>
      <c r="T134" s="110" t="s">
        <v>86</v>
      </c>
      <c r="U134" s="75" t="s">
        <v>1566</v>
      </c>
      <c r="V134" s="55" t="s">
        <v>1549</v>
      </c>
      <c r="W134" s="76" t="s">
        <v>1550</v>
      </c>
      <c r="X134" s="77" t="s">
        <v>1567</v>
      </c>
      <c r="Y134" s="78" t="s">
        <v>1568</v>
      </c>
      <c r="Z134" s="63" t="s">
        <v>1569</v>
      </c>
      <c r="AA134" s="79" t="s">
        <v>64</v>
      </c>
      <c r="AB134" s="65"/>
      <c r="AC134" s="66"/>
      <c r="AD134" s="67"/>
      <c r="AE134" s="65"/>
      <c r="AF134" s="65"/>
      <c r="AG134" s="66"/>
      <c r="AH134" s="67"/>
      <c r="AI134" s="65"/>
      <c r="AJ134" s="65"/>
      <c r="AK134" s="66"/>
      <c r="AL134" s="67"/>
      <c r="AM134" s="36"/>
      <c r="AN134" s="65"/>
      <c r="AO134" s="68" t="str">
        <f t="shared" si="6"/>
        <v>Octopus SK s. r. o. pocitacova a kancelarska technika, &amp;#32vsetky kategorie  972 26 Nitrianske Rudno  Renovujeme tonerove kazety. Zamestnavanim znevyhodnenych osob. Octopus SK s.r.o. Renovacia tonerovych kaziet. toner, tonerova kazeta, napln           </v>
      </c>
      <c r="AP134" s="69" t="s">
        <v>41</v>
      </c>
    </row>
    <row r="135" ht="15.75" customHeight="1">
      <c r="A135" s="45"/>
      <c r="B135" s="70">
        <v>133.0</v>
      </c>
      <c r="C135" s="108" t="s">
        <v>1570</v>
      </c>
      <c r="D135" s="42" t="s">
        <v>134</v>
      </c>
      <c r="E135" s="43" t="str">
        <f t="shared" si="1"/>
        <v>Trenčiansky kraj, &amp;#32celé Slovensko</v>
      </c>
      <c r="F135" s="44" t="s">
        <v>650</v>
      </c>
      <c r="G135" s="43" t="str">
        <f t="shared" si="2"/>
        <v>počítačová a kancelárska technika, &amp;#32všetky kategórie</v>
      </c>
      <c r="H135" s="44" t="s">
        <v>53</v>
      </c>
      <c r="I135" s="45" t="str">
        <f t="shared" si="3"/>
        <v>1 - 5, &amp;#32všetky možnosti</v>
      </c>
      <c r="J135" s="46" t="str">
        <f t="shared" si="4"/>
        <v>,Register partnerov VS</v>
      </c>
      <c r="K135" s="47">
        <f t="shared" si="5"/>
        <v>28753.2906</v>
      </c>
      <c r="L135" s="45"/>
      <c r="M135" s="48" t="str">
        <f>IFERROR(__xludf.DUMMYFUNCTION("SPLIT(O135,"","")"),"Bojnická cesta 24")</f>
        <v>Bojnická cesta 24</v>
      </c>
      <c r="N135" s="48" t="str">
        <f>IFERROR(__xludf.DUMMYFUNCTION("""COMPUTED_VALUE""")," 971 01 Prievidza")</f>
        <v> 971 01 Prievidza</v>
      </c>
      <c r="O135" s="49" t="s">
        <v>1571</v>
      </c>
      <c r="P135" s="50">
        <v>48.7751101</v>
      </c>
      <c r="Q135" s="109">
        <v>18.6106454</v>
      </c>
      <c r="R135" s="66" t="s">
        <v>1572</v>
      </c>
      <c r="S135" s="36" t="s">
        <v>1066</v>
      </c>
      <c r="T135" s="110" t="s">
        <v>86</v>
      </c>
      <c r="U135" s="75" t="s">
        <v>1573</v>
      </c>
      <c r="V135" s="55" t="s">
        <v>1549</v>
      </c>
      <c r="W135" s="76" t="s">
        <v>1550</v>
      </c>
      <c r="X135" s="77" t="s">
        <v>1574</v>
      </c>
      <c r="Y135" s="78" t="s">
        <v>1572</v>
      </c>
      <c r="Z135" s="63" t="s">
        <v>1575</v>
      </c>
      <c r="AA135" s="79" t="s">
        <v>64</v>
      </c>
      <c r="AB135" s="65"/>
      <c r="AC135" s="66"/>
      <c r="AD135" s="67"/>
      <c r="AE135" s="65"/>
      <c r="AF135" s="65"/>
      <c r="AG135" s="66"/>
      <c r="AH135" s="67"/>
      <c r="AI135" s="65"/>
      <c r="AJ135" s="65"/>
      <c r="AK135" s="66"/>
      <c r="AL135" s="67"/>
      <c r="AM135" s="52"/>
      <c r="AN135" s="80" t="s">
        <v>39</v>
      </c>
      <c r="AO135" s="68" t="str">
        <f t="shared" si="6"/>
        <v>Printmania s. r. o. pocitacova a kancelarska technika, &amp;#32vsetky kategorie  971 01 Prievidza Predaj naplni do tlaciarni. Zamestnavanim znevyhodnenych osob. Printmania s.r.o. Predaj naplni do tlaciarni. napln do tlaciarne, toner, inkjet, kazeta, farba           Register partnerov VS</v>
      </c>
      <c r="AP135" s="82"/>
    </row>
    <row r="136" ht="15.75" customHeight="1">
      <c r="A136" s="45"/>
      <c r="B136" s="70">
        <v>134.0</v>
      </c>
      <c r="C136" s="108" t="s">
        <v>1576</v>
      </c>
      <c r="D136" s="42" t="s">
        <v>181</v>
      </c>
      <c r="E136" s="43" t="str">
        <f t="shared" si="1"/>
        <v>Banskobystrický kraj, &amp;#32celé Slovensko</v>
      </c>
      <c r="F136" s="44" t="s">
        <v>1577</v>
      </c>
      <c r="G136" s="43" t="str">
        <f t="shared" si="2"/>
        <v>čistiace a upratovacie služby, dom a záhrada, ochrana a bezpečnosť, odpady a recyklácia, &amp;#32všetky kategórie</v>
      </c>
      <c r="H136" s="44" t="s">
        <v>53</v>
      </c>
      <c r="I136" s="45" t="str">
        <f t="shared" si="3"/>
        <v>1 - 5, &amp;#32všetky možnosti</v>
      </c>
      <c r="J136" s="46" t="str">
        <f t="shared" si="4"/>
        <v>,</v>
      </c>
      <c r="K136" s="47">
        <f t="shared" si="5"/>
        <v>19105.17227</v>
      </c>
      <c r="L136" s="45"/>
      <c r="M136" s="48" t="str">
        <f>IFERROR(__xludf.DUMMYFUNCTION("SPLIT(O136,"","")"),"Hlavná 279/43")</f>
        <v>Hlavná 279/43</v>
      </c>
      <c r="N136" s="48" t="str">
        <f>IFERROR(__xludf.DUMMYFUNCTION("""COMPUTED_VALUE""")," 976 64 Bacúch")</f>
        <v> 976 64 Bacúch</v>
      </c>
      <c r="O136" s="49" t="s">
        <v>1578</v>
      </c>
      <c r="P136" s="50">
        <v>48.8550891999999</v>
      </c>
      <c r="Q136" s="109">
        <v>19.8079263</v>
      </c>
      <c r="R136" s="103" t="s">
        <v>1579</v>
      </c>
      <c r="S136" s="36" t="s">
        <v>1580</v>
      </c>
      <c r="T136" s="110" t="s">
        <v>86</v>
      </c>
      <c r="U136" s="75" t="s">
        <v>1581</v>
      </c>
      <c r="V136" s="55" t="s">
        <v>1582</v>
      </c>
      <c r="W136" s="76" t="s">
        <v>1583</v>
      </c>
      <c r="X136" s="77" t="s">
        <v>1584</v>
      </c>
      <c r="Y136" s="78" t="s">
        <v>1579</v>
      </c>
      <c r="Z136" s="63" t="s">
        <v>1585</v>
      </c>
      <c r="AA136" s="79" t="s">
        <v>64</v>
      </c>
      <c r="AB136" s="65"/>
      <c r="AC136" s="66"/>
      <c r="AD136" s="67"/>
      <c r="AE136" s="65"/>
      <c r="AF136" s="65"/>
      <c r="AG136" s="66"/>
      <c r="AH136" s="67"/>
      <c r="AI136" s="65"/>
      <c r="AJ136" s="65"/>
      <c r="AK136" s="66"/>
      <c r="AL136" s="67"/>
      <c r="AM136" s="36"/>
      <c r="AN136" s="65"/>
      <c r="AO136" s="68" t="str">
        <f t="shared" si="6"/>
        <v>OH Bacuch, s. r. o. cistiace a upratovacie sluzby, dom a zahrada, ochrana a bezpecnost, odpady a recyklacia, &amp;#32vsetky kategorie  976 64 Bacuch Zabezpecenie komunalnych prac v obci: udrzba zelene, ciest, chodnikov. Podnik zamestnava zdravotne znevyhodnenych obcanov. OH Bacuch, s.r.o. Zabezpecenie komunalnych prac v obci: udrzba zelene, ciest, chodnikov. Zemne prace, kosenie, udrzba ciest, chodnikov, komunalne prace           </v>
      </c>
      <c r="AP136" s="82"/>
    </row>
    <row r="137" ht="15.75" customHeight="1">
      <c r="A137" s="45"/>
      <c r="B137" s="70">
        <v>135.0</v>
      </c>
      <c r="C137" s="108" t="s">
        <v>1586</v>
      </c>
      <c r="D137" s="42" t="s">
        <v>80</v>
      </c>
      <c r="E137" s="43" t="str">
        <f t="shared" si="1"/>
        <v>Trnavský kraj, &amp;#32celé Slovensko</v>
      </c>
      <c r="F137" s="44" t="s">
        <v>1587</v>
      </c>
      <c r="G137" s="43" t="str">
        <f t="shared" si="2"/>
        <v>krása-zdravie-relax, iné (tovary a služby), &amp;#32všetky kategórie</v>
      </c>
      <c r="H137" s="44" t="s">
        <v>53</v>
      </c>
      <c r="I137" s="45" t="str">
        <f t="shared" si="3"/>
        <v>1 - 5, &amp;#32všetky možnosti</v>
      </c>
      <c r="J137" s="46" t="str">
        <f t="shared" si="4"/>
        <v>,</v>
      </c>
      <c r="K137" s="47">
        <f t="shared" si="5"/>
        <v>30052.67266</v>
      </c>
      <c r="L137" s="45"/>
      <c r="M137" s="48" t="str">
        <f>IFERROR(__xludf.DUMMYFUNCTION("SPLIT(O137,"","")"),"Okružná 9")</f>
        <v>Okružná 9</v>
      </c>
      <c r="N137" s="48" t="str">
        <f>IFERROR(__xludf.DUMMYFUNCTION("""COMPUTED_VALUE""")," 976 64 Trnava")</f>
        <v> 976 64 Trnava</v>
      </c>
      <c r="O137" s="49" t="s">
        <v>1588</v>
      </c>
      <c r="P137" s="50">
        <v>48.8558144</v>
      </c>
      <c r="Q137" s="109">
        <v>19.8078356</v>
      </c>
      <c r="R137" s="66" t="s">
        <v>1589</v>
      </c>
      <c r="S137" s="36" t="s">
        <v>1590</v>
      </c>
      <c r="T137" s="110" t="s">
        <v>1591</v>
      </c>
      <c r="U137" s="75" t="s">
        <v>1592</v>
      </c>
      <c r="V137" s="55" t="s">
        <v>1593</v>
      </c>
      <c r="W137" s="76" t="s">
        <v>1594</v>
      </c>
      <c r="X137" s="77" t="s">
        <v>1586</v>
      </c>
      <c r="Y137" s="78" t="s">
        <v>1595</v>
      </c>
      <c r="Z137" s="63" t="s">
        <v>1596</v>
      </c>
      <c r="AA137" s="79" t="s">
        <v>64</v>
      </c>
      <c r="AB137" s="65"/>
      <c r="AC137" s="66"/>
      <c r="AD137" s="67"/>
      <c r="AE137" s="65"/>
      <c r="AF137" s="65"/>
      <c r="AG137" s="66"/>
      <c r="AH137" s="67"/>
      <c r="AI137" s="65"/>
      <c r="AJ137" s="65"/>
      <c r="AK137" s="66"/>
      <c r="AL137" s="67"/>
      <c r="AM137" s="36"/>
      <c r="AN137" s="65"/>
      <c r="AO137" s="68" t="str">
        <f t="shared" si="6"/>
        <v>Mydlaren TAMARA krasa-zdravie-relax, ine (tovary a sluzby), &amp;#32vsetky kategorie  976 64 Trnava Vyrabame a predavame rucne robene mydla roznych druhov a velkosti. Na vyber ponukame rozdielne balenia alebo mydla uvarene na mieru. Nasimi zakaznikmi su firmy a spolocnosti, ktore nakupuju mydla ako svoje reklamne predmety, alebo darceky pre zamestnancov a partnerov. V zmysle poskytovania spolocensky prospesnej sluzby podpory zamestnanosti nase zdruzenie zamestnava zranitelne a znevyhodnene osoby. Ich zamestnavanim zdruzenie sleduje ciel ich (opatovneho) socialneho zaclenenia. Mydlaren TAMARA Vyrabame rucne robene mydla roznych druhov a velkosti. Na vyber tiez ponukame rozdielne balenia alebo mydla uvarene na mieru. domace mydla, reklamne darceky, sampony, darcekove mydla           </v>
      </c>
      <c r="AP137" s="82"/>
    </row>
    <row r="138" ht="15.75" customHeight="1">
      <c r="A138" s="45"/>
      <c r="B138" s="70">
        <v>136.0</v>
      </c>
      <c r="C138" s="108" t="s">
        <v>1597</v>
      </c>
      <c r="D138" s="42" t="s">
        <v>217</v>
      </c>
      <c r="E138" s="43" t="str">
        <f t="shared" si="1"/>
        <v>Košický kraj, &amp;#32celé Slovensko</v>
      </c>
      <c r="F138" s="44" t="s">
        <v>526</v>
      </c>
      <c r="G138" s="43" t="str">
        <f t="shared" si="2"/>
        <v>ubytovacie a stravovacie služby, potraviny a nápoje, &amp;#32všetky kategórie</v>
      </c>
      <c r="H138" s="44" t="s">
        <v>68</v>
      </c>
      <c r="I138" s="45" t="str">
        <f t="shared" si="3"/>
        <v>16 - 20, &amp;#32všetky možnosti</v>
      </c>
      <c r="J138" s="46" t="str">
        <f t="shared" si="4"/>
        <v>,Register partnerov VS</v>
      </c>
      <c r="K138" s="47">
        <f t="shared" si="5"/>
        <v>39975.83781</v>
      </c>
      <c r="L138" s="45"/>
      <c r="M138" s="48" t="str">
        <f>IFERROR(__xludf.DUMMYFUNCTION("SPLIT(O138,"","")"),"Medza 3444/10")</f>
        <v>Medza 3444/10</v>
      </c>
      <c r="N138" s="48" t="str">
        <f>IFERROR(__xludf.DUMMYFUNCTION("""COMPUTED_VALUE""")," 052 01 Spišská Nová Ves")</f>
        <v> 052 01 Spišská Nová Ves</v>
      </c>
      <c r="O138" s="49" t="s">
        <v>1598</v>
      </c>
      <c r="P138" s="50">
        <v>48.9454151</v>
      </c>
      <c r="Q138" s="109">
        <v>20.5546192</v>
      </c>
      <c r="R138" s="66" t="s">
        <v>1599</v>
      </c>
      <c r="S138" s="36" t="s">
        <v>1600</v>
      </c>
      <c r="T138" s="110" t="s">
        <v>1601</v>
      </c>
      <c r="U138" s="75" t="s">
        <v>1602</v>
      </c>
      <c r="V138" s="55" t="s">
        <v>1603</v>
      </c>
      <c r="W138" s="76" t="s">
        <v>1604</v>
      </c>
      <c r="X138" s="77" t="s">
        <v>1605</v>
      </c>
      <c r="Y138" s="78" t="s">
        <v>1606</v>
      </c>
      <c r="Z138" s="63" t="s">
        <v>1607</v>
      </c>
      <c r="AA138" s="79" t="s">
        <v>64</v>
      </c>
      <c r="AB138" s="65"/>
      <c r="AC138" s="66"/>
      <c r="AD138" s="67"/>
      <c r="AE138" s="65"/>
      <c r="AF138" s="65"/>
      <c r="AG138" s="66"/>
      <c r="AH138" s="67"/>
      <c r="AI138" s="65"/>
      <c r="AJ138" s="65"/>
      <c r="AK138" s="66"/>
      <c r="AL138" s="67"/>
      <c r="AM138" s="52"/>
      <c r="AN138" s="80" t="s">
        <v>39</v>
      </c>
      <c r="AO138" s="68" t="str">
        <f t="shared" si="6"/>
        <v>GASTRODOM SPIS s.r.o. ubytovacie a stravovacie sluzby, potraviny a napoje, &amp;#32vsetky kategorie  052 01 Spisska Nova Ves Spolocnost GASTRODOM SPIS a jej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Tie si mozu nasi zakaznici zakupit aj vo forme mrazenych kilovych baleni.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Cinnost nasho podniku sa v prvom rade zameriava na pripravu a vydaj jedal socialne znevyhodnenym obcanom nasho mesta ci dochodcom. Podnik v sucasnosti zamestnava 20 pracovnikov, z ktorych vacsina patri do skupiny znevyhodnenych obcanov (zdravotne postihnuti, absolventi skoly, obcan marginalizovanej romskej komunity, dlhodobo nezamestnani, starsi ako 50 rokov atd.), ktori su na okraji zaujmu beznych zamestnavatelov. Spolocnost podporuje miestnu komunitu, pracuje vylucne s miestnymi dodavatelmi a snazi sa rozvijat aj situaciu v miestnom regione Spis. Fajnotka - domaca kuchyna Spolocnost GASTRODOM SPIS a jeho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ak to situacia dovoluje.
 restauracia, denne menu, obedove menu, obed, domaca kuchyna, slovenska kuchyna, domace jedlo, zdrave recepty, donaska jedla, veganska strava, vegetarianska kuchyna, lokalne jedla, tradicne jedla, lokalne potraviny            Register partnerov VS</v>
      </c>
      <c r="AP138" s="82"/>
    </row>
    <row r="139" ht="15.75" customHeight="1">
      <c r="A139" s="45"/>
      <c r="B139" s="70">
        <v>137.0</v>
      </c>
      <c r="C139" s="108" t="s">
        <v>1608</v>
      </c>
      <c r="D139" s="42" t="s">
        <v>51</v>
      </c>
      <c r="E139" s="43" t="str">
        <f t="shared" si="1"/>
        <v>Prešovský kraj, &amp;#32celé Slovensko</v>
      </c>
      <c r="F139" s="44" t="s">
        <v>1106</v>
      </c>
      <c r="G139" s="43" t="str">
        <f t="shared" si="2"/>
        <v>stavebníctvo, &amp;#32všetky kategórie</v>
      </c>
      <c r="H139" s="44" t="s">
        <v>96</v>
      </c>
      <c r="I139" s="45" t="str">
        <f t="shared" si="3"/>
        <v>6 - 10, &amp;#32všetky možnosti</v>
      </c>
      <c r="J139" s="46" t="str">
        <f t="shared" si="4"/>
        <v>,Register partnerov VS</v>
      </c>
      <c r="K139" s="47">
        <f t="shared" si="5"/>
        <v>36755.46351</v>
      </c>
      <c r="L139" s="45"/>
      <c r="M139" s="48" t="str">
        <f>IFERROR(__xludf.DUMMYFUNCTION("SPLIT(O139,"","")"),"Vyšné Ružbachy 243")</f>
        <v>Vyšné Ružbachy 243</v>
      </c>
      <c r="N139" s="48" t="str">
        <f>IFERROR(__xludf.DUMMYFUNCTION("""COMPUTED_VALUE""")," 065 02 Vyšné Ružbachy")</f>
        <v> 065 02 Vyšné Ružbachy</v>
      </c>
      <c r="O139" s="49" t="s">
        <v>1609</v>
      </c>
      <c r="P139" s="50">
        <v>49.3033462</v>
      </c>
      <c r="Q139" s="109">
        <v>20.5667438</v>
      </c>
      <c r="R139" s="66" t="s">
        <v>1610</v>
      </c>
      <c r="S139" s="36" t="s">
        <v>1611</v>
      </c>
      <c r="T139" s="110" t="s">
        <v>1612</v>
      </c>
      <c r="U139" s="75" t="s">
        <v>1613</v>
      </c>
      <c r="V139" s="55" t="s">
        <v>1614</v>
      </c>
      <c r="W139" s="76" t="s">
        <v>1615</v>
      </c>
      <c r="X139" s="77" t="s">
        <v>1616</v>
      </c>
      <c r="Y139" s="78" t="s">
        <v>1517</v>
      </c>
      <c r="Z139" s="63" t="s">
        <v>1617</v>
      </c>
      <c r="AA139" s="79" t="s">
        <v>64</v>
      </c>
      <c r="AB139" s="65"/>
      <c r="AC139" s="66"/>
      <c r="AD139" s="67"/>
      <c r="AE139" s="65"/>
      <c r="AF139" s="65"/>
      <c r="AG139" s="66"/>
      <c r="AH139" s="67"/>
      <c r="AI139" s="65"/>
      <c r="AJ139" s="65"/>
      <c r="AK139" s="66"/>
      <c r="AL139" s="67"/>
      <c r="AM139" s="52"/>
      <c r="AN139" s="80" t="s">
        <v>39</v>
      </c>
      <c r="AO139" s="68" t="str">
        <f t="shared" si="6"/>
        <v>VALINEK, s. r. o., registrovany socialny podnik stavebnictvo, &amp;#32vsetky kategorie  065 02 Vysne Ruzbachy Zaoberame sa prevazne stavebnou cinnostou. Ponukame sluzby na podporu regionalneho rozvoja a zamestnanosti, zamestnavame prevazne obcanov so zdravotnym postihnutim. VALINEK, s. r. o., r. s. p. Stavebna cinnost. Stavebne prace, vykopove prace, pripravne prace, dlazby, chodniky, oporne mury, oplotenie           Register partnerov VS</v>
      </c>
      <c r="AP139" s="69" t="s">
        <v>41</v>
      </c>
    </row>
    <row r="140" ht="15.75" customHeight="1">
      <c r="A140" s="45"/>
      <c r="B140" s="70">
        <v>138.0</v>
      </c>
      <c r="C140" s="108" t="s">
        <v>1618</v>
      </c>
      <c r="D140" s="42" t="s">
        <v>228</v>
      </c>
      <c r="E140" s="43" t="str">
        <f t="shared" si="1"/>
        <v>Nitriansky kraj, &amp;#32celé Slovensko</v>
      </c>
      <c r="F140" s="44" t="s">
        <v>243</v>
      </c>
      <c r="G140" s="43" t="str">
        <f t="shared" si="2"/>
        <v>potraviny a nápoje, &amp;#32všetky kategórie</v>
      </c>
      <c r="H140" s="44" t="s">
        <v>96</v>
      </c>
      <c r="I140" s="45" t="str">
        <f t="shared" si="3"/>
        <v>6 - 10, &amp;#32všetky možnosti</v>
      </c>
      <c r="J140" s="46" t="str">
        <f t="shared" si="4"/>
        <v>,Register partnerov VS</v>
      </c>
      <c r="K140" s="47">
        <f t="shared" si="5"/>
        <v>10832.75568</v>
      </c>
      <c r="L140" s="45"/>
      <c r="M140" s="48" t="str">
        <f>IFERROR(__xludf.DUMMYFUNCTION("SPLIT(O140,"","")"),"Fučíkova 10")</f>
        <v>Fučíkova 10</v>
      </c>
      <c r="N140" s="48" t="str">
        <f>IFERROR(__xludf.DUMMYFUNCTION("""COMPUTED_VALUE""")," 935 61 Hronovce ")</f>
        <v> 935 61 Hronovce </v>
      </c>
      <c r="O140" s="49" t="s">
        <v>1619</v>
      </c>
      <c r="P140" s="50">
        <v>48.0118168</v>
      </c>
      <c r="Q140" s="109">
        <v>18.6593134</v>
      </c>
      <c r="R140" s="103" t="s">
        <v>1620</v>
      </c>
      <c r="S140" s="36" t="s">
        <v>1621</v>
      </c>
      <c r="T140" s="110" t="s">
        <v>1622</v>
      </c>
      <c r="U140" s="75" t="s">
        <v>1623</v>
      </c>
      <c r="V140" s="55" t="s">
        <v>1624</v>
      </c>
      <c r="W140" s="76" t="s">
        <v>1625</v>
      </c>
      <c r="X140" s="77" t="s">
        <v>1626</v>
      </c>
      <c r="Y140" s="78" t="s">
        <v>1627</v>
      </c>
      <c r="Z140" s="63" t="s">
        <v>1628</v>
      </c>
      <c r="AA140" s="79" t="s">
        <v>64</v>
      </c>
      <c r="AB140" s="65"/>
      <c r="AC140" s="66"/>
      <c r="AD140" s="67"/>
      <c r="AE140" s="65"/>
      <c r="AF140" s="65"/>
      <c r="AG140" s="66"/>
      <c r="AH140" s="67"/>
      <c r="AI140" s="65"/>
      <c r="AJ140" s="65"/>
      <c r="AK140" s="66"/>
      <c r="AL140" s="67"/>
      <c r="AM140" s="52"/>
      <c r="AN140" s="80" t="s">
        <v>39</v>
      </c>
      <c r="AO140" s="68" t="str">
        <f t="shared" si="6"/>
        <v>SOLIDE SLOVAKIA, s.r.o. potraviny a napoje, &amp;#32vsetky kategorie  935 61 Hronovce  Nasa ponuka: vyroba tradicnych cukroviniek (rucna vyroba), kusovy predaj cukroviniek, darcekove balenie vyrobkov z nasej vyroby do roznych baleni (Mikulas, balicky pre deti a seniorov, darcekove kosiky, darcekove balenia pre rozne firemne oslavy), ale aj vymenovane darcekove balenia (mix s nasimi vyrobkami ako aj s klasickym tovarom, kozmeticke balenia) pre rozne spolocenske udalosti. Dosahovanie pozitivneho socialneho vplyvu v nasej spolocnosti splname zamestnavanim zdravotne znevyhodnenych osob. SOLIDE SLOVAKIA s.r.o. Vyroba tradicnych cukroviniek. cukrovinky, kosicky med, kokosky, trubicky, sladkosti, penove cukrovinky, kornutky, sultanky, oblatky, darcekove kose           Register partnerov VS</v>
      </c>
      <c r="AP140" s="69" t="s">
        <v>41</v>
      </c>
    </row>
    <row r="141" ht="15.75" customHeight="1">
      <c r="A141" s="45"/>
      <c r="B141" s="70">
        <v>139.0</v>
      </c>
      <c r="C141" s="108" t="s">
        <v>1629</v>
      </c>
      <c r="D141" s="42" t="s">
        <v>66</v>
      </c>
      <c r="E141" s="43" t="str">
        <f t="shared" si="1"/>
        <v>Žilinský kraj, &amp;#32celé Slovensko</v>
      </c>
      <c r="F141" s="44" t="s">
        <v>243</v>
      </c>
      <c r="G141" s="43" t="str">
        <f t="shared" si="2"/>
        <v>potraviny a nápoje, &amp;#32všetky kategórie</v>
      </c>
      <c r="H141" s="44" t="s">
        <v>170</v>
      </c>
      <c r="I141" s="45" t="str">
        <f t="shared" si="3"/>
        <v>21 a viac, &amp;#32všetky možnosti</v>
      </c>
      <c r="J141" s="46" t="str">
        <f t="shared" si="4"/>
        <v>,</v>
      </c>
      <c r="K141" s="47">
        <f t="shared" si="5"/>
        <v>42393.89311</v>
      </c>
      <c r="L141" s="45"/>
      <c r="M141" s="48" t="str">
        <f>IFERROR(__xludf.DUMMYFUNCTION("SPLIT(O141,"","")"),"Námestie SNP 16")</f>
        <v>Námestie SNP 16</v>
      </c>
      <c r="N141" s="48" t="str">
        <f>IFERROR(__xludf.DUMMYFUNCTION("""COMPUTED_VALUE""")," 015 01 Rajec")</f>
        <v> 015 01 Rajec</v>
      </c>
      <c r="O141" s="49" t="s">
        <v>1630</v>
      </c>
      <c r="P141" s="50">
        <v>49.0880946</v>
      </c>
      <c r="Q141" s="109">
        <v>18.6350244</v>
      </c>
      <c r="R141" s="66" t="s">
        <v>1631</v>
      </c>
      <c r="S141" s="36" t="s">
        <v>1632</v>
      </c>
      <c r="T141" s="110" t="s">
        <v>1633</v>
      </c>
      <c r="U141" s="75" t="s">
        <v>1634</v>
      </c>
      <c r="V141" s="55" t="s">
        <v>1635</v>
      </c>
      <c r="W141" s="76" t="s">
        <v>1636</v>
      </c>
      <c r="X141" s="77" t="s">
        <v>1637</v>
      </c>
      <c r="Y141" s="78" t="s">
        <v>1638</v>
      </c>
      <c r="Z141" s="63" t="s">
        <v>1639</v>
      </c>
      <c r="AA141" s="79" t="s">
        <v>64</v>
      </c>
      <c r="AB141" s="65"/>
      <c r="AC141" s="66"/>
      <c r="AD141" s="67"/>
      <c r="AE141" s="65"/>
      <c r="AF141" s="65"/>
      <c r="AG141" s="66"/>
      <c r="AH141" s="67"/>
      <c r="AI141" s="65"/>
      <c r="AJ141" s="65"/>
      <c r="AK141" s="66"/>
      <c r="AL141" s="67"/>
      <c r="AM141" s="36"/>
      <c r="AN141" s="65"/>
      <c r="AO141" s="68" t="str">
        <f t="shared" si="6"/>
        <v>LABORE n. o., registrovany socialny podnik potraviny a napoje, &amp;#32vsetky kategorie  015 01 Rajec Nas registrovany socialny podnik je primarne orientovany na vyrobu kolacov, zakuskov, tort a medovnikov (aj zdobenych). Vyrobky predavame v nasej cukrarni alebo na objednavku. Vyrobky vieme vyrobit aj s logom firmy. Nasimi zakaznikmi su vacsinou firmy, podnikatelia ale aj fyzicke osoby (napr. na rodinne oslavy a pod.). V nasej cukrarni predavame aj vyrobky dalsich znevyhodnenych ludi zo Slovenska. Zamestnavanim znevyhodnenych a zranitelnych na trhu prace - momentalne tvoria az 80% vsetkych zamestnancov. RAJecke Radosti - cukraren v Rajeckych Tepliciach V prevadzke cukrarne predavame nase cukrarenske vyrobky a tiez darcekove predmety - vyrobky znevyhodnenych ludi zo Slovenska. cukraren, medovniky, kolace, zakusky, torty, rucne vyrabane darcekove predmety           </v>
      </c>
      <c r="AP141" s="69" t="s">
        <v>41</v>
      </c>
    </row>
    <row r="142" ht="15.75" customHeight="1">
      <c r="A142" s="45"/>
      <c r="B142" s="70">
        <v>140.0</v>
      </c>
      <c r="C142" s="108" t="s">
        <v>1640</v>
      </c>
      <c r="D142" s="42" t="s">
        <v>217</v>
      </c>
      <c r="E142" s="43" t="str">
        <f t="shared" si="1"/>
        <v>Košický kraj, &amp;#32celé Slovensko</v>
      </c>
      <c r="F142" s="44" t="s">
        <v>526</v>
      </c>
      <c r="G142" s="43" t="str">
        <f t="shared" si="2"/>
        <v>ubytovacie a stravovacie služby, potraviny a nápoje, &amp;#32všetky kategórie</v>
      </c>
      <c r="H142" s="44" t="s">
        <v>96</v>
      </c>
      <c r="I142" s="45" t="str">
        <f t="shared" si="3"/>
        <v>6 - 10, &amp;#32všetky možnosti</v>
      </c>
      <c r="J142" s="46" t="str">
        <f t="shared" si="4"/>
        <v>,Register partnerov VS</v>
      </c>
      <c r="K142" s="47">
        <f t="shared" si="5"/>
        <v>39527.1969</v>
      </c>
      <c r="L142" s="45"/>
      <c r="M142" s="48" t="str">
        <f>IFERROR(__xludf.DUMMYFUNCTION("SPLIT(O142,"","")"),"Mojmírova 787/12")</f>
        <v>Mojmírova 787/12</v>
      </c>
      <c r="N142" s="48" t="str">
        <f>IFERROR(__xludf.DUMMYFUNCTION("""COMPUTED_VALUE"""),"  040 01 Košice - Staré Mesto")</f>
        <v>  040 01 Košice - Staré Mesto</v>
      </c>
      <c r="O142" s="49" t="s">
        <v>1641</v>
      </c>
      <c r="P142" s="50">
        <v>48.7168873</v>
      </c>
      <c r="Q142" s="109">
        <v>21.2582551</v>
      </c>
      <c r="R142" s="66" t="s">
        <v>1642</v>
      </c>
      <c r="S142" s="36" t="s">
        <v>1643</v>
      </c>
      <c r="T142" s="110" t="s">
        <v>86</v>
      </c>
      <c r="U142" s="75" t="s">
        <v>1644</v>
      </c>
      <c r="V142" s="55" t="s">
        <v>1645</v>
      </c>
      <c r="W142" s="76" t="s">
        <v>1646</v>
      </c>
      <c r="X142" s="77" t="s">
        <v>1647</v>
      </c>
      <c r="Y142" s="78" t="s">
        <v>1648</v>
      </c>
      <c r="Z142" s="63" t="s">
        <v>1649</v>
      </c>
      <c r="AA142" s="79" t="s">
        <v>64</v>
      </c>
      <c r="AB142" s="65"/>
      <c r="AC142" s="66"/>
      <c r="AD142" s="67"/>
      <c r="AE142" s="65"/>
      <c r="AF142" s="65"/>
      <c r="AG142" s="66"/>
      <c r="AH142" s="67"/>
      <c r="AI142" s="65"/>
      <c r="AJ142" s="65"/>
      <c r="AK142" s="66"/>
      <c r="AL142" s="67"/>
      <c r="AM142" s="52"/>
      <c r="AN142" s="80" t="s">
        <v>39</v>
      </c>
      <c r="AO142" s="68" t="str">
        <f t="shared" si="6"/>
        <v>Fajnoty s. r. o. r. s. p. ubytovacie a stravovacie sluzby, potraviny a napoje, &amp;#32vsetky kategorie   040 01 Kosice - Stare Mesto Sluzby a tovary v gastro sektore. Podpora zamestnanosti znevyhodnenych a zranitelnych osob. Fajnoty s.r.o. r.s.p. Ponuka tovaru a sluzieb v gastro sektore. salaty, kolace, balene hotove jedla           Register partnerov VS</v>
      </c>
      <c r="AP142" s="82"/>
    </row>
    <row r="143" ht="15.75" customHeight="1">
      <c r="A143" s="45"/>
      <c r="B143" s="70">
        <v>141.0</v>
      </c>
      <c r="C143" s="108" t="s">
        <v>1650</v>
      </c>
      <c r="D143" s="42" t="s">
        <v>181</v>
      </c>
      <c r="E143" s="43" t="str">
        <f t="shared" si="1"/>
        <v>Banskobystrický kraj, &amp;#32celé Slovensko</v>
      </c>
      <c r="F143" s="44" t="s">
        <v>1106</v>
      </c>
      <c r="G143" s="43" t="str">
        <f t="shared" si="2"/>
        <v>stavebníctvo, &amp;#32všetky kategórie</v>
      </c>
      <c r="H143" s="44" t="s">
        <v>82</v>
      </c>
      <c r="I143" s="45" t="str">
        <f t="shared" si="3"/>
        <v>11 - 15, &amp;#32všetky možnosti</v>
      </c>
      <c r="J143" s="46" t="str">
        <f t="shared" si="4"/>
        <v>,Register partnerov VS</v>
      </c>
      <c r="K143" s="47">
        <f t="shared" si="5"/>
        <v>20155.99374</v>
      </c>
      <c r="L143" s="45"/>
      <c r="M143" s="48" t="str">
        <f>IFERROR(__xludf.DUMMYFUNCTION("SPLIT(O143,"","")"),"Banská Belá 501")</f>
        <v>Banská Belá 501</v>
      </c>
      <c r="N143" s="48" t="str">
        <f>IFERROR(__xludf.DUMMYFUNCTION("""COMPUTED_VALUE""")," 966 15 Banská Belá")</f>
        <v> 966 15 Banská Belá</v>
      </c>
      <c r="O143" s="49" t="s">
        <v>1651</v>
      </c>
      <c r="P143" s="50">
        <v>48.4753584</v>
      </c>
      <c r="Q143" s="109">
        <v>18.9333675</v>
      </c>
      <c r="R143" s="103" t="s">
        <v>1652</v>
      </c>
      <c r="S143" s="36" t="s">
        <v>1653</v>
      </c>
      <c r="T143" s="110" t="s">
        <v>1654</v>
      </c>
      <c r="U143" s="75" t="s">
        <v>1655</v>
      </c>
      <c r="V143" s="55" t="s">
        <v>1656</v>
      </c>
      <c r="W143" s="76" t="s">
        <v>1657</v>
      </c>
      <c r="X143" s="77" t="s">
        <v>1650</v>
      </c>
      <c r="Y143" s="78" t="s">
        <v>1658</v>
      </c>
      <c r="Z143" s="63" t="s">
        <v>1659</v>
      </c>
      <c r="AA143" s="79" t="s">
        <v>64</v>
      </c>
      <c r="AB143" s="65"/>
      <c r="AC143" s="66"/>
      <c r="AD143" s="67"/>
      <c r="AE143" s="65"/>
      <c r="AF143" s="65"/>
      <c r="AG143" s="66"/>
      <c r="AH143" s="67"/>
      <c r="AI143" s="65"/>
      <c r="AJ143" s="65"/>
      <c r="AK143" s="66"/>
      <c r="AL143" s="67"/>
      <c r="AM143" s="52"/>
      <c r="AN143" s="80" t="s">
        <v>39</v>
      </c>
      <c r="AO143" s="68" t="str">
        <f t="shared" si="6"/>
        <v>Stavebny socialny podnik s. r. o. stavebnictvo, &amp;#32vsetky kategorie  966 15 Banska Bela Stavebny socialny podnik s. r. o. je stavebna firma, ktora sa venuje najma stavebnej vyrobe a uskutocnovaniu stavieb. Hlavnou cinnostou su stavebne prace, vykonavanie zemnych prac, buracich prac, pomocnych stavebnych prac a s tym suvisiacich pridruzenych cinnosti. Nasim cielom je, aby si znevyhodneni zamestnanci, ktori u nas pracuju, osvojili v co najvacsej moznej miere pracovne navyky a dokazali sa tak postupne integrovat na trh prace a byt plnohodnotnymi zamestnancami. Stavebny socialny podnik s. r. o. Hlavnym predmetom podnikania je uskutocnovanie stavieb a ich zmien. stavebne prace
zemne prace
buracie prace
pomocne stavebne prace
suvisiace pridruzene cinnosti           Register partnerov VS</v>
      </c>
      <c r="AP143" s="82"/>
    </row>
    <row r="144" ht="15.75" customHeight="1">
      <c r="A144" s="45"/>
      <c r="B144" s="70">
        <v>142.0</v>
      </c>
      <c r="C144" s="108" t="s">
        <v>1660</v>
      </c>
      <c r="D144" s="42" t="s">
        <v>51</v>
      </c>
      <c r="E144" s="43" t="str">
        <f t="shared" si="1"/>
        <v>Prešovský kraj, &amp;#32celé Slovensko</v>
      </c>
      <c r="F144" s="44" t="s">
        <v>1661</v>
      </c>
      <c r="G144" s="43" t="str">
        <f t="shared" si="2"/>
        <v>čistiace a upratovacie služby, ubytovacie a stravovacie služby, &amp;#32všetky kategórie</v>
      </c>
      <c r="H144" s="44" t="s">
        <v>82</v>
      </c>
      <c r="I144" s="45" t="str">
        <f t="shared" si="3"/>
        <v>11 - 15, &amp;#32všetky možnosti</v>
      </c>
      <c r="J144" s="46" t="str">
        <f t="shared" si="4"/>
        <v>,Register partnerov VS</v>
      </c>
      <c r="K144" s="47">
        <f t="shared" si="5"/>
        <v>2850.304443</v>
      </c>
      <c r="L144" s="45"/>
      <c r="M144" s="48" t="str">
        <f>IFERROR(__xludf.DUMMYFUNCTION("SPLIT(O144,"","")"),"Dukelská 31")</f>
        <v>Dukelská 31</v>
      </c>
      <c r="N144" s="48" t="str">
        <f>IFERROR(__xludf.DUMMYFUNCTION("""COMPUTED_VALUE""")," 087 01 Giraltovce")</f>
        <v> 087 01 Giraltovce</v>
      </c>
      <c r="O144" s="49" t="s">
        <v>1662</v>
      </c>
      <c r="P144" s="50">
        <v>49.1106171</v>
      </c>
      <c r="Q144" s="109">
        <v>21.5119673</v>
      </c>
      <c r="R144" s="103" t="s">
        <v>1663</v>
      </c>
      <c r="S144" s="36" t="s">
        <v>803</v>
      </c>
      <c r="T144" s="110" t="s">
        <v>86</v>
      </c>
      <c r="U144" s="75" t="s">
        <v>1664</v>
      </c>
      <c r="V144" s="55" t="s">
        <v>1665</v>
      </c>
      <c r="W144" s="76" t="s">
        <v>1666</v>
      </c>
      <c r="X144" s="77" t="s">
        <v>1667</v>
      </c>
      <c r="Y144" s="78" t="s">
        <v>1668</v>
      </c>
      <c r="Z144" s="63" t="s">
        <v>1669</v>
      </c>
      <c r="AA144" s="79" t="s">
        <v>64</v>
      </c>
      <c r="AB144" s="65"/>
      <c r="AC144" s="66"/>
      <c r="AD144" s="67"/>
      <c r="AE144" s="65"/>
      <c r="AF144" s="65"/>
      <c r="AG144" s="66"/>
      <c r="AH144" s="67"/>
      <c r="AI144" s="65"/>
      <c r="AJ144" s="65"/>
      <c r="AK144" s="66"/>
      <c r="AL144" s="67"/>
      <c r="AM144" s="52"/>
      <c r="AN144" s="80" t="s">
        <v>39</v>
      </c>
      <c r="AO144" s="68" t="str">
        <f t="shared" si="6"/>
        <v>Integracia s. r. o. cistiace a upratovacie sluzby, ubytovacie a stravovacie sluzby, &amp;#32vsetky kategorie  087 01 Giraltovce Ponukame stravovanie a sluzby pracovne. Zamestnavame obcanov so zdravotnym postihnutim. Integracia s.r.o. RSP Ponukame sluzby pracovne, ubytovanie. pracovna, stravovacie sluzby           Register partnerov VS</v>
      </c>
      <c r="AP144" s="82"/>
    </row>
    <row r="145" ht="15.75" customHeight="1">
      <c r="A145" s="45"/>
      <c r="B145" s="70">
        <v>143.0</v>
      </c>
      <c r="C145" s="108" t="s">
        <v>1670</v>
      </c>
      <c r="D145" s="42" t="s">
        <v>228</v>
      </c>
      <c r="E145" s="43" t="str">
        <f t="shared" si="1"/>
        <v>Nitriansky kraj, &amp;#32celé Slovensko</v>
      </c>
      <c r="F145" s="44" t="s">
        <v>1671</v>
      </c>
      <c r="G145" s="43" t="str">
        <f t="shared" si="2"/>
        <v>čistiace a upratovacie služby, poľnohospodárstvo a lesníctvo, dom a záhrada, stavebníctvo, účtovníctvo a poradenstvo, &amp;#32všetky kategórie</v>
      </c>
      <c r="H145" s="44" t="s">
        <v>96</v>
      </c>
      <c r="I145" s="45" t="str">
        <f t="shared" si="3"/>
        <v>6 - 10, &amp;#32všetky možnosti</v>
      </c>
      <c r="J145" s="46" t="str">
        <f t="shared" si="4"/>
        <v>,Register partnerov VS</v>
      </c>
      <c r="K145" s="47">
        <f t="shared" si="5"/>
        <v>40576.46301</v>
      </c>
      <c r="L145" s="45"/>
      <c r="M145" s="48" t="str">
        <f>IFERROR(__xludf.DUMMYFUNCTION("SPLIT(O145,"","")"),"Tehla 88")</f>
        <v>Tehla 88</v>
      </c>
      <c r="N145" s="48" t="str">
        <f>IFERROR(__xludf.DUMMYFUNCTION("""COMPUTED_VALUE""")," 935 35 Tehla")</f>
        <v> 935 35 Tehla</v>
      </c>
      <c r="O145" s="49" t="s">
        <v>1672</v>
      </c>
      <c r="P145" s="50">
        <v>48.1819851</v>
      </c>
      <c r="Q145" s="109">
        <v>18.3826649</v>
      </c>
      <c r="R145" s="103" t="s">
        <v>1673</v>
      </c>
      <c r="S145" s="36" t="s">
        <v>1674</v>
      </c>
      <c r="T145" s="110" t="s">
        <v>1675</v>
      </c>
      <c r="U145" s="75" t="s">
        <v>1676</v>
      </c>
      <c r="V145" s="55" t="s">
        <v>1677</v>
      </c>
      <c r="W145" s="76" t="s">
        <v>1678</v>
      </c>
      <c r="X145" s="77" t="s">
        <v>1679</v>
      </c>
      <c r="Y145" s="78" t="s">
        <v>1680</v>
      </c>
      <c r="Z145" s="63" t="s">
        <v>1681</v>
      </c>
      <c r="AA145" s="79" t="s">
        <v>64</v>
      </c>
      <c r="AB145" s="65"/>
      <c r="AC145" s="66"/>
      <c r="AD145" s="67"/>
      <c r="AE145" s="65"/>
      <c r="AF145" s="65"/>
      <c r="AG145" s="66"/>
      <c r="AH145" s="67"/>
      <c r="AI145" s="65"/>
      <c r="AJ145" s="65"/>
      <c r="AK145" s="66"/>
      <c r="AL145" s="67"/>
      <c r="AM145" s="52"/>
      <c r="AN145" s="80" t="s">
        <v>39</v>
      </c>
      <c r="AO145" s="68" t="str">
        <f t="shared" si="6"/>
        <v>TEHLAN, s. r. o. cistiace a upratovacie sluzby, polnohospodarstvo a lesnictvo, dom a zahrada, stavebnictvo, uctovnictvo a poradenstvo, &amp;#32vsetky kategorie  935 35 Tehla Poskytujeme mensiu stavebnu cinnost, letnu a zimnu udrzbu, upratovacie prace a vedenie uctovnictva. Medzi nasich zakaznikov patria najma obcania a obce v regione. Nas podnik zamestnava najma zdravotne znevyhodnene osoby, cim im poskytujeme moznost integracie. TEHLAN, s.r.o. Poskytujeme stavebnu cinnost, letnu a zimnu udrzbu, upratovacie sluzby a vedenie uctovnictva. zemne prace, buranie, stavebne prace, kosenie, upratovanie, vedenie uctovnictva           Register partnerov VS</v>
      </c>
      <c r="AP145" s="82"/>
    </row>
    <row r="146" ht="15.75" customHeight="1">
      <c r="A146" s="45"/>
      <c r="B146" s="70">
        <v>144.0</v>
      </c>
      <c r="C146" s="108" t="s">
        <v>1682</v>
      </c>
      <c r="D146" s="42" t="s">
        <v>228</v>
      </c>
      <c r="E146" s="43" t="str">
        <f t="shared" si="1"/>
        <v>Nitriansky kraj, &amp;#32celé Slovensko</v>
      </c>
      <c r="F146" s="44" t="s">
        <v>672</v>
      </c>
      <c r="G146" s="43" t="str">
        <f t="shared" si="2"/>
        <v>čistiace a upratovacie služby, dom a záhrada, &amp;#32všetky kategórie</v>
      </c>
      <c r="H146" s="44" t="s">
        <v>53</v>
      </c>
      <c r="I146" s="45" t="str">
        <f t="shared" si="3"/>
        <v>1 - 5, &amp;#32všetky možnosti</v>
      </c>
      <c r="J146" s="46" t="str">
        <f t="shared" si="4"/>
        <v>,</v>
      </c>
      <c r="K146" s="47">
        <f t="shared" si="5"/>
        <v>5458.060644</v>
      </c>
      <c r="L146" s="45"/>
      <c r="M146" s="48" t="str">
        <f>IFERROR(__xludf.DUMMYFUNCTION("SPLIT(O146,"","")"),"Bátovce 2")</f>
        <v>Bátovce 2</v>
      </c>
      <c r="N146" s="48" t="str">
        <f>IFERROR(__xludf.DUMMYFUNCTION("""COMPUTED_VALUE""")," 935 03 Bátovce")</f>
        <v> 935 03 Bátovce</v>
      </c>
      <c r="O146" s="49" t="s">
        <v>1683</v>
      </c>
      <c r="P146" s="50">
        <v>48.2911605</v>
      </c>
      <c r="Q146" s="109">
        <v>18.7450585</v>
      </c>
      <c r="R146" s="66" t="s">
        <v>1684</v>
      </c>
      <c r="S146" s="36" t="s">
        <v>1685</v>
      </c>
      <c r="T146" s="110" t="s">
        <v>86</v>
      </c>
      <c r="U146" s="75" t="s">
        <v>1686</v>
      </c>
      <c r="V146" s="84" t="s">
        <v>1687</v>
      </c>
      <c r="W146" s="76" t="s">
        <v>1688</v>
      </c>
      <c r="X146" s="77" t="s">
        <v>1689</v>
      </c>
      <c r="Y146" s="78" t="s">
        <v>1690</v>
      </c>
      <c r="Z146" s="63" t="s">
        <v>1691</v>
      </c>
      <c r="AA146" s="79" t="s">
        <v>64</v>
      </c>
      <c r="AB146" s="65"/>
      <c r="AC146" s="66"/>
      <c r="AD146" s="67"/>
      <c r="AE146" s="65"/>
      <c r="AF146" s="65"/>
      <c r="AG146" s="66"/>
      <c r="AH146" s="67"/>
      <c r="AI146" s="65"/>
      <c r="AJ146" s="65"/>
      <c r="AK146" s="66"/>
      <c r="AL146" s="67"/>
      <c r="AM146" s="36"/>
      <c r="AN146" s="65"/>
      <c r="AO146" s="68" t="str">
        <f t="shared" si="6"/>
        <v>Batovske sluzby, s. r. o. cistiace a upratovacie sluzby, dom a zahrada, &amp;#32vsetky kategorie  935 03 Batovce Udrzba verejnych priestranstiev, technicke prace, cistiace prace, reklama . Okrem  zamestnavania znevyhodnenych osob poskytujeme sluzby seniorom a obcanom v nudzi.  Batovske sluzby, s.r.o. Udrzba verejnych priestranstiev,  technicke sluzby, sluzby obcanom ako pilenie dreva, kosenie zahrad, rylovanie, udrzba zelene, cistiace prace... kosenie, rylovanie, pilenie, upratovanie, opilovanie, malovanie, zemne prace...           </v>
      </c>
      <c r="AP146" s="82"/>
    </row>
    <row r="147" ht="15.75" customHeight="1">
      <c r="A147" s="45"/>
      <c r="B147" s="70">
        <v>145.0</v>
      </c>
      <c r="C147" s="108" t="s">
        <v>1692</v>
      </c>
      <c r="D147" s="42" t="s">
        <v>217</v>
      </c>
      <c r="E147" s="43" t="str">
        <f t="shared" si="1"/>
        <v>Košický kraj, &amp;#32celé Slovensko</v>
      </c>
      <c r="F147" s="44" t="s">
        <v>1693</v>
      </c>
      <c r="G147" s="43" t="str">
        <f t="shared" si="2"/>
        <v>čistiace a upratovacie služby, odevy a obuv, kultúra a šport, bižutéria a darčekové predmety, &amp;#32všetky kategórie</v>
      </c>
      <c r="H147" s="44" t="s">
        <v>53</v>
      </c>
      <c r="I147" s="45" t="str">
        <f t="shared" si="3"/>
        <v>1 - 5, &amp;#32všetky možnosti</v>
      </c>
      <c r="J147" s="46" t="str">
        <f t="shared" si="4"/>
        <v>,</v>
      </c>
      <c r="K147" s="47">
        <f t="shared" si="5"/>
        <v>29611.88737</v>
      </c>
      <c r="L147" s="45"/>
      <c r="M147" s="48" t="str">
        <f>IFERROR(__xludf.DUMMYFUNCTION("SPLIT(O147,"","")"),"Rejdová 47")</f>
        <v>Rejdová 47</v>
      </c>
      <c r="N147" s="48" t="str">
        <f>IFERROR(__xludf.DUMMYFUNCTION("""COMPUTED_VALUE""")," 049 26 Rejdová")</f>
        <v> 049 26 Rejdová</v>
      </c>
      <c r="O147" s="49" t="s">
        <v>1694</v>
      </c>
      <c r="P147" s="50">
        <v>48.7909838</v>
      </c>
      <c r="Q147" s="109">
        <v>20.2858011</v>
      </c>
      <c r="R147" s="103" t="s">
        <v>1695</v>
      </c>
      <c r="S147" s="36" t="s">
        <v>1696</v>
      </c>
      <c r="T147" s="110" t="s">
        <v>1697</v>
      </c>
      <c r="U147" s="75" t="s">
        <v>1698</v>
      </c>
      <c r="V147" s="55" t="s">
        <v>1699</v>
      </c>
      <c r="W147" s="76" t="s">
        <v>1700</v>
      </c>
      <c r="X147" s="77" t="s">
        <v>1692</v>
      </c>
      <c r="Y147" s="78" t="s">
        <v>1701</v>
      </c>
      <c r="Z147" s="63" t="s">
        <v>1702</v>
      </c>
      <c r="AA147" s="79" t="s">
        <v>64</v>
      </c>
      <c r="AB147" s="65"/>
      <c r="AC147" s="66"/>
      <c r="AD147" s="67"/>
      <c r="AE147" s="65"/>
      <c r="AF147" s="65"/>
      <c r="AG147" s="66"/>
      <c r="AH147" s="67"/>
      <c r="AI147" s="65"/>
      <c r="AJ147" s="65"/>
      <c r="AK147" s="66"/>
      <c r="AL147" s="67"/>
      <c r="AM147" s="36"/>
      <c r="AN147" s="65"/>
      <c r="AO147" s="68" t="str">
        <f t="shared" si="6"/>
        <v>Rejdovka s.r.o. cistiace a upratovacie sluzby, odevy a obuv, kultura a sport, bizuteria a darcekove predmety, &amp;#32vsetky kategorie  049 26 Rejdova Hlavnou cinnostou Rejdovky s.r.o. - RSP je sitie krojov a krojovych sucasti, ktore ma v nasej obci dlhorocnu tradiciu. Kroje ponukame predovsetkym folklornym suborom nielen z oblasti Gemera, ale aj celeho Slovenska. Nasimi zakaznikmi su aj jednotlivci - milovnici folkloru, ktori si daju nase produkty vyrobit pre vlastnu potrebu, prip. ako darcek. Okrem kroja ako odevu ponukame aj krojovane babiky, ktorych vyroba je cisto na zakazku podla zelania zakaznika. Pri vyrobe krojov sa snazime dodrzat tradicnu technologiu vyroby - rucna palickovana cipka, rucne vysivanie a pod. Doplnkovymi cinnostami su napr.: oprava odevov, vyroba darcekovych predmetov z textilu, vyroba hackovanych bytovych doplnkov, rucne vysivanych opaskov, motylikov a ine. V pripade zaujmu je mozne zhotovit aj ine textilne vyrobky - napr. postelnu bielizen, obrusy, zastery, nakupne tasky, chnapky a pod. Spolocnost sa zaobera aj upratovacimi sluzbami, ktore poskytuje pre obec. Podnik zamestnava prevazne ludi so zdravotnym postihnutim a inak znevyhodnenych (osamele matky s detmi, prislusnici romskej komunity a pod.). Snazime sa im vytvarat vhodne pracovne podmienky pre ich pracu a zaclenenie do pracovneho prostredia. Zdravotne postihnuti zamestnanci maju k dispozicii aj pracovnych asistentov. Zalozenim nasho RSP sme zaroven uchovali dlhorocnu tradiciu sitia krojov v nasej obci a prispeli sme tak k uchovaniu kulturneho bohatstva nasich predkov. Rejdovka s.r.o. RSP ponuka sitie krojov a krojovych sucasti na zakazku. Kroje sijeme prevazne pre folklorne kolektivy z celeho Slovenska, ale aj pre jednotlivcov, deti a mladez. Taktiez ponukame vyrobu darcekovych predmetov z textilu - tasky, vysivane opasky a motyliky, bavlnene ruska , krojovane babiky a ine. kroje, darcekove predmety, krojovana babika, rusko, taska, vysivany opasok, vysivany motylik, sukna, zastera, lajblik, vysivana vreckovka, palickovana cipka, parta, veniec, upratovanie a ine.           </v>
      </c>
      <c r="AP147" s="69" t="s">
        <v>41</v>
      </c>
    </row>
    <row r="148" ht="15.75" customHeight="1">
      <c r="A148" s="45"/>
      <c r="B148" s="70">
        <v>146.0</v>
      </c>
      <c r="C148" s="108" t="s">
        <v>1703</v>
      </c>
      <c r="D148" s="42" t="s">
        <v>51</v>
      </c>
      <c r="E148" s="43" t="str">
        <f t="shared" si="1"/>
        <v>Prešovský kraj, &amp;#32celé Slovensko</v>
      </c>
      <c r="F148" s="44" t="s">
        <v>1704</v>
      </c>
      <c r="G148" s="43" t="str">
        <f t="shared" si="2"/>
        <v>čistiace a upratovacie služby, poľnohospodárstvo a lesníctvo, stavebníctvo, kultúra a šport, reklama, &amp;#32všetky kategórie</v>
      </c>
      <c r="H148" s="44" t="s">
        <v>170</v>
      </c>
      <c r="I148" s="45" t="str">
        <f t="shared" si="3"/>
        <v>21 a viac, &amp;#32všetky možnosti</v>
      </c>
      <c r="J148" s="46" t="str">
        <f t="shared" si="4"/>
        <v>,Register partnerov VS</v>
      </c>
      <c r="K148" s="47">
        <f t="shared" si="5"/>
        <v>11436.33732</v>
      </c>
      <c r="L148" s="45"/>
      <c r="M148" s="48" t="str">
        <f>IFERROR(__xludf.DUMMYFUNCTION("SPLIT(O148,"","")"),"Levočská 355/21 ")</f>
        <v>Levočská 355/21 </v>
      </c>
      <c r="N148" s="48" t="str">
        <f>IFERROR(__xludf.DUMMYFUNCTION("""COMPUTED_VALUE""")," 064 01 Stará Ľubovňa")</f>
        <v> 064 01 Stará Ľubovňa</v>
      </c>
      <c r="O148" s="49" t="s">
        <v>1705</v>
      </c>
      <c r="P148" s="50">
        <v>49.2880879</v>
      </c>
      <c r="Q148" s="109">
        <v>20.6907326</v>
      </c>
      <c r="R148" s="103" t="s">
        <v>1706</v>
      </c>
      <c r="S148" s="36" t="s">
        <v>1707</v>
      </c>
      <c r="T148" s="110" t="s">
        <v>1708</v>
      </c>
      <c r="U148" s="75" t="s">
        <v>1709</v>
      </c>
      <c r="V148" s="55" t="s">
        <v>1710</v>
      </c>
      <c r="W148" s="76" t="s">
        <v>1711</v>
      </c>
      <c r="X148" s="77" t="s">
        <v>1712</v>
      </c>
      <c r="Y148" s="78" t="s">
        <v>1713</v>
      </c>
      <c r="Z148" s="63" t="s">
        <v>1714</v>
      </c>
      <c r="AA148" s="79" t="s">
        <v>64</v>
      </c>
      <c r="AB148" s="65"/>
      <c r="AC148" s="66"/>
      <c r="AD148" s="67"/>
      <c r="AE148" s="65"/>
      <c r="AF148" s="65"/>
      <c r="AG148" s="66"/>
      <c r="AH148" s="67"/>
      <c r="AI148" s="65"/>
      <c r="AJ148" s="65"/>
      <c r="AK148" s="66"/>
      <c r="AL148" s="67"/>
      <c r="AM148" s="52"/>
      <c r="AN148" s="80" t="s">
        <v>39</v>
      </c>
      <c r="AO148" s="68" t="str">
        <f t="shared" si="6"/>
        <v>Verejnoprospesne sluzby Stara Lubovna, s.r.o. cistiace a upratovacie sluzby, polnohospodarstvo a lesnictvo, stavebnictvo, kultura a sport, reklama, &amp;#32vsetky kategorie  064 01 Stara Lubovna Primarnym zamerom spolocnosti su cinnosti spojene s udrzbou verejnych priestranstiev, poskytovanim jednoduchych a dokoncovacich stavebnych prac, udrzba objektov vo vlastnictve mesta Stara Lubovna, cistenie chodnikov a komunikacii. V buducnosti je zamerom socialneho podniku poskytovanie cinnosti v oblasti vydavatelskej cinnosti. Poskytujeme sluzby na podporu zamestnanosti, a to zamestnavanim znevyhodnenych a zranitelnych osob. Verejnoprospesne sluzby Stara Lubovna, s. r. o. Udrzba verejnej zelene a zimna udrzba chodnikov, kosenie verejnych priestranstiev, starostlivost o zelen, kosenie a hrabanie travy a listia, strihanie zivych plotov, orezavanie stromov, drobne stavebne upravy. Uskutocnovanie stavieb a ich zmien,  Pripravne prace k realizacii stavby, verejne obstaravanie, sluzby suvisiace s produkciou filmov, videozaznamov a zvukovych nahravok, kosenie verejnych priestranstiev           Register partnerov VS</v>
      </c>
      <c r="AP148" s="69" t="s">
        <v>41</v>
      </c>
    </row>
    <row r="149" ht="15.75" customHeight="1">
      <c r="A149" s="45"/>
      <c r="B149" s="70">
        <v>147.0</v>
      </c>
      <c r="C149" s="108" t="s">
        <v>1715</v>
      </c>
      <c r="D149" s="42" t="s">
        <v>94</v>
      </c>
      <c r="E149" s="43" t="str">
        <f t="shared" si="1"/>
        <v>Bratislavský kraj, &amp;#32celé Slovensko</v>
      </c>
      <c r="F149" s="44" t="s">
        <v>1106</v>
      </c>
      <c r="G149" s="43" t="str">
        <f t="shared" si="2"/>
        <v>stavebníctvo, &amp;#32všetky kategórie</v>
      </c>
      <c r="H149" s="44" t="s">
        <v>53</v>
      </c>
      <c r="I149" s="45" t="str">
        <f t="shared" si="3"/>
        <v>1 - 5, &amp;#32všetky možnosti</v>
      </c>
      <c r="J149" s="46" t="str">
        <f t="shared" si="4"/>
        <v>,Register partnerov VS</v>
      </c>
      <c r="K149" s="47">
        <f t="shared" si="5"/>
        <v>41571.06406</v>
      </c>
      <c r="L149" s="45"/>
      <c r="M149" s="48" t="str">
        <f>IFERROR(__xludf.DUMMYFUNCTION("SPLIT(O149,"","")"),"Mudroňova 1751/64")</f>
        <v>Mudroňova 1751/64</v>
      </c>
      <c r="N149" s="48" t="str">
        <f>IFERROR(__xludf.DUMMYFUNCTION("""COMPUTED_VALUE""")," 811 03 Bratislava")</f>
        <v> 811 03 Bratislava</v>
      </c>
      <c r="O149" s="49" t="s">
        <v>1716</v>
      </c>
      <c r="P149" s="50">
        <v>48.1478083</v>
      </c>
      <c r="Q149" s="109">
        <v>17.0893462</v>
      </c>
      <c r="R149" s="66" t="s">
        <v>1717</v>
      </c>
      <c r="S149" s="36" t="s">
        <v>1462</v>
      </c>
      <c r="T149" s="110" t="s">
        <v>86</v>
      </c>
      <c r="U149" s="75" t="s">
        <v>1718</v>
      </c>
      <c r="V149" s="84" t="s">
        <v>1719</v>
      </c>
      <c r="W149" s="76" t="s">
        <v>1720</v>
      </c>
      <c r="X149" s="77" t="s">
        <v>1715</v>
      </c>
      <c r="Y149" s="78" t="s">
        <v>1717</v>
      </c>
      <c r="Z149" s="63" t="s">
        <v>1721</v>
      </c>
      <c r="AA149" s="79" t="s">
        <v>64</v>
      </c>
      <c r="AB149" s="65"/>
      <c r="AC149" s="66"/>
      <c r="AD149" s="67"/>
      <c r="AE149" s="65"/>
      <c r="AF149" s="65"/>
      <c r="AG149" s="66"/>
      <c r="AH149" s="67"/>
      <c r="AI149" s="65"/>
      <c r="AJ149" s="65"/>
      <c r="AK149" s="66"/>
      <c r="AL149" s="67"/>
      <c r="AM149" s="52"/>
      <c r="AN149" s="80" t="s">
        <v>39</v>
      </c>
      <c r="AO149" s="68" t="str">
        <f t="shared" si="6"/>
        <v>Alfageo s. r. o. stavebnictvo, &amp;#32vsetky kategorie  811 03 Bratislava Geodezia, kartografia, geoinformatika. Zamestnavanim znevyhodnenych a zranitelnych osob. Alfageo s. r. o. Geodezia, kartografia, geoinformatika. geodezia, kartografia, geoinformatika, digitalne technicke mapy, GIS, geometricke plany, vytycovanie pozemkov, pozemkove upravy, evidencia pozemkov           Register partnerov VS</v>
      </c>
      <c r="AP149" s="82"/>
    </row>
    <row r="150" ht="15.75" customHeight="1">
      <c r="A150" s="45"/>
      <c r="B150" s="70">
        <v>148.0</v>
      </c>
      <c r="C150" s="116" t="s">
        <v>1722</v>
      </c>
      <c r="D150" s="42" t="s">
        <v>181</v>
      </c>
      <c r="E150" s="43" t="str">
        <f t="shared" si="1"/>
        <v>Banskobystrický kraj, &amp;#32celé Slovensko</v>
      </c>
      <c r="F150" s="44" t="s">
        <v>243</v>
      </c>
      <c r="G150" s="43" t="str">
        <f t="shared" si="2"/>
        <v>potraviny a nápoje, &amp;#32všetky kategórie</v>
      </c>
      <c r="H150" s="44" t="s">
        <v>96</v>
      </c>
      <c r="I150" s="45" t="str">
        <f t="shared" si="3"/>
        <v>6 - 10, &amp;#32všetky možnosti</v>
      </c>
      <c r="J150" s="46" t="str">
        <f t="shared" si="4"/>
        <v>,</v>
      </c>
      <c r="K150" s="47">
        <f t="shared" si="5"/>
        <v>41494.3968</v>
      </c>
      <c r="L150" s="45"/>
      <c r="M150" s="48" t="str">
        <f>IFERROR(__xludf.DUMMYFUNCTION("SPLIT(O150,"","")"),"Krné 125")</f>
        <v>Krné 125</v>
      </c>
      <c r="N150" s="48" t="str">
        <f>IFERROR(__xludf.DUMMYFUNCTION("""COMPUTED_VALUE""")," 962 12 Detva")</f>
        <v> 962 12 Detva</v>
      </c>
      <c r="O150" s="49" t="s">
        <v>1723</v>
      </c>
      <c r="P150" s="50">
        <v>48.5374476</v>
      </c>
      <c r="Q150" s="109">
        <v>19.3907147</v>
      </c>
      <c r="R150" s="66" t="s">
        <v>1724</v>
      </c>
      <c r="S150" s="86" t="s">
        <v>1725</v>
      </c>
      <c r="T150" s="87" t="s">
        <v>86</v>
      </c>
      <c r="U150" s="75" t="s">
        <v>1726</v>
      </c>
      <c r="V150" s="55" t="s">
        <v>1727</v>
      </c>
      <c r="W150" s="76" t="s">
        <v>1728</v>
      </c>
      <c r="X150" s="88" t="s">
        <v>1729</v>
      </c>
      <c r="Y150" s="89" t="s">
        <v>1730</v>
      </c>
      <c r="Z150" s="63" t="s">
        <v>1731</v>
      </c>
      <c r="AA150" s="79" t="s">
        <v>64</v>
      </c>
      <c r="AB150" s="65"/>
      <c r="AC150" s="66"/>
      <c r="AD150" s="67"/>
      <c r="AE150" s="65"/>
      <c r="AF150" s="65"/>
      <c r="AG150" s="66"/>
      <c r="AH150" s="67"/>
      <c r="AI150" s="65"/>
      <c r="AJ150" s="65"/>
      <c r="AK150" s="66"/>
      <c r="AL150" s="67"/>
      <c r="AM150" s="36"/>
      <c r="AN150" s="65"/>
      <c r="AO150" s="68" t="str">
        <f t="shared" si="6"/>
        <v>PEKAREN U BORIAKOV s. r. o. potraviny a napoje, &amp;#32vsetky kategorie  962 12 Detva Vyrabame celozrnny chlieb a domace tahane strudle podla receptov starych mam. Nasimi zakaznikmi su restauracie, hotely a vsetci, ktori si chcu v ramci roznych prilezitosti pochutnat na dobrej strudli. V nasom podniku zamestnavame styroch ZTP zamestnancov. PEKAREN U BORIAKOV s.r.o. rsp Pecenie celozrnneho chleba a strudli podla starych mam. Celozrnne chlebicky, strudle podla starych mam, tradicne kolace, domaci chlieb, celozrnny chlieb           </v>
      </c>
      <c r="AP150" s="82"/>
    </row>
    <row r="151" ht="15.75" customHeight="1">
      <c r="A151" s="45"/>
      <c r="B151" s="70">
        <v>149.0</v>
      </c>
      <c r="C151" s="108" t="s">
        <v>1732</v>
      </c>
      <c r="D151" s="42" t="s">
        <v>66</v>
      </c>
      <c r="E151" s="43" t="str">
        <f t="shared" si="1"/>
        <v>Žilinský kraj, &amp;#32celé Slovensko</v>
      </c>
      <c r="F151" s="44" t="s">
        <v>1733</v>
      </c>
      <c r="G151" s="43" t="str">
        <f t="shared" si="2"/>
        <v>odpady a recyklácia , &amp;#32všetky kategórie</v>
      </c>
      <c r="H151" s="44" t="s">
        <v>96</v>
      </c>
      <c r="I151" s="45" t="str">
        <f t="shared" si="3"/>
        <v>6 - 10, &amp;#32všetky možnosti</v>
      </c>
      <c r="J151" s="46" t="str">
        <f t="shared" si="4"/>
        <v>,Register partnerov VS</v>
      </c>
      <c r="K151" s="47">
        <f t="shared" si="5"/>
        <v>10713.30578</v>
      </c>
      <c r="L151" s="45"/>
      <c r="M151" s="48" t="str">
        <f>IFERROR(__xludf.DUMMYFUNCTION("SPLIT(O151,"","")"),"Breza 56")</f>
        <v>Breza 56</v>
      </c>
      <c r="N151" s="48" t="str">
        <f>IFERROR(__xludf.DUMMYFUNCTION("""COMPUTED_VALUE""")," 029 53 Breza")</f>
        <v> 029 53 Breza</v>
      </c>
      <c r="O151" s="49" t="s">
        <v>1734</v>
      </c>
      <c r="P151" s="50">
        <v>49.3875152</v>
      </c>
      <c r="Q151" s="109">
        <v>19.384998</v>
      </c>
      <c r="R151" s="103" t="s">
        <v>1735</v>
      </c>
      <c r="S151" s="86" t="s">
        <v>1736</v>
      </c>
      <c r="T151" s="87" t="s">
        <v>1737</v>
      </c>
      <c r="U151" s="75" t="s">
        <v>1738</v>
      </c>
      <c r="V151" s="84" t="s">
        <v>1739</v>
      </c>
      <c r="W151" s="76" t="s">
        <v>1740</v>
      </c>
      <c r="X151" s="77" t="s">
        <v>1741</v>
      </c>
      <c r="Y151" s="78" t="s">
        <v>1742</v>
      </c>
      <c r="Z151" s="63" t="s">
        <v>1743</v>
      </c>
      <c r="AA151" s="79" t="s">
        <v>64</v>
      </c>
      <c r="AB151" s="65"/>
      <c r="AC151" s="66"/>
      <c r="AD151" s="67"/>
      <c r="AE151" s="65"/>
      <c r="AF151" s="65"/>
      <c r="AG151" s="66"/>
      <c r="AH151" s="67"/>
      <c r="AI151" s="65"/>
      <c r="AJ151" s="65"/>
      <c r="AK151" s="66"/>
      <c r="AL151" s="67"/>
      <c r="AM151" s="52"/>
      <c r="AN151" s="80" t="s">
        <v>39</v>
      </c>
      <c r="AO151" s="68" t="str">
        <f t="shared" si="6"/>
        <v>ZZPOBO, s.r.o. odpady a recyklacia , &amp;#32vsetky kategorie  029 53 Breza Spolocnost ZZPOBO s.r.o., r. s. p. bola zalozena za ucelom podnikania v nasledovnych oblastiach: podnikanie v oblasti nakladania s inym ako nebezpecnym odpadom,
dokoncovacie stavebne prace pri realizacii exterierov a interierov, sprostredkovatelska cinnost v oblasti obchodu, sluzieb a vyroby, kupa tovaru na ucely jeho predaja konecnemu spotrebitelovi (maloobchod) alebo inym prevadzkovatelom zivnosti (velkoobchod), cistiace a upratovacie sluzby, administrativne sluzby.
 Zamestnavame znevyhodnene osoby, a to vo vyske 100 % zamestnancov. Podnik ZZPOBO s.r.o., r. s. p. je definovany ako prepojeny podnik so Zaujmovym zdruzenim Biela Orava, pre vsestranny rozvoj obci a regionu Biela Orava (dalej ako Zdruzenie). Zdruzenie ma udeleny suhlas na prevadzkovanie zariadenia na zber odpadov. Zberny dvor sa aktualne nachadza v priestoroch, ktore ma Zdruzenie v prenajme od vlastnika tychto priestorov. Sluzby, ktore Zdruzenie poskytuje, spocivaju v zbere odpadu z obci z regionu Biela Orava a jeho naslednom triedeni . Areal PD Breza Triedenie separovaneho odpadu a lisovanie plastov. triedenie odpadov, odpadove hospodarstvo, zber odpadu, vyvoz odpadu           Register partnerov VS</v>
      </c>
      <c r="AP151" s="82"/>
    </row>
    <row r="152" ht="15.75" customHeight="1">
      <c r="A152" s="45"/>
      <c r="B152" s="70">
        <v>150.0</v>
      </c>
      <c r="C152" s="108" t="s">
        <v>1744</v>
      </c>
      <c r="D152" s="42" t="s">
        <v>134</v>
      </c>
      <c r="E152" s="43" t="str">
        <f t="shared" si="1"/>
        <v>Trenčiansky kraj, &amp;#32celé Slovensko</v>
      </c>
      <c r="F152" s="44" t="s">
        <v>1745</v>
      </c>
      <c r="G152" s="43" t="str">
        <f t="shared" si="2"/>
        <v>doprava, cestovný ruch, kultúra a šport, krása-zdravie-relax, pre deti, &amp;#32všetky kategórie</v>
      </c>
      <c r="H152" s="44" t="s">
        <v>68</v>
      </c>
      <c r="I152" s="45" t="str">
        <f t="shared" si="3"/>
        <v>16 - 20, &amp;#32všetky možnosti</v>
      </c>
      <c r="J152" s="46" t="str">
        <f t="shared" si="4"/>
        <v>,Register partnerov VS</v>
      </c>
      <c r="K152" s="47">
        <f t="shared" si="5"/>
        <v>19903.20629</v>
      </c>
      <c r="L152" s="45"/>
      <c r="M152" s="48" t="str">
        <f>IFERROR(__xludf.DUMMYFUNCTION("SPLIT(O152,"","")"),"Partizánska 297/17")</f>
        <v>Partizánska 297/17</v>
      </c>
      <c r="N152" s="48" t="str">
        <f>IFERROR(__xludf.DUMMYFUNCTION("""COMPUTED_VALUE""")," 972 71 Nováky ")</f>
        <v> 972 71 Nováky </v>
      </c>
      <c r="O152" s="49" t="s">
        <v>1746</v>
      </c>
      <c r="P152" s="50">
        <v>48.7212754</v>
      </c>
      <c r="Q152" s="109">
        <v>18.5382067</v>
      </c>
      <c r="R152" s="66" t="s">
        <v>1747</v>
      </c>
      <c r="S152" s="36" t="s">
        <v>1748</v>
      </c>
      <c r="T152" s="110" t="s">
        <v>1749</v>
      </c>
      <c r="U152" s="75" t="s">
        <v>1750</v>
      </c>
      <c r="V152" s="55" t="s">
        <v>1751</v>
      </c>
      <c r="W152" s="76" t="s">
        <v>1752</v>
      </c>
      <c r="X152" s="77" t="s">
        <v>1753</v>
      </c>
      <c r="Y152" s="78" t="s">
        <v>1754</v>
      </c>
      <c r="Z152" s="63" t="s">
        <v>1755</v>
      </c>
      <c r="AA152" s="79" t="s">
        <v>64</v>
      </c>
      <c r="AB152" s="65"/>
      <c r="AC152" s="66"/>
      <c r="AD152" s="67"/>
      <c r="AE152" s="65"/>
      <c r="AF152" s="65"/>
      <c r="AG152" s="66"/>
      <c r="AH152" s="67"/>
      <c r="AI152" s="65"/>
      <c r="AJ152" s="65"/>
      <c r="AK152" s="66"/>
      <c r="AL152" s="67"/>
      <c r="AM152" s="52"/>
      <c r="AN152" s="80" t="s">
        <v>39</v>
      </c>
      <c r="AO152" s="68" t="str">
        <f t="shared" si="6"/>
        <v>BoGo bus s.r.o. doprava, cestovny ruch, kultura a sport, krasa-zdravie-relax, pre deti, &amp;#32vsetky kategorie  972 71 Novaky  Autobusova preprava osob, sluzby pre siroku verejnost v oblasti plavania. Regionalny rozvoj a zamestnanost. BoGo bus Autobusova preprava osob, poskytovanie sluzieb verejnosti v oblasti plavania. plavanie, autobus, relax, regeneracia, zajazdy           Register partnerov VS</v>
      </c>
      <c r="AP152" s="82"/>
    </row>
    <row r="153" ht="15.75" customHeight="1">
      <c r="A153" s="45"/>
      <c r="B153" s="70">
        <v>151.0</v>
      </c>
      <c r="C153" s="108" t="s">
        <v>1756</v>
      </c>
      <c r="D153" s="42" t="s">
        <v>228</v>
      </c>
      <c r="E153" s="43" t="str">
        <f t="shared" si="1"/>
        <v>Nitriansky kraj, &amp;#32celé Slovensko</v>
      </c>
      <c r="F153" s="44" t="s">
        <v>1106</v>
      </c>
      <c r="G153" s="43" t="str">
        <f t="shared" si="2"/>
        <v>stavebníctvo, &amp;#32všetky kategórie</v>
      </c>
      <c r="H153" s="44" t="s">
        <v>53</v>
      </c>
      <c r="I153" s="45" t="str">
        <f t="shared" si="3"/>
        <v>1 - 5, &amp;#32všetky možnosti</v>
      </c>
      <c r="J153" s="46" t="str">
        <f t="shared" si="4"/>
        <v>,</v>
      </c>
      <c r="K153" s="47">
        <f t="shared" si="5"/>
        <v>20816.59502</v>
      </c>
      <c r="L153" s="45"/>
      <c r="M153" s="48" t="str">
        <f>IFERROR(__xludf.DUMMYFUNCTION("SPLIT(O153,"","")"),"Kpt. Nálepku 444/18")</f>
        <v>Kpt. Nálepku 444/18</v>
      </c>
      <c r="N153" s="48" t="str">
        <f>IFERROR(__xludf.DUMMYFUNCTION("""COMPUTED_VALUE""")," 935 32 Kalná nad Hronom ")</f>
        <v> 935 32 Kalná nad Hronom </v>
      </c>
      <c r="O153" s="49" t="s">
        <v>1757</v>
      </c>
      <c r="P153" s="50">
        <v>48.2096885</v>
      </c>
      <c r="Q153" s="109">
        <v>18.5194485</v>
      </c>
      <c r="R153" s="66" t="s">
        <v>1758</v>
      </c>
      <c r="S153" s="36" t="s">
        <v>1759</v>
      </c>
      <c r="T153" s="110" t="s">
        <v>86</v>
      </c>
      <c r="U153" s="75" t="s">
        <v>1760</v>
      </c>
      <c r="V153" s="55" t="s">
        <v>1761</v>
      </c>
      <c r="W153" s="76" t="s">
        <v>1762</v>
      </c>
      <c r="X153" s="77" t="s">
        <v>1763</v>
      </c>
      <c r="Y153" s="78" t="s">
        <v>308</v>
      </c>
      <c r="Z153" s="63" t="s">
        <v>1764</v>
      </c>
      <c r="AA153" s="79" t="s">
        <v>64</v>
      </c>
      <c r="AB153" s="65"/>
      <c r="AC153" s="66"/>
      <c r="AD153" s="67"/>
      <c r="AE153" s="65"/>
      <c r="AF153" s="65"/>
      <c r="AG153" s="66"/>
      <c r="AH153" s="67"/>
      <c r="AI153" s="65"/>
      <c r="AJ153" s="65"/>
      <c r="AK153" s="66"/>
      <c r="AL153" s="67"/>
      <c r="AM153" s="36"/>
      <c r="AN153" s="65"/>
      <c r="AO153" s="68" t="str">
        <f t="shared" si="6"/>
        <v>HaSlox s. r. o. stavebnictvo, &amp;#32vsetky kategorie  935 32 Kalna nad Hronom  Hlavnou hospodarskou cinnostou spolocnosti HaSlox s.r.o. je stavebna cinnost, vyroba a predaj typizovanych nizkoenergetickych murovanych stavieb a drevostavieb, ktore budu svojimi parametrami vhodne k vyuzitiu ako socialne a startovacie byty, ktorych je na Slovensku stale nedostatok. 
Vedlajsimi vyrobnymi cinnostami spolocnosti su drobne vyrobky z dreva: altanky, vtacie budky, vcelie ule, rozny mobiliar pre samospravy a ine drobne vyrobky z dreva
 Zamestnavanie znevyhodnenych a zranitelnych osob. HaSlox s.r.o. Stavebna cinnost domy, drevostavby, drevovyroba, stavebna cinnost, nizkoenergeticke domy, drevodomy           </v>
      </c>
      <c r="AP153" s="82"/>
    </row>
    <row r="154" ht="15.75" customHeight="1">
      <c r="A154" s="45"/>
      <c r="B154" s="70">
        <v>152.0</v>
      </c>
      <c r="C154" s="108" t="s">
        <v>1765</v>
      </c>
      <c r="D154" s="42" t="s">
        <v>51</v>
      </c>
      <c r="E154" s="43" t="str">
        <f t="shared" si="1"/>
        <v>Prešovský kraj, &amp;#32celé Slovensko</v>
      </c>
      <c r="F154" s="44" t="s">
        <v>1766</v>
      </c>
      <c r="G154" s="43" t="str">
        <f t="shared" si="2"/>
        <v>čistiace a upratovacie služby, poľnohospodárstvo a lesníctvo, stavebníctvo, ubytovacie a stravovacie služby, dom a záhrada, cestovný ruch, &amp;#32všetky kategórie</v>
      </c>
      <c r="H154" s="44" t="s">
        <v>68</v>
      </c>
      <c r="I154" s="45" t="str">
        <f t="shared" si="3"/>
        <v>16 - 20, &amp;#32všetky možnosti</v>
      </c>
      <c r="J154" s="46" t="str">
        <f t="shared" si="4"/>
        <v>,Register partnerov VS</v>
      </c>
      <c r="K154" s="47">
        <f t="shared" si="5"/>
        <v>28045.53485</v>
      </c>
      <c r="L154" s="45"/>
      <c r="M154" s="48" t="str">
        <f>IFERROR(__xludf.DUMMYFUNCTION("SPLIT(O154,"","")"),"Obrancov mieru 454/3")</f>
        <v>Obrancov mieru 454/3</v>
      </c>
      <c r="N154" s="48" t="str">
        <f>IFERROR(__xludf.DUMMYFUNCTION("""COMPUTED_VALUE""")," 059 34 Spišská Teplica ")</f>
        <v> 059 34 Spišská Teplica </v>
      </c>
      <c r="O154" s="49" t="s">
        <v>1767</v>
      </c>
      <c r="P154" s="50">
        <v>49.0466357</v>
      </c>
      <c r="Q154" s="109">
        <v>20.248826</v>
      </c>
      <c r="R154" s="103" t="s">
        <v>1768</v>
      </c>
      <c r="S154" s="36" t="s">
        <v>1769</v>
      </c>
      <c r="T154" s="110" t="s">
        <v>1770</v>
      </c>
      <c r="U154" s="75" t="s">
        <v>1771</v>
      </c>
      <c r="V154" s="55" t="s">
        <v>1772</v>
      </c>
      <c r="W154" s="76" t="s">
        <v>1773</v>
      </c>
      <c r="X154" s="77" t="s">
        <v>1774</v>
      </c>
      <c r="Y154" s="78" t="s">
        <v>1775</v>
      </c>
      <c r="Z154" s="63" t="s">
        <v>1776</v>
      </c>
      <c r="AA154" s="79" t="s">
        <v>64</v>
      </c>
      <c r="AB154" s="65"/>
      <c r="AC154" s="66"/>
      <c r="AD154" s="67"/>
      <c r="AE154" s="65"/>
      <c r="AF154" s="65"/>
      <c r="AG154" s="66"/>
      <c r="AH154" s="67"/>
      <c r="AI154" s="65"/>
      <c r="AJ154" s="65"/>
      <c r="AK154" s="66"/>
      <c r="AL154" s="67"/>
      <c r="AM154" s="52"/>
      <c r="AN154" s="80" t="s">
        <v>39</v>
      </c>
      <c r="AO154" s="68" t="str">
        <f t="shared" si="6"/>
        <v>Obecne sluzby Spisska Teplica s.r.o. cistiace a upratovacie sluzby, polnohospodarstvo a lesnictvo, stavebnictvo, ubytovacie a stravovacie sluzby, dom a zahrada, cestovny ruch, &amp;#32vsetky kategorie  059 34 Spisska Teplica  Obecny podnik vykonava stavebne prace - v obci sme vdaka nemu vybudovali cyklochodnik, opravili a pristavili sme hasicsku zbrojnicu, postavili nove komunitne centrum, vybudovali sme regulaciu miestneho potoka, opravili cesty a chodniky, zrekonstruovali cast materskej skoly, zrekonstruovali oplotenie cintorina. Nas podnik sa venuje aj pohostinskej cinnosti, ked prevadzkuje miestnu restauraciu Zvoncek. V jej priestoroch je mozne organizovanie oslav, svadieb a inych spolocenskych akcii s kapacitou do 120 ludi. Naplnou prace je aj udrzba zelene - kosenie a zber travy, stiepkovanie konarov, orez a vyrub stromov. V ramci firmy vykonavame taktiez vykopove a zemne prace, upratovacie prace, prevadzkujeme zahradnictvo s kvetinarstvom. Zamestnavanie znevyhodnenych miestnych obyvatelov, zlepsovanie ich pracovnych navykov a zrucnosti, vyuzivanie miestnych zdrojov, priprava a rozvoz stravy pre seniorov v obci za zvyhodnene ceny, prevadzkovanie jedinej gastroprevadzky v obci, podpora miestnej ekonomiky Restauracia Zvoncek Ponukame denne menu, vyber zo 7 jedal podla aktualnej ponuky. Chutne jedlo, prijemna a dobra lokalita, mila obsluha a primerane ceny. Platba stravnymi listkami, platobnou kartou alebo hotovostou. Restauracia, Zvoncek, denne menu, obedove menu, oslavy, svadby, akcie, donaska stravy, rozvoz stravy pre seniorov, zahrada, kvety, vyrub stromov, orez, stiepkovanie, stavebne prace, udrzba zelene           Register partnerov VS</v>
      </c>
      <c r="AP154" s="82"/>
    </row>
    <row r="155" ht="15.75" customHeight="1">
      <c r="A155" s="45"/>
      <c r="B155" s="70">
        <v>153.0</v>
      </c>
      <c r="C155" s="116" t="s">
        <v>1777</v>
      </c>
      <c r="D155" s="71" t="s">
        <v>181</v>
      </c>
      <c r="E155" s="43" t="str">
        <f t="shared" si="1"/>
        <v>Banskobystrický kraj, &amp;#32celé Slovensko</v>
      </c>
      <c r="F155" s="44" t="s">
        <v>1778</v>
      </c>
      <c r="G155" s="43" t="str">
        <f t="shared" si="2"/>
        <v>čistiace a upratovacie služby, poľnohospodárstvo a lesníctvo, dom a záhrada, stavebníctvo, odpady a recyklácia, &amp;#32všetky kategórie</v>
      </c>
      <c r="H155" s="44" t="s">
        <v>82</v>
      </c>
      <c r="I155" s="45" t="str">
        <f t="shared" si="3"/>
        <v>11 - 15, &amp;#32všetky možnosti</v>
      </c>
      <c r="J155" s="46" t="str">
        <f t="shared" si="4"/>
        <v>,Register partnerov VS</v>
      </c>
      <c r="K155" s="47">
        <f t="shared" si="5"/>
        <v>26388.07349</v>
      </c>
      <c r="L155" s="45"/>
      <c r="M155" s="48" t="str">
        <f>IFERROR(__xludf.DUMMYFUNCTION("SPLIT(O155,"","")"),"Štefana Moyzesa 2")</f>
        <v>Štefana Moyzesa 2</v>
      </c>
      <c r="N155" s="48" t="str">
        <f>IFERROR(__xludf.DUMMYFUNCTION("""COMPUTED_VALUE""")," 969 01 Banská Štiavnica")</f>
        <v> 969 01 Banská Štiavnica</v>
      </c>
      <c r="O155" s="49" t="s">
        <v>1779</v>
      </c>
      <c r="P155" s="50">
        <v>48.4380798</v>
      </c>
      <c r="Q155" s="109">
        <v>18.8943457</v>
      </c>
      <c r="R155" s="103" t="s">
        <v>1780</v>
      </c>
      <c r="S155" s="36" t="s">
        <v>1781</v>
      </c>
      <c r="T155" s="112" t="s">
        <v>86</v>
      </c>
      <c r="U155" s="75" t="s">
        <v>1782</v>
      </c>
      <c r="V155" s="55" t="s">
        <v>1783</v>
      </c>
      <c r="W155" s="76" t="s">
        <v>1784</v>
      </c>
      <c r="X155" s="77" t="s">
        <v>1785</v>
      </c>
      <c r="Y155" s="78" t="s">
        <v>1786</v>
      </c>
      <c r="Z155" s="63" t="s">
        <v>1787</v>
      </c>
      <c r="AA155" s="79" t="s">
        <v>64</v>
      </c>
      <c r="AB155" s="65"/>
      <c r="AC155" s="66"/>
      <c r="AD155" s="67"/>
      <c r="AE155" s="65"/>
      <c r="AF155" s="65"/>
      <c r="AG155" s="66"/>
      <c r="AH155" s="67"/>
      <c r="AI155" s="65"/>
      <c r="AJ155" s="65"/>
      <c r="AK155" s="66"/>
      <c r="AL155" s="67"/>
      <c r="AM155" s="52"/>
      <c r="AN155" s="80" t="s">
        <v>39</v>
      </c>
      <c r="AO155" s="68" t="str">
        <f t="shared" si="6"/>
        <v>PE BONUM s. r. o. cistiace a upratovacie sluzby, polnohospodarstvo a lesnictvo, dom a zahrada, stavebnictvo, odpady a recyklacia, &amp;#32vsetky kategorie  969 01 Banska Stiavnica Stavebne prace (opravy bytov, kompetne stavebne realizacie, oplocovanie pozemkov, stavba murov, kladenie zamkovej dlazby), maliarske a natieracske prace, zimna a letna udrzba pozemkov, vyroba sindla, upratovacie sluzby, cistenie zump a likvidacia odpadovych vod, triedenie materialov a ukladanie materialov na palety, drobne reklamne predmety. Zamestnavanie znevyhodnenych zamestnancov PE BONUM s. r. o., r.s.p. Stavebna vyroba, zimna a letna udrzba pozemkov, maliarske a natieracske prace, vyroba sindlov. stavba, malovanie, kosenie, sindle, upratovanie, triedenie, reklamne predmety           Register partnerov VS</v>
      </c>
      <c r="AP155" s="69" t="s">
        <v>41</v>
      </c>
    </row>
    <row r="156" ht="15.75" customHeight="1">
      <c r="A156" s="45"/>
      <c r="B156" s="70">
        <v>154.0</v>
      </c>
      <c r="C156" s="116" t="s">
        <v>1788</v>
      </c>
      <c r="D156" s="71" t="s">
        <v>66</v>
      </c>
      <c r="E156" s="43" t="str">
        <f t="shared" si="1"/>
        <v>Žilinský kraj, &amp;#32celé Slovensko</v>
      </c>
      <c r="F156" s="44" t="s">
        <v>1789</v>
      </c>
      <c r="G156" s="43" t="str">
        <f t="shared" si="2"/>
        <v>krása-zdravie-relax, odevy a obuv, pre deti, bižutéria a darčekové predmety, &amp;#32všetky kategórie</v>
      </c>
      <c r="H156" s="44" t="s">
        <v>53</v>
      </c>
      <c r="I156" s="45" t="str">
        <f t="shared" si="3"/>
        <v>1 - 5, &amp;#32všetky možnosti</v>
      </c>
      <c r="J156" s="46" t="str">
        <f t="shared" si="4"/>
        <v>,</v>
      </c>
      <c r="K156" s="47">
        <f t="shared" si="5"/>
        <v>25790.86026</v>
      </c>
      <c r="L156" s="45"/>
      <c r="M156" s="48" t="str">
        <f>IFERROR(__xludf.DUMMYFUNCTION("SPLIT(O156,"","")"),"Hrdinov SNP 6")</f>
        <v>Hrdinov SNP 6</v>
      </c>
      <c r="N156" s="48" t="str">
        <f>IFERROR(__xludf.DUMMYFUNCTION("""COMPUTED_VALUE""")," 036 01 Martin ")</f>
        <v> 036 01 Martin </v>
      </c>
      <c r="O156" s="49" t="s">
        <v>1790</v>
      </c>
      <c r="P156" s="50">
        <v>49.0740393</v>
      </c>
      <c r="Q156" s="109">
        <v>18.9095927</v>
      </c>
      <c r="R156" s="66" t="s">
        <v>1791</v>
      </c>
      <c r="S156" s="36" t="s">
        <v>1792</v>
      </c>
      <c r="T156" s="110" t="s">
        <v>86</v>
      </c>
      <c r="U156" s="75" t="s">
        <v>1793</v>
      </c>
      <c r="V156" s="55" t="s">
        <v>1794</v>
      </c>
      <c r="W156" s="76" t="s">
        <v>1795</v>
      </c>
      <c r="X156" s="77" t="s">
        <v>1796</v>
      </c>
      <c r="Y156" s="78" t="s">
        <v>1797</v>
      </c>
      <c r="Z156" s="63" t="s">
        <v>1798</v>
      </c>
      <c r="AA156" s="79" t="s">
        <v>64</v>
      </c>
      <c r="AB156" s="65"/>
      <c r="AC156" s="66"/>
      <c r="AD156" s="67"/>
      <c r="AE156" s="65"/>
      <c r="AF156" s="65"/>
      <c r="AG156" s="66"/>
      <c r="AH156" s="67"/>
      <c r="AI156" s="65"/>
      <c r="AJ156" s="65"/>
      <c r="AK156" s="66"/>
      <c r="AL156" s="67"/>
      <c r="AM156" s="36"/>
      <c r="AN156" s="65"/>
      <c r="AO156" s="68" t="str">
        <f t="shared" si="6"/>
        <v>LASY, s. r. o. krasa-zdravie-relax, odevy a obuv, pre deti, bizuteria a darcekove predmety, &amp;#32vsetky kategorie  036 01 Martin  Rucne vyrabane darcekove predmety ako su sviecky, malovane hrnceky, plienkove torty, darcekove sety, strikovane produkty, rucne vyrabane sperky a rozne ine darcekove predmety. Pomahame uplatnit sa na trhu prace hendikepovanym a zranitelnym osobam. Maloobchod a velkoobchod s darcekovymi predmetmi Vyroba, nakup a predaj darcekovych predmetov. sviecky, hrnceky, vankuse, tricka, smaltovane cedule, kozmeticke sady, caje, darcekova kava, hry, hracky, pivne darceky, sperky, bizuteria           </v>
      </c>
      <c r="AP156" s="82"/>
    </row>
    <row r="157" ht="15.75" customHeight="1">
      <c r="A157" s="45"/>
      <c r="B157" s="70">
        <v>155.0</v>
      </c>
      <c r="C157" s="116" t="s">
        <v>1799</v>
      </c>
      <c r="D157" s="71" t="s">
        <v>66</v>
      </c>
      <c r="E157" s="43" t="str">
        <f t="shared" si="1"/>
        <v>Žilinský kraj, &amp;#32celé Slovensko</v>
      </c>
      <c r="F157" s="44" t="s">
        <v>1106</v>
      </c>
      <c r="G157" s="43" t="str">
        <f t="shared" si="2"/>
        <v>stavebníctvo, &amp;#32všetky kategórie</v>
      </c>
      <c r="H157" s="44" t="s">
        <v>68</v>
      </c>
      <c r="I157" s="45" t="str">
        <f t="shared" si="3"/>
        <v>16 - 20, &amp;#32všetky možnosti</v>
      </c>
      <c r="J157" s="46" t="str">
        <f t="shared" si="4"/>
        <v>,Register partnerov VS</v>
      </c>
      <c r="K157" s="47">
        <f t="shared" si="5"/>
        <v>36672.71495</v>
      </c>
      <c r="L157" s="45"/>
      <c r="M157" s="48" t="str">
        <f>IFERROR(__xludf.DUMMYFUNCTION("SPLIT(O157,"","")"),"Námestie S. H. Vajanského 1/1")</f>
        <v>Námestie S. H. Vajanského 1/1</v>
      </c>
      <c r="N157" s="48" t="str">
        <f>IFERROR(__xludf.DUMMYFUNCTION("""COMPUTED_VALUE""")," 036 01 Martin")</f>
        <v> 036 01 Martin</v>
      </c>
      <c r="O157" s="49" t="s">
        <v>1800</v>
      </c>
      <c r="P157" s="50">
        <v>49.0682831</v>
      </c>
      <c r="Q157" s="109">
        <v>18.9255998</v>
      </c>
      <c r="R157" s="66" t="s">
        <v>1801</v>
      </c>
      <c r="S157" s="36" t="s">
        <v>1802</v>
      </c>
      <c r="T157" s="110" t="s">
        <v>1803</v>
      </c>
      <c r="U157" s="75" t="s">
        <v>1804</v>
      </c>
      <c r="V157" s="55" t="s">
        <v>1805</v>
      </c>
      <c r="W157" s="76" t="s">
        <v>1806</v>
      </c>
      <c r="X157" s="77" t="s">
        <v>1807</v>
      </c>
      <c r="Y157" s="78" t="s">
        <v>1808</v>
      </c>
      <c r="Z157" s="63" t="s">
        <v>1809</v>
      </c>
      <c r="AA157" s="79" t="s">
        <v>64</v>
      </c>
      <c r="AB157" s="65"/>
      <c r="AC157" s="66"/>
      <c r="AD157" s="67"/>
      <c r="AE157" s="65"/>
      <c r="AF157" s="65"/>
      <c r="AG157" s="66"/>
      <c r="AH157" s="67"/>
      <c r="AI157" s="65"/>
      <c r="AJ157" s="65"/>
      <c r="AK157" s="66"/>
      <c r="AL157" s="67"/>
      <c r="AM157" s="52"/>
      <c r="AN157" s="80" t="s">
        <v>39</v>
      </c>
      <c r="AO157" s="68" t="str">
        <f t="shared" si="6"/>
        <v>Socialny podnik mesta Martin, s. r. o. stavebnictvo, &amp;#32vsetky kategorie  036 01 Martin Nasimi zakaznikmi su vsetci, ktori potrebuju rozne stavebne, vodoinstalaterske alebo kurenarske prace. Podpora regionalnej zamestnanosti. Socialny podnik mesta Martin, s.r.o. Rozne stavebne, vodoinstalaterske alebo kurenarske prace. zemne a stavebne prace, instalaterske prace           Register partnerov VS</v>
      </c>
      <c r="AP157" s="82"/>
    </row>
    <row r="158" ht="15.75" customHeight="1">
      <c r="A158" s="45"/>
      <c r="B158" s="70">
        <v>156.0</v>
      </c>
      <c r="C158" s="116" t="s">
        <v>1810</v>
      </c>
      <c r="D158" s="71" t="s">
        <v>228</v>
      </c>
      <c r="E158" s="43" t="str">
        <f t="shared" si="1"/>
        <v>Nitriansky kraj, &amp;#32celé Slovensko</v>
      </c>
      <c r="F158" s="44" t="s">
        <v>1811</v>
      </c>
      <c r="G158" s="43" t="str">
        <f t="shared" si="2"/>
        <v>poľnohospodárstvo a lesníctvo, zvieratá, &amp;#32všetky kategórie</v>
      </c>
      <c r="H158" s="44" t="s">
        <v>53</v>
      </c>
      <c r="I158" s="45" t="str">
        <f t="shared" si="3"/>
        <v>1 - 5, &amp;#32všetky možnosti</v>
      </c>
      <c r="J158" s="46" t="str">
        <f t="shared" si="4"/>
        <v>,</v>
      </c>
      <c r="K158" s="47">
        <f t="shared" si="5"/>
        <v>31624.6723</v>
      </c>
      <c r="L158" s="45"/>
      <c r="M158" s="48" t="str">
        <f>IFERROR(__xludf.DUMMYFUNCTION("SPLIT(O158,"","")"),"Krškany 337")</f>
        <v>Krškany 337</v>
      </c>
      <c r="N158" s="48" t="str">
        <f>IFERROR(__xludf.DUMMYFUNCTION("""COMPUTED_VALUE""")," 934 01 Krškany")</f>
        <v> 934 01 Krškany</v>
      </c>
      <c r="O158" s="49" t="s">
        <v>1812</v>
      </c>
      <c r="P158" s="50">
        <v>48.2145534</v>
      </c>
      <c r="Q158" s="109">
        <v>18.6761143</v>
      </c>
      <c r="R158" s="66" t="s">
        <v>1813</v>
      </c>
      <c r="S158" s="36" t="s">
        <v>1814</v>
      </c>
      <c r="T158" s="110" t="s">
        <v>86</v>
      </c>
      <c r="U158" s="75" t="s">
        <v>1815</v>
      </c>
      <c r="V158" s="55" t="s">
        <v>1816</v>
      </c>
      <c r="W158" s="76" t="s">
        <v>1817</v>
      </c>
      <c r="X158" s="77" t="s">
        <v>1818</v>
      </c>
      <c r="Y158" s="78" t="s">
        <v>1819</v>
      </c>
      <c r="Z158" s="63" t="s">
        <v>1820</v>
      </c>
      <c r="AA158" s="79" t="s">
        <v>64</v>
      </c>
      <c r="AB158" s="65"/>
      <c r="AC158" s="66"/>
      <c r="AD158" s="67"/>
      <c r="AE158" s="65"/>
      <c r="AF158" s="65"/>
      <c r="AG158" s="66"/>
      <c r="AH158" s="67"/>
      <c r="AI158" s="65"/>
      <c r="AJ158" s="65"/>
      <c r="AK158" s="66"/>
      <c r="AL158" s="67"/>
      <c r="AM158" s="36"/>
      <c r="AN158" s="65"/>
      <c r="AO158" s="68" t="str">
        <f t="shared" si="6"/>
        <v>AGROFARMA KRSKANY s. r. o. polnohospodarstvo a lesnictvo, zvierata, &amp;#32vsetky kategorie  934 01 Krskany Nasa spolocnost momentalne disponuje chovom sliepok (nosnic, brojlerov) a chovom koz -  produkujeme kozie mlieko.V buducnosti planujeme rozsirit chov o kacky. Zamestnavanie znevyhodnenych osob a produkcia masa sliepok a vajec z volneho vybehu. AGROFARMA KRSKANY s.r.o. Nasa spolocnost ponuka predaj sliepok - masa a vajec - z volneho vybehu. farma, chov hydiny, predaj hydiny, maso, bio vajcia, mlieko           </v>
      </c>
      <c r="AP158" s="82"/>
    </row>
    <row r="159" ht="15.75" customHeight="1">
      <c r="A159" s="45"/>
      <c r="B159" s="70">
        <v>157.0</v>
      </c>
      <c r="C159" s="116" t="s">
        <v>1821</v>
      </c>
      <c r="D159" s="71" t="s">
        <v>217</v>
      </c>
      <c r="E159" s="43" t="str">
        <f t="shared" si="1"/>
        <v>Košický kraj, &amp;#32celé Slovensko</v>
      </c>
      <c r="F159" s="44" t="s">
        <v>1822</v>
      </c>
      <c r="G159" s="43" t="str">
        <f t="shared" si="2"/>
        <v>reklama, &amp;#32všetky kategórie</v>
      </c>
      <c r="H159" s="44" t="s">
        <v>53</v>
      </c>
      <c r="I159" s="45" t="str">
        <f t="shared" si="3"/>
        <v>1 - 5, &amp;#32všetky možnosti</v>
      </c>
      <c r="J159" s="46" t="str">
        <f t="shared" si="4"/>
        <v>,</v>
      </c>
      <c r="K159" s="47">
        <f t="shared" si="5"/>
        <v>41794.53201</v>
      </c>
      <c r="L159" s="45"/>
      <c r="M159" s="48" t="str">
        <f>IFERROR(__xludf.DUMMYFUNCTION("SPLIT(O159,"","")"),"Nám. osloboditeľov 10")</f>
        <v>Nám. osloboditeľov 10</v>
      </c>
      <c r="N159" s="48" t="str">
        <f>IFERROR(__xludf.DUMMYFUNCTION("""COMPUTED_VALUE""")," 071 01 Michalovce")</f>
        <v> 071 01 Michalovce</v>
      </c>
      <c r="O159" s="49" t="s">
        <v>1823</v>
      </c>
      <c r="P159" s="50">
        <v>48.7571957</v>
      </c>
      <c r="Q159" s="109">
        <v>21.9208922</v>
      </c>
      <c r="R159" s="66" t="s">
        <v>1824</v>
      </c>
      <c r="S159" s="36" t="s">
        <v>1825</v>
      </c>
      <c r="T159" s="110" t="s">
        <v>1826</v>
      </c>
      <c r="U159" s="75" t="s">
        <v>1827</v>
      </c>
      <c r="V159" s="55" t="s">
        <v>1828</v>
      </c>
      <c r="W159" s="76" t="s">
        <v>1829</v>
      </c>
      <c r="X159" s="77" t="s">
        <v>1821</v>
      </c>
      <c r="Y159" s="78" t="s">
        <v>1830</v>
      </c>
      <c r="Z159" s="63" t="s">
        <v>1831</v>
      </c>
      <c r="AA159" s="79" t="s">
        <v>64</v>
      </c>
      <c r="AB159" s="65"/>
      <c r="AC159" s="66"/>
      <c r="AD159" s="67"/>
      <c r="AE159" s="65"/>
      <c r="AF159" s="65"/>
      <c r="AG159" s="66"/>
      <c r="AH159" s="67"/>
      <c r="AI159" s="65"/>
      <c r="AJ159" s="65"/>
      <c r="AK159" s="66"/>
      <c r="AL159" s="67"/>
      <c r="AM159" s="36"/>
      <c r="AN159" s="65"/>
      <c r="AO159" s="68" t="str">
        <f t="shared" si="6"/>
        <v>LIPA s.r.o. reklama, &amp;#32vsetky kategorie  071 01 Michalovce Ponukame reklamne a marketingove sluzby pre firmy, skoly a samospravu. Sluzby zahrnaju reklamne predmety s potlacou alebo gravirovanim laserom, pracovne odevy s potlacou alebo vysivkou, tabule, samolepiace folie a bannery s UV potlacou; digitalnu tlac a vyrobu letakov, plagatov, vizitiek a pod.; online marketing pre socialne siete a Google. Podpora zamestnanosti prostrednictvom zamestnavania znevyhodnenych a zranitelnych osob. LIPA s.r.o. Reklamne predmety s potlacou alebo gravirom laserom, pracovne odevy s potlacou alebo vysivkou, digitalna tlac a vyroba plagatov, letakov, brozur, vizitiek a pod. tlac, vysivka, potlac textilu, plagat, letak, brozura, vizitka, banner, bilboard, tabula, online reklama, tricko, polokosela, mikina, bunda, siltovka, kalendar, taska, reklamne predmety, reklamny textil, kampan           </v>
      </c>
      <c r="AP159" s="69" t="s">
        <v>41</v>
      </c>
    </row>
    <row r="160" ht="15.75" customHeight="1">
      <c r="A160" s="45"/>
      <c r="B160" s="70">
        <v>158.0</v>
      </c>
      <c r="C160" s="116" t="s">
        <v>1832</v>
      </c>
      <c r="D160" s="71" t="s">
        <v>134</v>
      </c>
      <c r="E160" s="43" t="str">
        <f t="shared" si="1"/>
        <v>Trenčiansky kraj, &amp;#32celé Slovensko</v>
      </c>
      <c r="F160" s="44" t="s">
        <v>1833</v>
      </c>
      <c r="G160" s="43" t="str">
        <f t="shared" si="2"/>
        <v>obaly, bižutéria a darčekové predmety, iné (tovary a služby), &amp;#32všetky kategórie</v>
      </c>
      <c r="H160" s="44" t="s">
        <v>170</v>
      </c>
      <c r="I160" s="45" t="str">
        <f t="shared" si="3"/>
        <v>21 a viac, &amp;#32všetky možnosti</v>
      </c>
      <c r="J160" s="46" t="str">
        <f t="shared" si="4"/>
        <v>,Register partnerov VS</v>
      </c>
      <c r="K160" s="47">
        <f t="shared" si="5"/>
        <v>9276.583011</v>
      </c>
      <c r="L160" s="45"/>
      <c r="M160" s="48" t="str">
        <f>IFERROR(__xludf.DUMMYFUNCTION("SPLIT(O160,"","")"),"Kuzmányho 923/25")</f>
        <v>Kuzmányho 923/25</v>
      </c>
      <c r="N160" s="48" t="str">
        <f>IFERROR(__xludf.DUMMYFUNCTION("""COMPUTED_VALUE""")," 017 01 Považská Bystrica")</f>
        <v> 017 01 Považská Bystrica</v>
      </c>
      <c r="O160" s="49" t="s">
        <v>1834</v>
      </c>
      <c r="P160" s="50">
        <v>49.1141805</v>
      </c>
      <c r="Q160" s="109">
        <v>18.4516337</v>
      </c>
      <c r="R160" s="103" t="s">
        <v>1835</v>
      </c>
      <c r="S160" s="36" t="s">
        <v>1836</v>
      </c>
      <c r="T160" s="110" t="s">
        <v>86</v>
      </c>
      <c r="U160" s="75" t="s">
        <v>1837</v>
      </c>
      <c r="V160" s="55" t="s">
        <v>1838</v>
      </c>
      <c r="W160" s="76" t="s">
        <v>1839</v>
      </c>
      <c r="X160" s="77" t="s">
        <v>1840</v>
      </c>
      <c r="Y160" s="78" t="s">
        <v>1841</v>
      </c>
      <c r="Z160" s="63" t="s">
        <v>1842</v>
      </c>
      <c r="AA160" s="79" t="s">
        <v>64</v>
      </c>
      <c r="AB160" s="65"/>
      <c r="AC160" s="66"/>
      <c r="AD160" s="67"/>
      <c r="AE160" s="65"/>
      <c r="AF160" s="65"/>
      <c r="AG160" s="66"/>
      <c r="AH160" s="67"/>
      <c r="AI160" s="65"/>
      <c r="AJ160" s="65"/>
      <c r="AK160" s="66"/>
      <c r="AL160" s="67"/>
      <c r="AM160" s="52"/>
      <c r="AN160" s="80" t="s">
        <v>39</v>
      </c>
      <c r="AO160" s="68" t="str">
        <f t="shared" si="6"/>
        <v>M-HAND s.r.o obaly, bizuteria a darcekove predmety, ine (tovary a sluzby), &amp;#32vsetky kategorie  017 01 Povazska Bystrica Ponukame predovsetkym pracu vo mzde - jednoduche manipulacne prace ako balenie, lepenie, skladanie, prace s tlacovinami, jednoduche montazne prace, manualne prace podla poziadaviek zakaznika, ktore nemozu byt nahradene strojom. Zamestnavame ludi, ktori sa vdaka praci v nasom podniku citia spolocensky uzitocni a i napriek svojim zdravotnym znevyhodneniam sa dokazu postarat sami o seba a byt prospesni aj inym. M-HAND s.r.o., prevadzka Martin Praca vo mzde - manualne prace rozneho druhu, jednoduche manipulacne prace, balenie, skladanie, lepenie, praca s tlacovinami, jednoduche montazne prace. balenie,skladanie,manipulacia, drevo,papier,kovy, lepenie, montazne prace, manualne prace, zakazka           Register partnerov VS</v>
      </c>
      <c r="AP160" s="69" t="s">
        <v>41</v>
      </c>
    </row>
    <row r="161" ht="15.75" customHeight="1">
      <c r="A161" s="45"/>
      <c r="B161" s="70">
        <v>159.0</v>
      </c>
      <c r="C161" s="116" t="s">
        <v>1843</v>
      </c>
      <c r="D161" s="71" t="s">
        <v>217</v>
      </c>
      <c r="E161" s="43" t="str">
        <f t="shared" si="1"/>
        <v>Košický kraj, &amp;#32celé Slovensko</v>
      </c>
      <c r="F161" s="44" t="s">
        <v>1844</v>
      </c>
      <c r="G161" s="43" t="str">
        <f t="shared" si="2"/>
        <v>dom a záhrada, cestovný ruch, odpady a recyklácia, &amp;#32všetky kategórie</v>
      </c>
      <c r="H161" s="44" t="s">
        <v>53</v>
      </c>
      <c r="I161" s="45" t="str">
        <f t="shared" si="3"/>
        <v>1 - 5, &amp;#32všetky možnosti</v>
      </c>
      <c r="J161" s="46" t="str">
        <f t="shared" si="4"/>
        <v>,Register partnerov VS</v>
      </c>
      <c r="K161" s="47">
        <f t="shared" si="5"/>
        <v>11213.60907</v>
      </c>
      <c r="L161" s="45"/>
      <c r="M161" s="48" t="str">
        <f>IFERROR(__xludf.DUMMYFUNCTION("SPLIT(O161,"","")"),"Šafárikova 67")</f>
        <v>Šafárikova 67</v>
      </c>
      <c r="N161" s="48" t="str">
        <f>IFERROR(__xludf.DUMMYFUNCTION("""COMPUTED_VALUE""")," 049 21 Betliar")</f>
        <v> 049 21 Betliar</v>
      </c>
      <c r="O161" s="49" t="s">
        <v>1845</v>
      </c>
      <c r="P161" s="50">
        <v>48.7025474999999</v>
      </c>
      <c r="Q161" s="109">
        <v>20.5063126</v>
      </c>
      <c r="R161" s="66" t="s">
        <v>1846</v>
      </c>
      <c r="S161" s="36" t="s">
        <v>1847</v>
      </c>
      <c r="T161" s="110" t="s">
        <v>1848</v>
      </c>
      <c r="U161" s="75" t="s">
        <v>1849</v>
      </c>
      <c r="V161" s="55" t="s">
        <v>1850</v>
      </c>
      <c r="W161" s="76" t="s">
        <v>1851</v>
      </c>
      <c r="X161" s="77" t="s">
        <v>1843</v>
      </c>
      <c r="Y161" s="78" t="s">
        <v>1852</v>
      </c>
      <c r="Z161" s="63" t="s">
        <v>1853</v>
      </c>
      <c r="AA161" s="79" t="s">
        <v>64</v>
      </c>
      <c r="AB161" s="65"/>
      <c r="AC161" s="66"/>
      <c r="AD161" s="67"/>
      <c r="AE161" s="65"/>
      <c r="AF161" s="65"/>
      <c r="AG161" s="66"/>
      <c r="AH161" s="67"/>
      <c r="AI161" s="65"/>
      <c r="AJ161" s="65"/>
      <c r="AK161" s="66"/>
      <c r="AL161" s="67"/>
      <c r="AM161" s="52"/>
      <c r="AN161" s="80" t="s">
        <v>39</v>
      </c>
      <c r="AO161" s="68" t="str">
        <f t="shared" si="6"/>
        <v>Obecny podnik sluzieb Betliar, s.r.o., registrovany socialny podnik dom a zahrada, cestovny ruch, odpady a recyklacia, &amp;#32vsetky kategorie  049 21 Betliar Poskytujeme sluzby obcanom i navstevnikom obce, starostlivost o verejne priestranstva, socialne sluzby pre obcanov obce, odpadove hospodarstvo, vyroba jednoduchych vyrobkov z dreva. Zamestnavanie znevyhodnenych zamestnancov. Obecny podnik sluzieb Betliar, s.r.o., registrovany socialny podnik Starostlivost o verejne priestranstva obce, parkovacie sluzby, prevadzka zberneho dvora, vyroba jednoduchych vyrobkov z dreva. kosenie, drevovyroba, parkovacie sluzby, zberny dvor, odpad           Register partnerov VS</v>
      </c>
      <c r="AP161" s="82"/>
    </row>
    <row r="162" ht="15.75" customHeight="1">
      <c r="A162" s="45"/>
      <c r="B162" s="70">
        <v>160.0</v>
      </c>
      <c r="C162" s="116" t="s">
        <v>1854</v>
      </c>
      <c r="D162" s="71" t="s">
        <v>217</v>
      </c>
      <c r="E162" s="43" t="str">
        <f t="shared" si="1"/>
        <v>Košický kraj, &amp;#32celé Slovensko</v>
      </c>
      <c r="F162" s="44" t="s">
        <v>987</v>
      </c>
      <c r="G162" s="43" t="str">
        <f t="shared" si="2"/>
        <v>krása-zdravie-relax, &amp;#32všetky kategórie</v>
      </c>
      <c r="H162" s="44" t="s">
        <v>82</v>
      </c>
      <c r="I162" s="45" t="str">
        <f t="shared" si="3"/>
        <v>11 - 15, &amp;#32všetky možnosti</v>
      </c>
      <c r="J162" s="46" t="str">
        <f t="shared" si="4"/>
        <v>,Register partnerov VS</v>
      </c>
      <c r="K162" s="47">
        <f t="shared" si="5"/>
        <v>2327.151109</v>
      </c>
      <c r="L162" s="45"/>
      <c r="M162" s="48" t="str">
        <f>IFERROR(__xludf.DUMMYFUNCTION("SPLIT(O162,"","")"),"Fraňa Kráľa 2543/8")</f>
        <v>Fraňa Kráľa 2543/8</v>
      </c>
      <c r="N162" s="48" t="str">
        <f>IFERROR(__xludf.DUMMYFUNCTION("""COMPUTED_VALUE""")," 052 01 Spišská Nová Ves")</f>
        <v> 052 01 Spišská Nová Ves</v>
      </c>
      <c r="O162" s="49" t="s">
        <v>1855</v>
      </c>
      <c r="P162" s="50">
        <v>48.941049</v>
      </c>
      <c r="Q162" s="109">
        <v>20.5747574</v>
      </c>
      <c r="R162" s="66" t="s">
        <v>1856</v>
      </c>
      <c r="S162" s="36" t="s">
        <v>1857</v>
      </c>
      <c r="T162" s="110" t="s">
        <v>86</v>
      </c>
      <c r="U162" s="75" t="s">
        <v>1858</v>
      </c>
      <c r="V162" s="84" t="s">
        <v>1859</v>
      </c>
      <c r="W162" s="76" t="s">
        <v>1860</v>
      </c>
      <c r="X162" s="77" t="s">
        <v>1854</v>
      </c>
      <c r="Y162" s="78" t="s">
        <v>1861</v>
      </c>
      <c r="Z162" s="63" t="s">
        <v>1862</v>
      </c>
      <c r="AA162" s="79" t="s">
        <v>64</v>
      </c>
      <c r="AB162" s="65"/>
      <c r="AC162" s="66"/>
      <c r="AD162" s="67"/>
      <c r="AE162" s="65"/>
      <c r="AF162" s="65"/>
      <c r="AG162" s="66"/>
      <c r="AH162" s="67"/>
      <c r="AI162" s="65"/>
      <c r="AJ162" s="65"/>
      <c r="AK162" s="66"/>
      <c r="AL162" s="67"/>
      <c r="AM162" s="52"/>
      <c r="AN162" s="80" t="s">
        <v>39</v>
      </c>
      <c r="AO162" s="68" t="str">
        <f t="shared" si="6"/>
        <v>MASAZE s.r.o. krasa-zdravie-relax, &amp;#32vsetky kategorie  052 01 Spisska Nova Ves Maserske sluzby - vsetky druhy masazi; uvedene sluzby poskytujeme ako pre siroku verejnost tak aj pre firmy. Starostlivost o ludske telo - masaz je forma zdravotnej starostlivosti v boji proti bolestiam. Dokaze priaznivo ovplyvnit fyzicky aj psychicky stav cloveka, pomaha pri mnohych zdravotnych problemoch, zraneniach alebo strese. MASAZE s.r.o. Maserske sluzby - masaze vsetkych druhov. masaz, klasicka masaz, lymfodrenazna masaz, masaz lavovymi kamenmi, chiropraxia, reflexna masaz           Register partnerov VS</v>
      </c>
      <c r="AP162" s="82"/>
    </row>
    <row r="163" ht="15.75" customHeight="1">
      <c r="A163" s="45"/>
      <c r="B163" s="70">
        <v>161.0</v>
      </c>
      <c r="C163" s="116" t="s">
        <v>1863</v>
      </c>
      <c r="D163" s="71" t="s">
        <v>228</v>
      </c>
      <c r="E163" s="43" t="str">
        <f t="shared" si="1"/>
        <v>Nitriansky kraj, &amp;#32celé Slovensko</v>
      </c>
      <c r="F163" s="44" t="s">
        <v>1864</v>
      </c>
      <c r="G163" s="43" t="str">
        <f t="shared" si="2"/>
        <v>čistiace a upratovacie služby, dom a záhrada, potraviny a nápoje, &amp;#32všetky kategórie</v>
      </c>
      <c r="H163" s="44" t="s">
        <v>53</v>
      </c>
      <c r="I163" s="45" t="str">
        <f t="shared" si="3"/>
        <v>1 - 5, &amp;#32všetky možnosti</v>
      </c>
      <c r="J163" s="46" t="str">
        <f t="shared" si="4"/>
        <v>,Register partnerov VS</v>
      </c>
      <c r="K163" s="47">
        <f t="shared" si="5"/>
        <v>25794.73183</v>
      </c>
      <c r="L163" s="45"/>
      <c r="M163" s="48" t="str">
        <f>IFERROR(__xludf.DUMMYFUNCTION("SPLIT(O163,"","")"),"Pribinova 3")</f>
        <v>Pribinova 3</v>
      </c>
      <c r="N163" s="48" t="str">
        <f>IFERROR(__xludf.DUMMYFUNCTION("""COMPUTED_VALUE""")," 940 02 Nové Zámky")</f>
        <v> 940 02 Nové Zámky</v>
      </c>
      <c r="O163" s="49" t="s">
        <v>1865</v>
      </c>
      <c r="P163" s="50">
        <v>47.9887905</v>
      </c>
      <c r="Q163" s="109">
        <v>18.1637002</v>
      </c>
      <c r="R163" s="103" t="s">
        <v>1866</v>
      </c>
      <c r="S163" s="36" t="s">
        <v>1867</v>
      </c>
      <c r="T163" s="110" t="s">
        <v>1868</v>
      </c>
      <c r="U163" s="75" t="s">
        <v>1869</v>
      </c>
      <c r="V163" s="55" t="s">
        <v>1870</v>
      </c>
      <c r="W163" s="76" t="s">
        <v>1871</v>
      </c>
      <c r="X163" s="77" t="s">
        <v>1872</v>
      </c>
      <c r="Y163" s="78" t="s">
        <v>1873</v>
      </c>
      <c r="Z163" s="63" t="s">
        <v>1874</v>
      </c>
      <c r="AA163" s="79" t="s">
        <v>64</v>
      </c>
      <c r="AB163" s="65"/>
      <c r="AC163" s="66"/>
      <c r="AD163" s="67"/>
      <c r="AE163" s="65"/>
      <c r="AF163" s="65"/>
      <c r="AG163" s="66"/>
      <c r="AH163" s="67"/>
      <c r="AI163" s="65"/>
      <c r="AJ163" s="65"/>
      <c r="AK163" s="66"/>
      <c r="AL163" s="67"/>
      <c r="AM163" s="52"/>
      <c r="AN163" s="80" t="s">
        <v>39</v>
      </c>
      <c r="AO163" s="68" t="str">
        <f t="shared" si="6"/>
        <v>Komunitne centrum KOMPAS cistiace a upratovacie sluzby, dom a zahrada, potraviny a napoje, &amp;#32vsetky kategorie  940 02 Nove Zamky Cistiace a upratovacie sluzby - cistenie verejnych priestranslev na uzemi mesta Nove Zamky, upratovanie prevadzok a domacnosti. Verime, ze tato cinnost nastartuje socialnu ekonomiku v meste Nove Zamky, zabezpeci vytvorenie pracovnych miest pre znevyhodnene skupiny obyvatelov, pri ktorych budu prisposobene pracovne podmienky zamestnancov tak, aby sa vyrazne zvysila uspesnost udrzania stabilnej obsadenosti pracovnych pozicii. Napomoze tomu aj podpora pomahajucich profesii, s ktorymi bude Komunitne centrum KOMPAS spolupracovat. Zabezpeci tiez kontinuitu prace s cielovou skupinou, podpori zmenu jej socialneho statusu pracovnym uplatnenim v spojitosti so zabezpecenim docasneho a trvaleho byvania, ako aj podporou samostatneho byvania prostrednictvom socialnych sluzieb. Komunitne centrum Kompas Cooworkingove centrum s kaviarnou. co-working, kaviaren, komunitne centrum, upratovanie, cistenie, starostlivost o domacnost           Register partnerov VS</v>
      </c>
      <c r="AP163" s="82"/>
    </row>
    <row r="164" ht="15.75" customHeight="1">
      <c r="A164" s="45"/>
      <c r="B164" s="70">
        <v>162.0</v>
      </c>
      <c r="C164" s="116" t="s">
        <v>1875</v>
      </c>
      <c r="D164" s="71" t="s">
        <v>181</v>
      </c>
      <c r="E164" s="43" t="str">
        <f t="shared" si="1"/>
        <v>Banskobystrický kraj, &amp;#32celé Slovensko</v>
      </c>
      <c r="F164" s="44" t="s">
        <v>1876</v>
      </c>
      <c r="G164" s="43" t="str">
        <f t="shared" si="2"/>
        <v>doprava, odpady a recyklácia, &amp;#32všetky kategórie</v>
      </c>
      <c r="H164" s="44" t="s">
        <v>170</v>
      </c>
      <c r="I164" s="45" t="str">
        <f t="shared" si="3"/>
        <v>21 a viac, &amp;#32všetky možnosti</v>
      </c>
      <c r="J164" s="46" t="str">
        <f t="shared" si="4"/>
        <v>,Register partnerov VS</v>
      </c>
      <c r="K164" s="47">
        <f t="shared" si="5"/>
        <v>22374.28366</v>
      </c>
      <c r="L164" s="45"/>
      <c r="M164" s="48" t="str">
        <f>IFERROR(__xludf.DUMMYFUNCTION("SPLIT(O164,"","")"),"Zvolenská cesta 14A")</f>
        <v>Zvolenská cesta 14A</v>
      </c>
      <c r="N164" s="48" t="str">
        <f>IFERROR(__xludf.DUMMYFUNCTION("""COMPUTED_VALUE""")," 974 05 Banská Bystrica")</f>
        <v> 974 05 Banská Bystrica</v>
      </c>
      <c r="O164" s="49" t="s">
        <v>1877</v>
      </c>
      <c r="P164" s="50">
        <v>48.7098507</v>
      </c>
      <c r="Q164" s="109">
        <v>19.1342468</v>
      </c>
      <c r="R164" s="103" t="s">
        <v>1878</v>
      </c>
      <c r="S164" s="36" t="s">
        <v>1879</v>
      </c>
      <c r="T164" s="110" t="s">
        <v>1880</v>
      </c>
      <c r="U164" s="75" t="s">
        <v>1881</v>
      </c>
      <c r="V164" s="55" t="s">
        <v>1882</v>
      </c>
      <c r="W164" s="76" t="s">
        <v>1883</v>
      </c>
      <c r="X164" s="77" t="s">
        <v>1875</v>
      </c>
      <c r="Y164" s="78" t="s">
        <v>1884</v>
      </c>
      <c r="Z164" s="63" t="s">
        <v>1885</v>
      </c>
      <c r="AA164" s="79" t="s">
        <v>64</v>
      </c>
      <c r="AB164" s="65"/>
      <c r="AC164" s="66"/>
      <c r="AD164" s="67"/>
      <c r="AE164" s="65"/>
      <c r="AF164" s="65"/>
      <c r="AG164" s="66"/>
      <c r="AH164" s="67"/>
      <c r="AI164" s="65"/>
      <c r="AJ164" s="65"/>
      <c r="AK164" s="66"/>
      <c r="AL164" s="67"/>
      <c r="AM164" s="52"/>
      <c r="AN164" s="80" t="s">
        <v>39</v>
      </c>
      <c r="AO164" s="68" t="str">
        <f t="shared" si="6"/>
        <v>ZEDKO, s.r.o. doprava, odpady a recyklacia, &amp;#32vsetky kategorie  974 05 Banska Bystrica Nas podnik zabezpecuje zber, prepravu a spracovanie elektroodpadov, kovovych odpadov, baterii a pod. Zamestnavame zranitelne alebo znevyhodnene osoby. ZEDKO, s.r.o. Zber, preprava a spracovanie elektroodpadov, kovovych odpadov, baterii a inych odpadov. zber, preprava a spracovanie odpadov, triedenie odpadu, recyklacia, elektroodpad, kovovy odpad, vykup baterii, rafinacia drahych kovov           Register partnerov VS</v>
      </c>
      <c r="AP164" s="69" t="s">
        <v>41</v>
      </c>
    </row>
    <row r="165" ht="15.75" customHeight="1">
      <c r="A165" s="45"/>
      <c r="B165" s="70">
        <v>163.0</v>
      </c>
      <c r="C165" s="116" t="s">
        <v>1886</v>
      </c>
      <c r="D165" s="71" t="s">
        <v>228</v>
      </c>
      <c r="E165" s="43" t="str">
        <f t="shared" si="1"/>
        <v>Nitriansky kraj, &amp;#32celé Slovensko</v>
      </c>
      <c r="F165" s="44" t="s">
        <v>672</v>
      </c>
      <c r="G165" s="43" t="str">
        <f t="shared" si="2"/>
        <v>čistiace a upratovacie služby, dom a záhrada, &amp;#32všetky kategórie</v>
      </c>
      <c r="H165" s="44" t="s">
        <v>96</v>
      </c>
      <c r="I165" s="45" t="str">
        <f t="shared" si="3"/>
        <v>6 - 10, &amp;#32všetky možnosti</v>
      </c>
      <c r="J165" s="46" t="str">
        <f t="shared" si="4"/>
        <v>Servisné poukážky,Register partnerov VS</v>
      </c>
      <c r="K165" s="47">
        <f t="shared" si="5"/>
        <v>31193.76125</v>
      </c>
      <c r="L165" s="45"/>
      <c r="M165" s="48" t="str">
        <f>IFERROR(__xludf.DUMMYFUNCTION("SPLIT(O165,"","")"),"Hlavná 201")</f>
        <v>Hlavná 201</v>
      </c>
      <c r="N165" s="48" t="str">
        <f>IFERROR(__xludf.DUMMYFUNCTION("""COMPUTED_VALUE""")," 935 23 Rybník")</f>
        <v> 935 23 Rybník</v>
      </c>
      <c r="O165" s="49" t="s">
        <v>1887</v>
      </c>
      <c r="P165" s="50">
        <v>48.2930427</v>
      </c>
      <c r="Q165" s="109">
        <v>18.5615898</v>
      </c>
      <c r="R165" s="103" t="s">
        <v>1888</v>
      </c>
      <c r="S165" s="36" t="s">
        <v>1889</v>
      </c>
      <c r="T165" s="110" t="s">
        <v>1890</v>
      </c>
      <c r="U165" s="75" t="s">
        <v>1891</v>
      </c>
      <c r="V165" s="55" t="s">
        <v>1892</v>
      </c>
      <c r="W165" s="76" t="s">
        <v>1893</v>
      </c>
      <c r="X165" s="77" t="s">
        <v>1894</v>
      </c>
      <c r="Y165" s="78" t="s">
        <v>1895</v>
      </c>
      <c r="Z165" s="63" t="s">
        <v>1896</v>
      </c>
      <c r="AA165" s="79" t="s">
        <v>64</v>
      </c>
      <c r="AB165" s="65"/>
      <c r="AC165" s="66"/>
      <c r="AD165" s="67"/>
      <c r="AE165" s="65"/>
      <c r="AF165" s="65"/>
      <c r="AG165" s="66"/>
      <c r="AH165" s="67"/>
      <c r="AI165" s="65"/>
      <c r="AJ165" s="65"/>
      <c r="AK165" s="66"/>
      <c r="AL165" s="67"/>
      <c r="AM165" s="96" t="s">
        <v>320</v>
      </c>
      <c r="AN165" s="80" t="s">
        <v>39</v>
      </c>
      <c r="AO165" s="68" t="str">
        <f t="shared" si="6"/>
        <v>Obecne sluzby Rybnik s. r. o. cistiace a upratovacie sluzby, dom a zahrada, &amp;#32vsetky kategorie  935 23 Rybnik Hlavnymi sluzbami registrovaneho socialneho podniku Obecne sluzby Rybnik s.r.o. su technicke a upratovacie sluzby v domacnostiach, zahradach a na verejnych priestranstvach, ako napr. kosenie, hrabanie, stiepanie, kalanie palivoveho dreva, mensie buracie a stavebne prace, opilovavanie, umyvanie okien, upratovanie domacnosti, malovanie a cistenie po malovani a pod.
Nasimi zakaznikmi su obcania - fyzicke osoby z obce a jej sirsieho okolia a samospravy. Ponukame im dostupne a kvalitne sluzby podla poziadaviek, casto "site na mieru". Mame zrucnych, spolahlivych a usilovnych zamestnancov, ktori su garanciou kvalitne vykonanej prace.
 Podporujeme zamestnavanie znevyhodnenych a zranitelnych osob v sirsom okruhu obce Rybnik v Levickom okrese. Obecne sluzby Rybnik s.r.o. Opravy, upratovacie a udrzbove prace. upratovanie, kosba, cistenie, opravy, udrzba, umyvanie okien, pilenie stromov, kalanie dreva, mensie buracie prace, stavebne prace          Servisne poukazky Register partnerov VS</v>
      </c>
      <c r="AP165" s="82"/>
    </row>
    <row r="166" ht="15.75" customHeight="1">
      <c r="A166" s="45"/>
      <c r="B166" s="70">
        <v>164.0</v>
      </c>
      <c r="C166" s="116" t="s">
        <v>1897</v>
      </c>
      <c r="D166" s="71" t="s">
        <v>134</v>
      </c>
      <c r="E166" s="43" t="str">
        <f t="shared" si="1"/>
        <v>Trenčiansky kraj, &amp;#32celé Slovensko</v>
      </c>
      <c r="F166" s="44" t="s">
        <v>396</v>
      </c>
      <c r="G166" s="43" t="str">
        <f t="shared" si="2"/>
        <v>iné (tovary a služby), &amp;#32všetky kategórie</v>
      </c>
      <c r="H166" s="44" t="s">
        <v>82</v>
      </c>
      <c r="I166" s="45" t="str">
        <f t="shared" si="3"/>
        <v>11 - 15, &amp;#32všetky možnosti</v>
      </c>
      <c r="J166" s="46" t="str">
        <f t="shared" si="4"/>
        <v>,</v>
      </c>
      <c r="K166" s="47">
        <f t="shared" si="5"/>
        <v>18626.16755</v>
      </c>
      <c r="L166" s="45"/>
      <c r="M166" s="48" t="str">
        <f>IFERROR(__xludf.DUMMYFUNCTION("SPLIT(O166,"","")"),"I.Krasku 707/2")</f>
        <v>I.Krasku 707/2</v>
      </c>
      <c r="N166" s="48" t="str">
        <f>IFERROR(__xludf.DUMMYFUNCTION("""COMPUTED_VALUE""")," 971 01 Prievidza")</f>
        <v> 971 01 Prievidza</v>
      </c>
      <c r="O166" s="49" t="s">
        <v>1898</v>
      </c>
      <c r="P166" s="50">
        <v>48.7777468</v>
      </c>
      <c r="Q166" s="109">
        <v>18.6175426</v>
      </c>
      <c r="R166" s="103" t="s">
        <v>1899</v>
      </c>
      <c r="S166" s="36" t="s">
        <v>1900</v>
      </c>
      <c r="T166" s="110" t="s">
        <v>86</v>
      </c>
      <c r="U166" s="75" t="s">
        <v>1901</v>
      </c>
      <c r="V166" s="55" t="s">
        <v>1902</v>
      </c>
      <c r="W166" s="76" t="s">
        <v>1903</v>
      </c>
      <c r="X166" s="77" t="s">
        <v>1897</v>
      </c>
      <c r="Y166" s="78" t="s">
        <v>1904</v>
      </c>
      <c r="Z166" s="63" t="s">
        <v>1905</v>
      </c>
      <c r="AA166" s="79" t="s">
        <v>64</v>
      </c>
      <c r="AB166" s="65"/>
      <c r="AC166" s="66"/>
      <c r="AD166" s="67"/>
      <c r="AE166" s="65"/>
      <c r="AF166" s="65"/>
      <c r="AG166" s="66"/>
      <c r="AH166" s="67"/>
      <c r="AI166" s="65"/>
      <c r="AJ166" s="65"/>
      <c r="AK166" s="66"/>
      <c r="AL166" s="67"/>
      <c r="AM166" s="36"/>
      <c r="AN166" s="65"/>
      <c r="AO166" s="68" t="str">
        <f t="shared" si="6"/>
        <v>Lupex, s.r.o. ine (tovary a sluzby), &amp;#32vsetky kategorie  971 01 Prievidza Nasa ponuka: vyroba spongii, balenie utierok pre domacnosti. Podporujeme regionalny rozvoj a zamestnanost. Lupex, s.r.o. Vyroba spongii, balenie utierok pre domacnost. spngie, kuchynske utierky           </v>
      </c>
      <c r="AP166" s="82"/>
    </row>
    <row r="167" ht="15.75" customHeight="1">
      <c r="A167" s="45"/>
      <c r="B167" s="70">
        <v>165.0</v>
      </c>
      <c r="C167" s="116" t="s">
        <v>1906</v>
      </c>
      <c r="D167" s="71" t="s">
        <v>134</v>
      </c>
      <c r="E167" s="43" t="str">
        <f t="shared" si="1"/>
        <v>Trenčiansky kraj, &amp;#32celé Slovensko</v>
      </c>
      <c r="F167" s="44" t="s">
        <v>756</v>
      </c>
      <c r="G167" s="43" t="str">
        <f t="shared" si="2"/>
        <v>čistiace a upratovacie služby, &amp;#32všetky kategórie</v>
      </c>
      <c r="H167" s="44" t="s">
        <v>82</v>
      </c>
      <c r="I167" s="45" t="str">
        <f t="shared" si="3"/>
        <v>11 - 15, &amp;#32všetky možnosti</v>
      </c>
      <c r="J167" s="46" t="str">
        <f t="shared" si="4"/>
        <v>,Register partnerov VS</v>
      </c>
      <c r="K167" s="47">
        <f t="shared" si="5"/>
        <v>26674.01076</v>
      </c>
      <c r="L167" s="45"/>
      <c r="M167" s="48" t="str">
        <f>IFERROR(__xludf.DUMMYFUNCTION("SPLIT(O167,"","")"),"Obrancov mieru 350")</f>
        <v>Obrancov mieru 350</v>
      </c>
      <c r="N167" s="48" t="str">
        <f>IFERROR(__xludf.DUMMYFUNCTION("""COMPUTED_VALUE""")," 018 41 Dubnica nad Váhom")</f>
        <v> 018 41 Dubnica nad Váhom</v>
      </c>
      <c r="O167" s="49" t="s">
        <v>1907</v>
      </c>
      <c r="P167" s="50">
        <v>48.9556</v>
      </c>
      <c r="Q167" s="109">
        <v>18.1661662</v>
      </c>
      <c r="R167" s="103" t="s">
        <v>1908</v>
      </c>
      <c r="S167" s="36" t="s">
        <v>476</v>
      </c>
      <c r="T167" s="110" t="s">
        <v>1909</v>
      </c>
      <c r="U167" s="75" t="s">
        <v>1910</v>
      </c>
      <c r="V167" s="55" t="s">
        <v>1911</v>
      </c>
      <c r="W167" s="76" t="s">
        <v>1912</v>
      </c>
      <c r="X167" s="77" t="s">
        <v>1913</v>
      </c>
      <c r="Y167" s="78" t="s">
        <v>1914</v>
      </c>
      <c r="Z167" s="63" t="s">
        <v>1915</v>
      </c>
      <c r="AA167" s="79" t="s">
        <v>64</v>
      </c>
      <c r="AB167" s="65"/>
      <c r="AC167" s="66"/>
      <c r="AD167" s="67"/>
      <c r="AE167" s="65"/>
      <c r="AF167" s="65"/>
      <c r="AG167" s="66"/>
      <c r="AH167" s="67"/>
      <c r="AI167" s="65"/>
      <c r="AJ167" s="65"/>
      <c r="AK167" s="66"/>
      <c r="AL167" s="67"/>
      <c r="AM167" s="52"/>
      <c r="AN167" s="80" t="s">
        <v>39</v>
      </c>
      <c r="AO167" s="68" t="str">
        <f t="shared" si="6"/>
        <v>OLBL, s.r.o. cistiace a upratovacie sluzby, &amp;#32vsetky kategorie  018 41 Dubnica nad Vahom Nasa prevadzka poskytuje sluzby v oblasti cistenia odevov - zakaznikom ponukame cistenie sirokej skaly odevov, kobercov, pranie i zehlenie. Nasimi zakaznikmi su siroka verejnost, male i stredne podniky, subjekty socialnej ekonomiky i verejnej spravy. Zamestnavame zdravotne znevyhodnene osoby. PERU EKOCISTIAREN Cistenie, pranie odevov. pracovna, cistiaren, pranie, zehlenie, cistenie kobercov           Register partnerov VS</v>
      </c>
      <c r="AP167" s="69" t="s">
        <v>41</v>
      </c>
    </row>
    <row r="168" ht="15.75" customHeight="1">
      <c r="A168" s="45"/>
      <c r="B168" s="70">
        <v>166.0</v>
      </c>
      <c r="C168" s="116" t="s">
        <v>1916</v>
      </c>
      <c r="D168" s="71" t="s">
        <v>217</v>
      </c>
      <c r="E168" s="43" t="str">
        <f t="shared" si="1"/>
        <v>Košický kraj, &amp;#32celé Slovensko</v>
      </c>
      <c r="F168" s="44" t="s">
        <v>1917</v>
      </c>
      <c r="G168" s="43" t="str">
        <f t="shared" si="2"/>
        <v>dom a záhrada, stavebníctvo, účtovníctvo a poradenstvo, , &amp;#32všetky kategórie</v>
      </c>
      <c r="H168" s="44" t="s">
        <v>53</v>
      </c>
      <c r="I168" s="45" t="str">
        <f t="shared" si="3"/>
        <v>1 - 5, &amp;#32všetky možnosti</v>
      </c>
      <c r="J168" s="46" t="str">
        <f t="shared" si="4"/>
        <v>,</v>
      </c>
      <c r="K168" s="47">
        <f t="shared" si="5"/>
        <v>39552.66797</v>
      </c>
      <c r="L168" s="45"/>
      <c r="M168" s="48" t="str">
        <f>IFERROR(__xludf.DUMMYFUNCTION("SPLIT(O168,"","")"),"Orgovánová 956/26")</f>
        <v>Orgovánová 956/26</v>
      </c>
      <c r="N168" s="48" t="str">
        <f>IFERROR(__xludf.DUMMYFUNCTION("""COMPUTED_VALUE""")," 079 01 Veľké Kapušany")</f>
        <v> 079 01 Veľké Kapušany</v>
      </c>
      <c r="O168" s="49" t="s">
        <v>1918</v>
      </c>
      <c r="P168" s="50">
        <v>48.5496482</v>
      </c>
      <c r="Q168" s="109">
        <v>22.0915888</v>
      </c>
      <c r="R168" s="103" t="s">
        <v>1919</v>
      </c>
      <c r="S168" s="36" t="s">
        <v>1920</v>
      </c>
      <c r="T168" s="110" t="s">
        <v>86</v>
      </c>
      <c r="U168" s="75" t="s">
        <v>1921</v>
      </c>
      <c r="V168" s="55" t="s">
        <v>1922</v>
      </c>
      <c r="W168" s="76" t="s">
        <v>1923</v>
      </c>
      <c r="X168" s="77" t="s">
        <v>1924</v>
      </c>
      <c r="Y168" s="78" t="s">
        <v>1925</v>
      </c>
      <c r="Z168" s="63" t="s">
        <v>1926</v>
      </c>
      <c r="AA168" s="85" t="s">
        <v>129</v>
      </c>
      <c r="AB168" s="65" t="s">
        <v>1927</v>
      </c>
      <c r="AC168" s="66" t="s">
        <v>1928</v>
      </c>
      <c r="AD168" s="67" t="s">
        <v>1929</v>
      </c>
      <c r="AE168" s="65" t="s">
        <v>64</v>
      </c>
      <c r="AF168" s="65"/>
      <c r="AG168" s="66"/>
      <c r="AH168" s="67"/>
      <c r="AI168" s="65"/>
      <c r="AJ168" s="65"/>
      <c r="AK168" s="66"/>
      <c r="AL168" s="67"/>
      <c r="AM168" s="36"/>
      <c r="AN168" s="65"/>
      <c r="AO168" s="68" t="str">
        <f t="shared" si="6"/>
        <v>EkonoConsult, s.r.o. r.s.p. dom a zahrada, stavebnictvo, uctovnictvo a poradenstvo, , &amp;#32vsetky kategorie  079 01 Velke Kapusany Hlavnou cinnostou nasej spolocnosti od jej zalozenia je vedenie uctovnictva pre vsetky typy subjektov, od malych zivnostnikov bez zamestnancov az po stredne velke spolocnosti. 
V roku 2021 sme rozsirili svoje cinnosti v dalsej oblasti, ktoru by sme mohli jednou vetou opisat ako „ZELENE RIESENIE PRE VAS ZIVOT“. Zahrna nasledovne cinnosti: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interieroch. 
Uvedene cinnosti ponukame pre sukromne osoby, podnikatelske subjekty aj pre verejny sektor. Zamestnavanim znevyhodnenych osob a pozitivnym ekologickym vplyvom na region. GRONN LIV - Zelene riesenie pre vas zivot "ZELENE RIESENIE PRE VAS ZIVOT“: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interieri. 
Uvedene cinnosti ponukame pre sukromne osoby, podnikatelske subjekty aj pre verejny sektor.  kosenie, mulcovanie, sadenie, uprava pody, dazdova zahrada, zelena strecha, prevetrana fasada, ekologicke stavby EkonoConsult - uctovnictvo, dane, mzdy, firemne financie V oblasti uctovnictva vykonava nasa spolocnost vedenie podvojneho uctovnictva, jednoducheho uctovnictva pre podnikatelov aj pre neziskovy sektor, spracovanie personalnej a mzdovej agendy, evidenciu skladovych zasob, evidenciu dlhodobeho majetku a vypocet odpisov. Danove poradenstvo je zabezpecene konatelkou spolocnosti, ktora je licencovana danova poradkyna. uctovnictvo, mzdy, dane, danove poradenstvo,        </v>
      </c>
      <c r="AP168" s="69" t="s">
        <v>41</v>
      </c>
    </row>
    <row r="169" ht="15.75" customHeight="1">
      <c r="A169" s="45"/>
      <c r="B169" s="70">
        <v>167.0</v>
      </c>
      <c r="C169" s="116" t="s">
        <v>1930</v>
      </c>
      <c r="D169" s="71" t="s">
        <v>181</v>
      </c>
      <c r="E169" s="43" t="str">
        <f t="shared" si="1"/>
        <v>Banskobystrický kraj, &amp;#32celé Slovensko</v>
      </c>
      <c r="F169" s="44" t="s">
        <v>108</v>
      </c>
      <c r="G169" s="43" t="str">
        <f t="shared" si="2"/>
        <v>čistiace a upratovacie služby, stavebníctvo, &amp;#32všetky kategórie</v>
      </c>
      <c r="H169" s="44" t="s">
        <v>68</v>
      </c>
      <c r="I169" s="45" t="str">
        <f t="shared" si="3"/>
        <v>16 - 20, &amp;#32všetky možnosti</v>
      </c>
      <c r="J169" s="46" t="str">
        <f t="shared" si="4"/>
        <v>,Register partnerov VS</v>
      </c>
      <c r="K169" s="47">
        <f t="shared" si="5"/>
        <v>33677.21752</v>
      </c>
      <c r="L169" s="45"/>
      <c r="M169" s="48" t="str">
        <f>IFERROR(__xludf.DUMMYFUNCTION("SPLIT(O169,"","")"),"Priemyselná 936/3")</f>
        <v>Priemyselná 936/3</v>
      </c>
      <c r="N169" s="48" t="str">
        <f>IFERROR(__xludf.DUMMYFUNCTION("""COMPUTED_VALUE""")," 963 01 Krupina")</f>
        <v> 963 01 Krupina</v>
      </c>
      <c r="O169" s="49" t="s">
        <v>1931</v>
      </c>
      <c r="P169" s="50">
        <v>48.3456866</v>
      </c>
      <c r="Q169" s="109">
        <v>19.0690613</v>
      </c>
      <c r="R169" s="103" t="s">
        <v>1932</v>
      </c>
      <c r="S169" s="36" t="s">
        <v>1933</v>
      </c>
      <c r="T169" s="110" t="s">
        <v>86</v>
      </c>
      <c r="U169" s="75" t="s">
        <v>1934</v>
      </c>
      <c r="V169" s="55" t="s">
        <v>1935</v>
      </c>
      <c r="W169" s="76" t="s">
        <v>1936</v>
      </c>
      <c r="X169" s="77" t="s">
        <v>1937</v>
      </c>
      <c r="Y169" s="78" t="s">
        <v>1938</v>
      </c>
      <c r="Z169" s="63" t="s">
        <v>1939</v>
      </c>
      <c r="AA169" s="79" t="s">
        <v>64</v>
      </c>
      <c r="AB169" s="65"/>
      <c r="AC169" s="66"/>
      <c r="AD169" s="67"/>
      <c r="AE169" s="65"/>
      <c r="AF169" s="65"/>
      <c r="AG169" s="66"/>
      <c r="AH169" s="67"/>
      <c r="AI169" s="65"/>
      <c r="AJ169" s="65"/>
      <c r="AK169" s="66"/>
      <c r="AL169" s="67"/>
      <c r="AM169" s="52"/>
      <c r="AN169" s="80" t="s">
        <v>39</v>
      </c>
      <c r="AO169" s="68" t="str">
        <f t="shared" si="6"/>
        <v>VB SP s. r. o., r. s. p. cistiace a upratovacie sluzby, stavebnictvo, &amp;#32vsetky kategorie  963 01 Krupina Spolocnost VB SP s.r.o, r.s.p. sa venuje stavebnej vyrobe, uskutocnovaniu stavieb a ich zmien, vykonavaniu zemnych prac, buracich prac, pomocnych stavebnych prac a s tym suvisiacich pridruzenych cinnosti. Druhou cinnostou je poskytovanie sluzieb v oblasti prania a cistenia odevov a textilii. Tymito cinnostami sleduje svoj hlavny ciel, ktorym je dosahovanie meratelneho pozitivneho socialneho vplyvu. Spolocnost VB SP s.r.o., r.s.p. prispieva k dosahovaniu pozitivneho socialneho vplyvu tym, ze zamestnava zranitelne a znevyhodnene osoby. Ich zamestnavanim spolocnost sleduje ciel ich socialneho zaclenia do spolocnosti, ich vzdelavania za pomoci mentorov a rozsirovania ich praktickych zrucnosti. VB SP s.r.o., r.s.p. Ponukame sluzby v oblasti stavebnej vyroby - kompletna realizacia stavieb, zemne prace, buracie prace, pomocne stavebne prace a s tym suvisiace pridruzene cinnosti. 
Ponukame sluzby prania a cistenia odevov a textilii pre podnikatelov, nemocnice, domovy socialnych sluzieb a tiez pre obcanov. stavebna cinnost, stavebne prace,  zemne prace, buracie prace, pracovna, pranie a cistenie odevov           Register partnerov VS</v>
      </c>
      <c r="AP169" s="82"/>
    </row>
    <row r="170" ht="15.75" customHeight="1">
      <c r="A170" s="45"/>
      <c r="B170" s="70">
        <v>168.0</v>
      </c>
      <c r="C170" s="116" t="s">
        <v>1940</v>
      </c>
      <c r="D170" s="71" t="s">
        <v>51</v>
      </c>
      <c r="E170" s="43" t="str">
        <f t="shared" si="1"/>
        <v>Prešovský kraj, &amp;#32celé Slovensko</v>
      </c>
      <c r="F170" s="44" t="s">
        <v>1106</v>
      </c>
      <c r="G170" s="43" t="str">
        <f t="shared" si="2"/>
        <v>stavebníctvo, &amp;#32všetky kategórie</v>
      </c>
      <c r="H170" s="44" t="s">
        <v>68</v>
      </c>
      <c r="I170" s="45" t="str">
        <f t="shared" si="3"/>
        <v>16 - 20, &amp;#32všetky možnosti</v>
      </c>
      <c r="J170" s="46" t="str">
        <f t="shared" si="4"/>
        <v>,Register partnerov VS</v>
      </c>
      <c r="K170" s="47">
        <f t="shared" si="5"/>
        <v>32024.15203</v>
      </c>
      <c r="L170" s="45"/>
      <c r="M170" s="48" t="str">
        <f>IFERROR(__xludf.DUMMYFUNCTION("SPLIT(O170,"","")"),"Čirč 208")</f>
        <v>Čirč 208</v>
      </c>
      <c r="N170" s="48" t="str">
        <f>IFERROR(__xludf.DUMMYFUNCTION("""COMPUTED_VALUE""")," 065 42 Čirč")</f>
        <v> 065 42 Čirč</v>
      </c>
      <c r="O170" s="49" t="s">
        <v>1941</v>
      </c>
      <c r="P170" s="50">
        <v>49.2800295</v>
      </c>
      <c r="Q170" s="109">
        <v>20.9211886</v>
      </c>
      <c r="R170" s="66" t="s">
        <v>1942</v>
      </c>
      <c r="S170" s="36" t="s">
        <v>1943</v>
      </c>
      <c r="T170" s="110" t="s">
        <v>1944</v>
      </c>
      <c r="U170" s="75" t="s">
        <v>1945</v>
      </c>
      <c r="V170" s="84" t="s">
        <v>1946</v>
      </c>
      <c r="W170" s="76" t="s">
        <v>1947</v>
      </c>
      <c r="X170" s="77" t="s">
        <v>1948</v>
      </c>
      <c r="Y170" s="78" t="s">
        <v>1942</v>
      </c>
      <c r="Z170" s="63" t="s">
        <v>1949</v>
      </c>
      <c r="AA170" s="79" t="s">
        <v>64</v>
      </c>
      <c r="AB170" s="65"/>
      <c r="AC170" s="66"/>
      <c r="AD170" s="67"/>
      <c r="AE170" s="65"/>
      <c r="AF170" s="65"/>
      <c r="AG170" s="66"/>
      <c r="AH170" s="67"/>
      <c r="AI170" s="65"/>
      <c r="AJ170" s="65"/>
      <c r="AK170" s="66"/>
      <c r="AL170" s="67"/>
      <c r="AM170" s="52"/>
      <c r="AN170" s="80" t="s">
        <v>39</v>
      </c>
      <c r="AO170" s="68" t="str">
        <f t="shared" si="6"/>
        <v>Solisko CIRC s.r.o., r.s.p. stavebnictvo, &amp;#32vsetky kategorie  065 42 Circ Stavebne a rekonstrukcne prace. Zamestnavame aj zdravotne znevyhodnenych pracovnikov. Solisko Circ s.r.o., r.s.p. Stavebne a rekonstrukcne prace. Stavebne prace, stavba, rekonstrukcia            Register partnerov VS</v>
      </c>
      <c r="AP170" s="69" t="s">
        <v>41</v>
      </c>
    </row>
    <row r="171" ht="15.75" customHeight="1">
      <c r="A171" s="45"/>
      <c r="B171" s="70">
        <v>169.0</v>
      </c>
      <c r="C171" s="116" t="s">
        <v>1950</v>
      </c>
      <c r="D171" s="71" t="s">
        <v>217</v>
      </c>
      <c r="E171" s="43" t="str">
        <f t="shared" si="1"/>
        <v>Košický kraj, &amp;#32celé Slovensko</v>
      </c>
      <c r="F171" s="44" t="s">
        <v>1951</v>
      </c>
      <c r="G171" s="43" t="str">
        <f t="shared" si="2"/>
        <v>doprava, cestovný ruch, &amp;#32všetky kategórie</v>
      </c>
      <c r="H171" s="44" t="s">
        <v>96</v>
      </c>
      <c r="I171" s="45" t="str">
        <f t="shared" si="3"/>
        <v>6 - 10, &amp;#32všetky možnosti</v>
      </c>
      <c r="J171" s="46" t="str">
        <f t="shared" si="4"/>
        <v>,Register partnerov VS</v>
      </c>
      <c r="K171" s="47">
        <f t="shared" si="5"/>
        <v>32458.70958</v>
      </c>
      <c r="L171" s="45"/>
      <c r="M171" s="48" t="str">
        <f>IFERROR(__xludf.DUMMYFUNCTION("SPLIT(O171,"","")"),"Dedinky 79")</f>
        <v>Dedinky 79</v>
      </c>
      <c r="N171" s="48" t="str">
        <f>IFERROR(__xludf.DUMMYFUNCTION("""COMPUTED_VALUE""")," 049 73 Dedinky")</f>
        <v> 049 73 Dedinky</v>
      </c>
      <c r="O171" s="49" t="s">
        <v>1952</v>
      </c>
      <c r="P171" s="50">
        <v>48.8670604</v>
      </c>
      <c r="Q171" s="109">
        <v>20.3792274</v>
      </c>
      <c r="R171" s="66" t="s">
        <v>1953</v>
      </c>
      <c r="S171" s="36" t="s">
        <v>1954</v>
      </c>
      <c r="T171" s="110" t="s">
        <v>86</v>
      </c>
      <c r="U171" s="117" t="s">
        <v>1955</v>
      </c>
      <c r="V171" s="55" t="s">
        <v>1956</v>
      </c>
      <c r="W171" s="76" t="s">
        <v>1957</v>
      </c>
      <c r="X171" s="77" t="s">
        <v>1950</v>
      </c>
      <c r="Y171" s="78" t="s">
        <v>1958</v>
      </c>
      <c r="Z171" s="63" t="s">
        <v>1959</v>
      </c>
      <c r="AA171" s="79" t="s">
        <v>64</v>
      </c>
      <c r="AB171" s="65"/>
      <c r="AC171" s="66"/>
      <c r="AD171" s="67"/>
      <c r="AE171" s="65"/>
      <c r="AF171" s="65"/>
      <c r="AG171" s="66"/>
      <c r="AH171" s="67"/>
      <c r="AI171" s="65"/>
      <c r="AJ171" s="65"/>
      <c r="AK171" s="66"/>
      <c r="AL171" s="67"/>
      <c r="AM171" s="52"/>
      <c r="AN171" s="80" t="s">
        <v>39</v>
      </c>
      <c r="AO171" s="68" t="str">
        <f t="shared" si="6"/>
        <v>Dedinky s. r. o. doprava, cestovny ruch, &amp;#32vsetky kategorie  049 73 Dedinky Hlavnym zameranim je prevadzka lanovej drahy Dedinky - Geravy. Tato sluzba je urcena pre siroku verejnost bez rozdielu - pre domacich obyvatelov, tuzemskych aj zahranicnych navstevnikov regionu. Socialny podnik nam pomaha riesit nezamestnanost znevyhodnenych osob na urovni minimalne 30 %. Prostrednictvom neho podnikame v oblasti cestovneho ruchu. Zamestnanim celkoveho poctu 7 - 9 pracovnikov znizujeme nezamestnanost v nasom regione. Dedinky s. r. o. Poskytovanie sluzieb prepravy osob na lanovej drahe Dedinky - Geravy. lanova draha, preprava,  sedackova lanovka           Register partnerov VS</v>
      </c>
      <c r="AP171" s="82"/>
    </row>
    <row r="172" ht="15.75" customHeight="1">
      <c r="A172" s="45"/>
      <c r="B172" s="70">
        <v>170.0</v>
      </c>
      <c r="C172" s="116" t="s">
        <v>1960</v>
      </c>
      <c r="D172" s="71" t="s">
        <v>66</v>
      </c>
      <c r="E172" s="43" t="str">
        <f t="shared" si="1"/>
        <v>Žilinský kraj, &amp;#32celé Slovensko</v>
      </c>
      <c r="F172" s="44" t="s">
        <v>1961</v>
      </c>
      <c r="G172" s="43" t="str">
        <f t="shared" si="2"/>
        <v>poľnohospodárstvo a lesníctvo, dom a záhrada, stavebníctvo, cestovný ruch, odpady a recyklácia, &amp;#32všetky kategórie</v>
      </c>
      <c r="H172" s="44" t="s">
        <v>53</v>
      </c>
      <c r="I172" s="45" t="str">
        <f t="shared" si="3"/>
        <v>1 - 5, &amp;#32všetky možnosti</v>
      </c>
      <c r="J172" s="46" t="str">
        <f t="shared" si="4"/>
        <v>,Register partnerov VS</v>
      </c>
      <c r="K172" s="47">
        <f t="shared" si="5"/>
        <v>1281.268929</v>
      </c>
      <c r="L172" s="45"/>
      <c r="M172" s="48" t="str">
        <f>IFERROR(__xludf.DUMMYFUNCTION("SPLIT(O172,"","")"),"Žabokreky 145")</f>
        <v>Žabokreky 145</v>
      </c>
      <c r="N172" s="48" t="str">
        <f>IFERROR(__xludf.DUMMYFUNCTION("""COMPUTED_VALUE""")," 038 40 Žabokreky")</f>
        <v> 038 40 Žabokreky</v>
      </c>
      <c r="O172" s="49" t="s">
        <v>1962</v>
      </c>
      <c r="P172" s="50">
        <v>49.0256153</v>
      </c>
      <c r="Q172" s="109">
        <v>18.9230533</v>
      </c>
      <c r="R172" s="66" t="s">
        <v>1963</v>
      </c>
      <c r="S172" s="36" t="s">
        <v>1964</v>
      </c>
      <c r="T172" s="110" t="s">
        <v>1965</v>
      </c>
      <c r="U172" s="75" t="s">
        <v>1966</v>
      </c>
      <c r="V172" s="55" t="s">
        <v>1967</v>
      </c>
      <c r="W172" s="76" t="s">
        <v>1968</v>
      </c>
      <c r="X172" s="77" t="s">
        <v>1969</v>
      </c>
      <c r="Y172" s="78" t="s">
        <v>1970</v>
      </c>
      <c r="Z172" s="63" t="s">
        <v>1971</v>
      </c>
      <c r="AA172" s="79" t="s">
        <v>64</v>
      </c>
      <c r="AB172" s="65"/>
      <c r="AC172" s="66"/>
      <c r="AD172" s="67"/>
      <c r="AE172" s="65"/>
      <c r="AF172" s="65"/>
      <c r="AG172" s="66"/>
      <c r="AH172" s="67"/>
      <c r="AI172" s="65"/>
      <c r="AJ172" s="65"/>
      <c r="AK172" s="66"/>
      <c r="AL172" s="67"/>
      <c r="AM172" s="52"/>
      <c r="AN172" s="80" t="s">
        <v>39</v>
      </c>
      <c r="AO172" s="68" t="str">
        <f t="shared" si="6"/>
        <v>Obecny podnik Zabokreky, s. r. o. polnohospodarstvo a lesnictvo, dom a zahrada, stavebnictvo, cestovny ruch, odpady a recyklacia, &amp;#32vsetky kategorie  038 40 Zabokreky Obecny podnik Zabokreky, s.r.o. poskytuje komplexne komunalne sluzby najma obci Zabokreky a jej obcanom. Poskytujeme sluzby charakteru stavebnych cinnosti, krajinnych uprav, nakladania s inym ako nebezpecnym odpadom, udrzby a spravy verejnych budov, spravy informacnych rezervacnych systemov, letnej a zimnej udrzby verejnych priestranstiev. Obecny podnik Zabokreky, s.r.o. prispieva k dosahovaniu robustnejsieho pozitivneho socialneho vplyvu v oblasti inkluzie znevyhodnenych a zranitelnych osob na pracovny trh; tieto osoby zapaja do cinnosti poskytovania komplexnych komunalnych sluzieb. Tym prispieva najma k vytvaraniu socialnej stability na uzemi obce i v sirsom okoli, najma prikladom dobrej praxe. Obecny podnik Zabokreky, s.r.o. Obecny podnik Zabokreky, s.r.o. ponuka sluzby v cinnostiach stavebnych, krajinnych uprav, nakladania s inym ako nebezpecnym odpadom, udrzby a spravy verejnych budov, spravy informacnych rezervacnych systemov na prenajom obecnych nehnutelnosti, sportovych potrieb a verejnych priestranstiev, ktore ma registrovany socialny podnik v sprave na zaklade zmluvneho vztahu s obcou Zabokreky ako jednym zo svojich zakladatelov.
 Obecny podnik Zabokreky, komunalne sluzby, zemne prace, pozicovna sportovych potrieb, nakladanie s inym ako nebezpecnym odpadom, krajinne upravy, zahradnicke sluzby           Register partnerov VS</v>
      </c>
      <c r="AP172" s="82"/>
    </row>
    <row r="173" ht="15.75" customHeight="1">
      <c r="A173" s="45"/>
      <c r="B173" s="70">
        <v>171.0</v>
      </c>
      <c r="C173" s="116" t="s">
        <v>1972</v>
      </c>
      <c r="D173" s="71" t="s">
        <v>228</v>
      </c>
      <c r="E173" s="43" t="str">
        <f t="shared" si="1"/>
        <v>Nitriansky kraj, &amp;#32celé Slovensko</v>
      </c>
      <c r="F173" s="44" t="s">
        <v>1973</v>
      </c>
      <c r="G173" s="43" t="str">
        <f t="shared" si="2"/>
        <v>ochrana a bezpečnosť, reklama, obaly, nábytok a bytové doplnky, bižutéria a darčekové predmety, &amp;#32všetky kategórie</v>
      </c>
      <c r="H173" s="44" t="s">
        <v>53</v>
      </c>
      <c r="I173" s="45" t="str">
        <f t="shared" si="3"/>
        <v>1 - 5, &amp;#32všetky možnosti</v>
      </c>
      <c r="J173" s="46" t="str">
        <f t="shared" si="4"/>
        <v>,Register partnerov VS</v>
      </c>
      <c r="K173" s="47">
        <f t="shared" si="5"/>
        <v>11961.78662</v>
      </c>
      <c r="L173" s="45"/>
      <c r="M173" s="48" t="str">
        <f>IFERROR(__xludf.DUMMYFUNCTION("SPLIT(O173,"","")"),"Kalvária 3")</f>
        <v>Kalvária 3</v>
      </c>
      <c r="N173" s="48" t="str">
        <f>IFERROR(__xludf.DUMMYFUNCTION("""COMPUTED_VALUE""")," 949 01 Nitra")</f>
        <v> 949 01 Nitra</v>
      </c>
      <c r="O173" s="49" t="s">
        <v>1974</v>
      </c>
      <c r="P173" s="50">
        <v>48.2984593</v>
      </c>
      <c r="Q173" s="109">
        <v>18.0913451</v>
      </c>
      <c r="R173" s="103" t="s">
        <v>1975</v>
      </c>
      <c r="S173" s="36" t="s">
        <v>1976</v>
      </c>
      <c r="T173" s="110" t="s">
        <v>1977</v>
      </c>
      <c r="U173" s="75" t="s">
        <v>1978</v>
      </c>
      <c r="V173" s="55" t="s">
        <v>1979</v>
      </c>
      <c r="W173" s="76" t="s">
        <v>1980</v>
      </c>
      <c r="X173" s="77" t="s">
        <v>1972</v>
      </c>
      <c r="Y173" s="78" t="s">
        <v>1981</v>
      </c>
      <c r="Z173" s="63" t="s">
        <v>1982</v>
      </c>
      <c r="AA173" s="79" t="s">
        <v>64</v>
      </c>
      <c r="AB173" s="65"/>
      <c r="AC173" s="66"/>
      <c r="AD173" s="67"/>
      <c r="AE173" s="65"/>
      <c r="AF173" s="65"/>
      <c r="AG173" s="66"/>
      <c r="AH173" s="67"/>
      <c r="AI173" s="65"/>
      <c r="AJ173" s="65"/>
      <c r="AK173" s="66"/>
      <c r="AL173" s="67"/>
      <c r="AM173" s="52"/>
      <c r="AN173" s="80" t="s">
        <v>39</v>
      </c>
      <c r="AO173" s="68" t="str">
        <f t="shared" si="6"/>
        <v>Breco s. r. o. ochrana a bezpecnost, reklama, obaly, nabytok a bytove doplnky, bizuteria a darcekove predmety, &amp;#32vsetky kategorie  949 01 Nitra Spolocnost sa zameriava na vyrobu, nakup a predaj predovsetkym vlastnych vyrobkov, a to: osobne ochranne prostriedky, vstupne cistiace rohoze, certifikovane sorpcne rohoze pre zamedzenie uniku pohonnych hmot a olejov, reklamne tasky, modelovacie hmoty a reklamne predmety. Aktualne mame v ponuke rozne dekoracne a uzitkove predmety z preglejky, vzdy podla aktualnej sezony.
Nasi zakaznici su obchodne spolocnosti, samospravy, skoly, cirkevne organizacie, obchodne retazce a samozrejme v nemalej miere konecny spotrebitel. Spolocnost prispieva k dosahovaniu pozitivneho socialneho vplyvu poskytovanim spolocensky prospesnej sluzby v oblasti zamestnanosti, a to zamestnavanim znevyhodnenych a/alebo zranitelnych osob.Tieto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Breco s. r. o. Spolocnost sa zameriava na vyrobu, nakup a predaj predovsetkym vlastnych vyrobkov, a to: osobne ochranne prostriedky (ruska, ochranne stity), vstupne cistiace rohoze, certifikovane sorpcne rohoze pre zamedzenie uniku pohonnych hmot a olejov, reklamne tasky, modelovacie hmoty a reklamne predmety. Aktualne mame v ponuke dekoracne predmety z preglejky (vianocne ozdoby), vzdy podla danej sezony. ruska, ochranne stity, rohoze, sorpcne rohoze, vstupne rohoze, printove rohoze, bavlnene tasky, tasky, modelarsky material, modulit, vianocne ozdoby, dekoracie, rezanie laserom, ultrazvukove zvaranie, potlac, reklamne predmety, darcekove predmety, vyrobky z dreva           Register partnerov VS</v>
      </c>
      <c r="AP173" s="82"/>
    </row>
    <row r="174" ht="15.75" customHeight="1">
      <c r="A174" s="45"/>
      <c r="B174" s="70">
        <v>172.0</v>
      </c>
      <c r="C174" s="116" t="s">
        <v>1983</v>
      </c>
      <c r="D174" s="71" t="s">
        <v>181</v>
      </c>
      <c r="E174" s="43" t="str">
        <f t="shared" si="1"/>
        <v>Banskobystrický kraj, &amp;#32celé Slovensko</v>
      </c>
      <c r="F174" s="44" t="s">
        <v>1984</v>
      </c>
      <c r="G174" s="43" t="str">
        <f t="shared" si="2"/>
        <v>nábytok a bytové doplnky, iné (tovary a služby), &amp;#32všetky kategórie</v>
      </c>
      <c r="H174" s="44" t="s">
        <v>170</v>
      </c>
      <c r="I174" s="45" t="str">
        <f t="shared" si="3"/>
        <v>21 a viac, &amp;#32všetky možnosti</v>
      </c>
      <c r="J174" s="46" t="str">
        <f t="shared" si="4"/>
        <v>,Register partnerov VS</v>
      </c>
      <c r="K174" s="47">
        <f t="shared" si="5"/>
        <v>39046.02631</v>
      </c>
      <c r="L174" s="45"/>
      <c r="M174" s="48" t="str">
        <f>IFERROR(__xludf.DUMMYFUNCTION("SPLIT(O174,"","")"),"Majerská cesta 73")</f>
        <v>Majerská cesta 73</v>
      </c>
      <c r="N174" s="48" t="str">
        <f>IFERROR(__xludf.DUMMYFUNCTION("""COMPUTED_VALUE""")," 974 01 Banská Bystrica")</f>
        <v> 974 01 Banská Bystrica</v>
      </c>
      <c r="O174" s="49" t="s">
        <v>1985</v>
      </c>
      <c r="P174" s="50">
        <v>48.7337581</v>
      </c>
      <c r="Q174" s="109">
        <v>19.1797588</v>
      </c>
      <c r="R174" s="66" t="s">
        <v>1986</v>
      </c>
      <c r="S174" s="36" t="s">
        <v>476</v>
      </c>
      <c r="T174" s="110" t="s">
        <v>86</v>
      </c>
      <c r="U174" s="75" t="s">
        <v>1987</v>
      </c>
      <c r="V174" s="55" t="s">
        <v>1988</v>
      </c>
      <c r="W174" s="76" t="s">
        <v>1989</v>
      </c>
      <c r="X174" s="77" t="s">
        <v>1983</v>
      </c>
      <c r="Y174" s="78" t="s">
        <v>1990</v>
      </c>
      <c r="Z174" s="63" t="s">
        <v>1991</v>
      </c>
      <c r="AA174" s="79" t="s">
        <v>64</v>
      </c>
      <c r="AB174" s="65"/>
      <c r="AC174" s="66"/>
      <c r="AD174" s="67"/>
      <c r="AE174" s="65"/>
      <c r="AF174" s="65"/>
      <c r="AG174" s="66"/>
      <c r="AH174" s="67"/>
      <c r="AI174" s="65"/>
      <c r="AJ174" s="65"/>
      <c r="AK174" s="66"/>
      <c r="AL174" s="67"/>
      <c r="AM174" s="52"/>
      <c r="AN174" s="80" t="s">
        <v>39</v>
      </c>
      <c r="AO174" s="68" t="str">
        <f t="shared" si="6"/>
        <v>KNK PLUS, vyrobne druzstvo nabytok a bytove doplnky, ine (tovary a sluzby), &amp;#32vsetky kategorie  974 01 Banska Bystrica Medzi sortiment vyrobkov, ktore KNK PLUS, vyrobne druzstvo, r. s. p. ponuka, patria: nabytkove uchytky, knopky, zavesy, panty, vesiaky, kolieska, klzaky, zamky, klucky, nohy na nabytok, kovania na posuvne dvere a skladacie dvere, spojovacie kovania, konstrukcne prvky, technicke odliatky a mnohe dalsie. Zamestnavame zdravotne znevyhodnene osoby. KNK PLUS, vyrobne druzstvo Medzi sortiment vyrobkov, ktore KNK PLUS, vyrobne druzstvo, r. s. p. ponuka patria: nabytkove uchytky, knopky, zavesy, panty, vesiaky, kolieska, klzaky, zamky, klucky, nohy na nabytok, kovania na posuvne dvere a skladacie dvere, spojovacie kovania, konstrukcne prvky, a mnohe dalsie. Ponukame rozne baliace prace a ako registrovany socialny podnik poskytujeme nahradne plnenie. nabytkove uchytky, knopky, zavesy, panty, vesiaky, kolieska, klzaky, zamky, klucky, nohy na nabytok, kovania na posuvne dvere a skladacie dvere, spojovacie kovania, konstrukcne prvky, balenie, baliace prace           Register partnerov VS</v>
      </c>
      <c r="AP174" s="69" t="s">
        <v>41</v>
      </c>
    </row>
    <row r="175" ht="15.75" customHeight="1">
      <c r="A175" s="45"/>
      <c r="B175" s="70">
        <v>173.0</v>
      </c>
      <c r="C175" s="116" t="s">
        <v>1992</v>
      </c>
      <c r="D175" s="71" t="s">
        <v>51</v>
      </c>
      <c r="E175" s="43" t="str">
        <f t="shared" si="1"/>
        <v>Prešovský kraj, &amp;#32celé Slovensko</v>
      </c>
      <c r="F175" s="44" t="s">
        <v>1993</v>
      </c>
      <c r="G175" s="43" t="str">
        <f t="shared" si="2"/>
        <v>odevy a obuv, nábytok a bytové doplnky, &amp;#32všetky kategórie</v>
      </c>
      <c r="H175" s="44" t="s">
        <v>68</v>
      </c>
      <c r="I175" s="45" t="str">
        <f t="shared" si="3"/>
        <v>16 - 20, &amp;#32všetky možnosti</v>
      </c>
      <c r="J175" s="46" t="str">
        <f t="shared" si="4"/>
        <v>,Register partnerov VS</v>
      </c>
      <c r="K175" s="47">
        <f t="shared" si="5"/>
        <v>22283.17913</v>
      </c>
      <c r="L175" s="45"/>
      <c r="M175" s="48" t="str">
        <f>IFERROR(__xludf.DUMMYFUNCTION("SPLIT(O175,"","")"),"Rovné 145")</f>
        <v>Rovné 145</v>
      </c>
      <c r="N175" s="48" t="str">
        <f>IFERROR(__xludf.DUMMYFUNCTION("""COMPUTED_VALUE""")," 067 32 Vyšný Hrušov")</f>
        <v> 067 32 Vyšný Hrušov</v>
      </c>
      <c r="O175" s="49" t="s">
        <v>1994</v>
      </c>
      <c r="P175" s="50">
        <v>48.9783206</v>
      </c>
      <c r="Q175" s="109">
        <v>22.0107054</v>
      </c>
      <c r="R175" s="66" t="s">
        <v>1995</v>
      </c>
      <c r="S175" s="36" t="s">
        <v>1996</v>
      </c>
      <c r="T175" s="110" t="s">
        <v>86</v>
      </c>
      <c r="U175" s="75" t="s">
        <v>1997</v>
      </c>
      <c r="V175" s="84" t="s">
        <v>1998</v>
      </c>
      <c r="W175" s="76" t="s">
        <v>1999</v>
      </c>
      <c r="X175" s="77" t="s">
        <v>1992</v>
      </c>
      <c r="Y175" s="78" t="s">
        <v>2000</v>
      </c>
      <c r="Z175" s="63" t="s">
        <v>2001</v>
      </c>
      <c r="AA175" s="79" t="s">
        <v>64</v>
      </c>
      <c r="AB175" s="65"/>
      <c r="AC175" s="66"/>
      <c r="AD175" s="67"/>
      <c r="AE175" s="65"/>
      <c r="AF175" s="65"/>
      <c r="AG175" s="66"/>
      <c r="AH175" s="67"/>
      <c r="AI175" s="65"/>
      <c r="AJ175" s="65"/>
      <c r="AK175" s="66"/>
      <c r="AL175" s="67"/>
      <c r="AM175" s="52"/>
      <c r="AN175" s="80" t="s">
        <v>39</v>
      </c>
      <c r="AO175" s="68" t="str">
        <f t="shared" si="6"/>
        <v>Jana Bezegova ROBEN r.s.p. odevy a obuv, nabytok a bytove doplnky, &amp;#32vsetky kategorie  067 32 Vysny Hrusov Odevna a textilna vyroba, sitie akychkolvek vyrobkov pre sukromnu sferu. Zamestnavame zdravotne tazko postihnutych a invalidnych zamestnancov; na dosiahnutie meratelneho pozitivneho socialneho vplyvu pouzijeme 51% zisku. Jana Bezegova ROBEN r.s.p. Sitie vyrobkov bytoveho textilu, odevneho textilu. ruska,pracovne odevy, detsky,damsky,pansky textil, vankuse, obrusy, zaclony, zavesy, prehozy           Register partnerov VS</v>
      </c>
      <c r="AP175" s="69" t="s">
        <v>41</v>
      </c>
    </row>
    <row r="176" ht="15.75" customHeight="1">
      <c r="A176" s="45"/>
      <c r="B176" s="70">
        <v>174.0</v>
      </c>
      <c r="C176" s="116" t="s">
        <v>2002</v>
      </c>
      <c r="D176" s="71" t="s">
        <v>134</v>
      </c>
      <c r="E176" s="43" t="str">
        <f t="shared" si="1"/>
        <v>Trenčiansky kraj, &amp;#32celé Slovensko</v>
      </c>
      <c r="F176" s="44" t="s">
        <v>2003</v>
      </c>
      <c r="G176" s="43" t="str">
        <f t="shared" si="2"/>
        <v>dom a záhrada, stavebníctvo, doprava, odpady a recyklácia, &amp;#32všetky kategórie</v>
      </c>
      <c r="H176" s="44" t="s">
        <v>170</v>
      </c>
      <c r="I176" s="45" t="str">
        <f t="shared" si="3"/>
        <v>21 a viac, &amp;#32všetky možnosti</v>
      </c>
      <c r="J176" s="46" t="str">
        <f t="shared" si="4"/>
        <v>,Register partnerov VS</v>
      </c>
      <c r="K176" s="47">
        <f t="shared" si="5"/>
        <v>26578.91912</v>
      </c>
      <c r="L176" s="45"/>
      <c r="M176" s="48" t="str">
        <f>IFERROR(__xludf.DUMMYFUNCTION("SPLIT(O176,"","")"),"Potočná 20")</f>
        <v>Potočná 20</v>
      </c>
      <c r="N176" s="48" t="str">
        <f>IFERROR(__xludf.DUMMYFUNCTION("""COMPUTED_VALUE""")," 972 51 Handlová")</f>
        <v> 972 51 Handlová</v>
      </c>
      <c r="O176" s="49" t="s">
        <v>2004</v>
      </c>
      <c r="P176" s="50">
        <v>48.725654</v>
      </c>
      <c r="Q176" s="109">
        <v>18.7567628</v>
      </c>
      <c r="R176" s="103" t="s">
        <v>2005</v>
      </c>
      <c r="S176" s="36" t="s">
        <v>1900</v>
      </c>
      <c r="T176" s="110" t="s">
        <v>86</v>
      </c>
      <c r="U176" s="75" t="s">
        <v>2006</v>
      </c>
      <c r="V176" s="55" t="s">
        <v>2007</v>
      </c>
      <c r="W176" s="76" t="s">
        <v>2008</v>
      </c>
      <c r="X176" s="77" t="s">
        <v>2009</v>
      </c>
      <c r="Y176" s="78" t="s">
        <v>2010</v>
      </c>
      <c r="Z176" s="63" t="s">
        <v>2011</v>
      </c>
      <c r="AA176" s="79" t="s">
        <v>64</v>
      </c>
      <c r="AB176" s="65"/>
      <c r="AC176" s="66"/>
      <c r="AD176" s="67"/>
      <c r="AE176" s="65"/>
      <c r="AF176" s="65"/>
      <c r="AG176" s="66"/>
      <c r="AH176" s="67"/>
      <c r="AI176" s="65"/>
      <c r="AJ176" s="65"/>
      <c r="AK176" s="66"/>
      <c r="AL176" s="67"/>
      <c r="AM176" s="52"/>
      <c r="AN176" s="80" t="s">
        <v>39</v>
      </c>
      <c r="AO176" s="68" t="str">
        <f t="shared" si="6"/>
        <v>HATER - HANDLOVA spol. s r.o. dom a zahrada, stavebnictvo, doprava, odpady a recyklacia, &amp;#32vsetky kategorie  972 51 Handlova Hlavne cinnosti: uskladnenie odpadu, udrzba komunikacii, dopravne vykony, separacia odpadov, udrzba zelene, navrhy a realizacia zahrad, zvoz a spracovanie bio odpadu (BIO) a biologicky rozlozitelneho kuchynskeho odpadu (BRKO). Podporujeme regionalny rozvoj a zamestnanost. Skladka odpadov Handlova Uskladnenie odpadov. odpad, doprava, kosenie, BRKO, stavebne prace, zemne prace, zahradne prace, udrzba zelene, zahrada, spracovanie odpadu           Register partnerov VS</v>
      </c>
      <c r="AP176" s="82"/>
    </row>
    <row r="177" ht="15.75" customHeight="1">
      <c r="A177" s="45"/>
      <c r="B177" s="70">
        <v>175.0</v>
      </c>
      <c r="C177" s="116" t="s">
        <v>2012</v>
      </c>
      <c r="D177" s="71" t="s">
        <v>66</v>
      </c>
      <c r="E177" s="43" t="str">
        <f t="shared" si="1"/>
        <v>Žilinský kraj, &amp;#32celé Slovensko</v>
      </c>
      <c r="F177" s="44" t="s">
        <v>2013</v>
      </c>
      <c r="G177" s="43" t="str">
        <f t="shared" si="2"/>
        <v>ubytovacie a stravovacie služby, &amp;#32všetky kategórie</v>
      </c>
      <c r="H177" s="44" t="s">
        <v>53</v>
      </c>
      <c r="I177" s="45" t="str">
        <f t="shared" si="3"/>
        <v>1 - 5, &amp;#32všetky možnosti</v>
      </c>
      <c r="J177" s="46" t="str">
        <f t="shared" si="4"/>
        <v>,</v>
      </c>
      <c r="K177" s="47">
        <f t="shared" si="5"/>
        <v>3980.671017</v>
      </c>
      <c r="L177" s="45"/>
      <c r="M177" s="48" t="str">
        <f>IFERROR(__xludf.DUMMYFUNCTION("SPLIT(O177,"","")"),"Blatnica 377")</f>
        <v>Blatnica 377</v>
      </c>
      <c r="N177" s="48" t="str">
        <f>IFERROR(__xludf.DUMMYFUNCTION("""COMPUTED_VALUE""")," 038 15 Blatnica")</f>
        <v> 038 15 Blatnica</v>
      </c>
      <c r="O177" s="49" t="s">
        <v>2014</v>
      </c>
      <c r="P177" s="50">
        <v>48.9395026</v>
      </c>
      <c r="Q177" s="109">
        <v>18.9246675</v>
      </c>
      <c r="R177" s="66" t="s">
        <v>2015</v>
      </c>
      <c r="S177" s="36" t="s">
        <v>2016</v>
      </c>
      <c r="T177" s="110" t="s">
        <v>2017</v>
      </c>
      <c r="U177" s="75" t="s">
        <v>2018</v>
      </c>
      <c r="V177" s="55" t="s">
        <v>2019</v>
      </c>
      <c r="W177" s="76" t="s">
        <v>2020</v>
      </c>
      <c r="X177" s="77" t="s">
        <v>2021</v>
      </c>
      <c r="Y177" s="78" t="s">
        <v>2022</v>
      </c>
      <c r="Z177" s="63" t="s">
        <v>2023</v>
      </c>
      <c r="AA177" s="79" t="s">
        <v>64</v>
      </c>
      <c r="AB177" s="65"/>
      <c r="AC177" s="66"/>
      <c r="AD177" s="67"/>
      <c r="AE177" s="65"/>
      <c r="AF177" s="65"/>
      <c r="AG177" s="66"/>
      <c r="AH177" s="67"/>
      <c r="AI177" s="65"/>
      <c r="AJ177" s="65"/>
      <c r="AK177" s="66"/>
      <c r="AL177" s="67"/>
      <c r="AM177" s="36"/>
      <c r="AN177" s="65"/>
      <c r="AO177" s="68" t="str">
        <f t="shared" si="6"/>
        <v>GADER, s.r.o. ubytovacie a stravovacie sluzby, &amp;#32vsetky kategorie  038 15 Blatnica Ponukame ubytovacie a restauracne sluzby, rozne spolocenske oslavy, firemne akcie ako skolenia ci team-buildingy. Nasimi zakaznikmi su predovsetkym navstevnici Narodneho parku Velka Fatra, ale aj rozne skupiny, rodiny s detmi, firmy. Realizujeme sluzby na podporu zamestnanosti - percentom zamestnanych znevyhodnenych a/alebo zranitelnych osob z celkoveho poctu zamestnancov. Chatova osada Gader Ubytovacie sluzby, prevadzka restauracie, bufetu a zmrzlinoveho stanku. restauracia, ubytovanie, firemne akcie, eventy, teambuilding           </v>
      </c>
      <c r="AP177" s="82"/>
    </row>
    <row r="178" ht="15.75" customHeight="1">
      <c r="A178" s="45"/>
      <c r="B178" s="70">
        <v>176.0</v>
      </c>
      <c r="C178" s="116" t="s">
        <v>2024</v>
      </c>
      <c r="D178" s="71" t="s">
        <v>217</v>
      </c>
      <c r="E178" s="43" t="str">
        <f t="shared" si="1"/>
        <v>Košický kraj, &amp;#32celé Slovensko</v>
      </c>
      <c r="F178" s="44" t="s">
        <v>672</v>
      </c>
      <c r="G178" s="43" t="str">
        <f t="shared" si="2"/>
        <v>čistiace a upratovacie služby, dom a záhrada, &amp;#32všetky kategórie</v>
      </c>
      <c r="H178" s="44" t="s">
        <v>96</v>
      </c>
      <c r="I178" s="45" t="str">
        <f t="shared" si="3"/>
        <v>6 - 10, &amp;#32všetky možnosti</v>
      </c>
      <c r="J178" s="46" t="str">
        <f t="shared" si="4"/>
        <v>,Register partnerov VS</v>
      </c>
      <c r="K178" s="47">
        <f t="shared" si="5"/>
        <v>31502.97505</v>
      </c>
      <c r="L178" s="45"/>
      <c r="M178" s="48" t="str">
        <f>IFERROR(__xludf.DUMMYFUNCTION("SPLIT(O178,"","")"),"Jamník 101")</f>
        <v>Jamník 101</v>
      </c>
      <c r="N178" s="48" t="str">
        <f>IFERROR(__xludf.DUMMYFUNCTION("""COMPUTED_VALUE""")," 053 22 Jamník")</f>
        <v> 053 22 Jamník</v>
      </c>
      <c r="O178" s="49" t="s">
        <v>2025</v>
      </c>
      <c r="P178" s="50">
        <v>48.9425727</v>
      </c>
      <c r="Q178" s="109">
        <v>20.6631226</v>
      </c>
      <c r="R178" s="103" t="s">
        <v>2026</v>
      </c>
      <c r="S178" s="36" t="s">
        <v>2027</v>
      </c>
      <c r="T178" s="110" t="s">
        <v>86</v>
      </c>
      <c r="U178" s="75" t="s">
        <v>2028</v>
      </c>
      <c r="V178" s="55" t="s">
        <v>2029</v>
      </c>
      <c r="W178" s="76" t="s">
        <v>2030</v>
      </c>
      <c r="X178" s="77" t="s">
        <v>2031</v>
      </c>
      <c r="Y178" s="78" t="s">
        <v>2032</v>
      </c>
      <c r="Z178" s="63" t="s">
        <v>2033</v>
      </c>
      <c r="AA178" s="79" t="s">
        <v>64</v>
      </c>
      <c r="AB178" s="65"/>
      <c r="AC178" s="66"/>
      <c r="AD178" s="67"/>
      <c r="AE178" s="65"/>
      <c r="AF178" s="65"/>
      <c r="AG178" s="66"/>
      <c r="AH178" s="67"/>
      <c r="AI178" s="65"/>
      <c r="AJ178" s="65"/>
      <c r="AK178" s="66"/>
      <c r="AL178" s="67"/>
      <c r="AM178" s="52"/>
      <c r="AN178" s="80" t="s">
        <v>39</v>
      </c>
      <c r="AO178" s="68" t="str">
        <f t="shared" si="6"/>
        <v>OSP JAMNIK s. r. o. cistiace a upratovacie sluzby, dom a zahrada, &amp;#32vsetky kategorie  053 22 Jamnik Zveladovanie verejnych priestranstiev a rekonstrukcia obecnych budov. Zakaznici si mozu objednat prenajom hnutelnych veci ako je napriklad mini bager, nakladne auto do 3,5 t, traktor s privesom na vyvoz. Dosahovanie pozitivneho socialneho vplyvu sa meria predovsetkym percentom zamestnanych znevyhodnenych a zranitelnych osob. Dalsou formou dosahovania pozitivneho socialneho vplyvu je, ze OSP Jamnik umoznuje znizovanie nezamestnanosti v regione Spis a v obci Jamnik, ako aj efektivne vyuzitie verejnych zdrojov v prospech obcanov obce. OSP JAMNIK s.r.o. Zakaznici si mozu objednat prenajom hnutelnych veci ako je napriklad mini bager, nakladne auto do 3,5 t, traktor s privesom na vyvoz. kosenie, bagrovanie, prevoz materialu, prenajom stavebnych strojov, nakladne auto           Register partnerov VS</v>
      </c>
      <c r="AP178" s="82"/>
    </row>
    <row r="179" ht="15.75" customHeight="1">
      <c r="A179" s="45"/>
      <c r="B179" s="70">
        <v>177.0</v>
      </c>
      <c r="C179" s="116" t="s">
        <v>2034</v>
      </c>
      <c r="D179" s="71" t="s">
        <v>217</v>
      </c>
      <c r="E179" s="43" t="str">
        <f t="shared" si="1"/>
        <v>Košický kraj, &amp;#32celé Slovensko</v>
      </c>
      <c r="F179" s="44" t="s">
        <v>2035</v>
      </c>
      <c r="G179" s="43" t="str">
        <f t="shared" si="2"/>
        <v>dom a záhrada, stavebníctvo, doprava, &amp;#32všetky kategórie</v>
      </c>
      <c r="H179" s="44" t="s">
        <v>96</v>
      </c>
      <c r="I179" s="45" t="str">
        <f t="shared" si="3"/>
        <v>6 - 10, &amp;#32všetky možnosti</v>
      </c>
      <c r="J179" s="46" t="str">
        <f t="shared" si="4"/>
        <v>,Register partnerov VS</v>
      </c>
      <c r="K179" s="47">
        <f t="shared" si="5"/>
        <v>43374.22031</v>
      </c>
      <c r="L179" s="45"/>
      <c r="M179" s="48" t="str">
        <f>IFERROR(__xludf.DUMMYFUNCTION("SPLIT(O179,"","")"),"Námestie M. Pajdušáka 1341/50")</f>
        <v>Námestie M. Pajdušáka 1341/50</v>
      </c>
      <c r="N179" s="48" t="str">
        <f>IFERROR(__xludf.DUMMYFUNCTION("""COMPUTED_VALUE""")," 053 11 Smižany")</f>
        <v> 053 11 Smižany</v>
      </c>
      <c r="O179" s="49" t="s">
        <v>2036</v>
      </c>
      <c r="P179" s="50">
        <v>48.9584368</v>
      </c>
      <c r="Q179" s="109">
        <v>20.517586</v>
      </c>
      <c r="R179" s="66" t="s">
        <v>2037</v>
      </c>
      <c r="S179" s="36" t="s">
        <v>2038</v>
      </c>
      <c r="T179" s="110" t="s">
        <v>86</v>
      </c>
      <c r="U179" s="75" t="s">
        <v>2039</v>
      </c>
      <c r="V179" s="55" t="s">
        <v>2040</v>
      </c>
      <c r="W179" s="76" t="s">
        <v>2041</v>
      </c>
      <c r="X179" s="77" t="s">
        <v>2034</v>
      </c>
      <c r="Y179" s="78" t="s">
        <v>2042</v>
      </c>
      <c r="Z179" s="63" t="s">
        <v>2043</v>
      </c>
      <c r="AA179" s="79" t="s">
        <v>64</v>
      </c>
      <c r="AB179" s="65"/>
      <c r="AC179" s="66"/>
      <c r="AD179" s="67"/>
      <c r="AE179" s="65"/>
      <c r="AF179" s="65"/>
      <c r="AG179" s="66"/>
      <c r="AH179" s="67"/>
      <c r="AI179" s="65"/>
      <c r="AJ179" s="65"/>
      <c r="AK179" s="66"/>
      <c r="AL179" s="67"/>
      <c r="AM179" s="52"/>
      <c r="AN179" s="80" t="s">
        <v>39</v>
      </c>
      <c r="AO179" s="68" t="str">
        <f t="shared" si="6"/>
        <v>Smizianske sluzby s.r.o dom a zahrada, stavebnictvo, doprava, &amp;#32vsetky kategorie  053 11 Smizany Drobne stavby, chodniky, ploty, terenne upravy, pozicovna vozika 2T, preprava vozidlom do 3,5 t, udrzba zelene, kanalizacne a vodovodne pripojky, Zamestnavame znevyhodnenych ludi, ZTP. Smizianske sluzby s.r.o Vystavba drobnych stavieb, preprava materialov autom do 3,5 t, prenajom vozika 2T, terenne upravy, udrzba zelene. chodnik, plot, kosenie, pripojka, bager, minibager, vykop, voda,            Register partnerov VS</v>
      </c>
      <c r="AP179" s="82"/>
    </row>
    <row r="180" ht="15.75" customHeight="1">
      <c r="A180" s="45"/>
      <c r="B180" s="70">
        <v>178.0</v>
      </c>
      <c r="C180" s="116" t="s">
        <v>2044</v>
      </c>
      <c r="D180" s="71" t="s">
        <v>217</v>
      </c>
      <c r="E180" s="43" t="str">
        <f t="shared" si="1"/>
        <v>Košický kraj, &amp;#32celé Slovensko</v>
      </c>
      <c r="F180" s="44" t="s">
        <v>2045</v>
      </c>
      <c r="G180" s="43" t="str">
        <f t="shared" si="2"/>
        <v>odevy a obuv, nábytok a bytové doplnky, galantéria, &amp;#32všetky kategórie</v>
      </c>
      <c r="H180" s="44" t="s">
        <v>96</v>
      </c>
      <c r="I180" s="45" t="str">
        <f t="shared" si="3"/>
        <v>6 - 10, &amp;#32všetky možnosti</v>
      </c>
      <c r="J180" s="46" t="str">
        <f t="shared" si="4"/>
        <v>,</v>
      </c>
      <c r="K180" s="47">
        <f t="shared" si="5"/>
        <v>8871.660342</v>
      </c>
      <c r="L180" s="45"/>
      <c r="M180" s="48" t="str">
        <f>IFERROR(__xludf.DUMMYFUNCTION("SPLIT(O180,"","")"),"Malé Zalužice 179")</f>
        <v>Malé Zalužice 179</v>
      </c>
      <c r="N180" s="48" t="str">
        <f>IFERROR(__xludf.DUMMYFUNCTION("""COMPUTED_VALUE""")," 072 34 Zalužice")</f>
        <v> 072 34 Zalužice</v>
      </c>
      <c r="O180" s="49" t="s">
        <v>2046</v>
      </c>
      <c r="P180" s="50">
        <v>48.75904</v>
      </c>
      <c r="Q180" s="109">
        <v>21.9935199</v>
      </c>
      <c r="R180" s="103" t="s">
        <v>2047</v>
      </c>
      <c r="S180" s="86" t="s">
        <v>2048</v>
      </c>
      <c r="T180" s="87" t="s">
        <v>86</v>
      </c>
      <c r="U180" s="75" t="s">
        <v>2049</v>
      </c>
      <c r="V180" s="55" t="s">
        <v>2050</v>
      </c>
      <c r="W180" s="76" t="s">
        <v>2051</v>
      </c>
      <c r="X180" s="88" t="s">
        <v>2044</v>
      </c>
      <c r="Y180" s="89" t="s">
        <v>2052</v>
      </c>
      <c r="Z180" s="63" t="s">
        <v>2053</v>
      </c>
      <c r="AA180" s="85" t="s">
        <v>129</v>
      </c>
      <c r="AB180" s="65" t="s">
        <v>2044</v>
      </c>
      <c r="AC180" s="66" t="s">
        <v>2054</v>
      </c>
      <c r="AD180" s="67" t="s">
        <v>2055</v>
      </c>
      <c r="AE180" s="65" t="s">
        <v>64</v>
      </c>
      <c r="AF180" s="65"/>
      <c r="AG180" s="66"/>
      <c r="AH180" s="67"/>
      <c r="AI180" s="65"/>
      <c r="AJ180" s="65"/>
      <c r="AK180" s="66"/>
      <c r="AL180" s="67"/>
      <c r="AM180" s="36"/>
      <c r="AN180" s="65"/>
      <c r="AO180" s="68" t="str">
        <f t="shared" si="6"/>
        <v>Viktoria Dance Servis s.r.o. odevy a obuv, nabytok a bytove doplnky, galanteria, &amp;#32vsetky kategorie  072 34 Zaluzice Hlavnou cinnostou je predaj tanecnych topanok, sitie tanecnych kostymov a predaj doplnkov pre vsetky druhy tanca. Dalej sa zaoberame odevnou vyrobou, realizujeme zakazkove sitie a opravy odevov, ako aj rozne specialne zakazky (zatienenie zimnych zahrad, prekrytie podia atd.). Zaoberame sa aj predajom zahradneho nabytku (ratanove sedenie, zavesne vajicka a rozny exterierovy nabytok). Predavame zeleziarsky  sortiment vhodny pre domacich kutilov a vyrobcov nabytku (maloobchod aj velkoobchod). Zamestnavanie znevyhodnenych obcanov. Viktoria Dance Servis s.r.o. Nasa prevadzkaren v Kosiciach sa zaobera predajom obuvi, oblecenia a tanecnych doplnkov. Tanecna obuv, tanecne oblecenie,tanecne doplnky,  krajcirstvo, zahradny nabytok, ratanovy nabytok, zavesne vajicko, zakazkove sitie,  zeleziarstvo Viktoria Dance Servis s.r.o. Prevadzkaren v Zaluziciach sa venuje odevnej vyrobe, zakazkovemu sitiu, predaju zahradneho nabytku a zeleziarskych komponentov. Tanecna obuv, tanecne oblecenie,tanecne doplnky,  krajcirstvo, zahradny nabytok, zakazkove sitie,  zeleziarstvo        </v>
      </c>
      <c r="AP180" s="69" t="s">
        <v>41</v>
      </c>
    </row>
    <row r="181" ht="15.75" customHeight="1">
      <c r="A181" s="45"/>
      <c r="B181" s="70">
        <v>179.0</v>
      </c>
      <c r="C181" s="116" t="s">
        <v>2056</v>
      </c>
      <c r="D181" s="71" t="s">
        <v>51</v>
      </c>
      <c r="E181" s="43" t="str">
        <f t="shared" si="1"/>
        <v>Prešovský kraj, &amp;#32celé Slovensko</v>
      </c>
      <c r="F181" s="44" t="s">
        <v>2057</v>
      </c>
      <c r="G181" s="43" t="str">
        <f t="shared" si="2"/>
        <v>dom a záhrada, ubytovacie a stravovacie služby, účtovníctvo a poradenstvo, &amp;#32všetky kategórie</v>
      </c>
      <c r="H181" s="44" t="s">
        <v>53</v>
      </c>
      <c r="I181" s="45" t="str">
        <f t="shared" si="3"/>
        <v>1 - 5, &amp;#32všetky možnosti</v>
      </c>
      <c r="J181" s="46" t="str">
        <f t="shared" si="4"/>
        <v>,Register partnerov VS</v>
      </c>
      <c r="K181" s="47">
        <f t="shared" si="5"/>
        <v>520.2725416</v>
      </c>
      <c r="L181" s="45"/>
      <c r="M181" s="48" t="str">
        <f>IFERROR(__xludf.DUMMYFUNCTION("SPLIT(O181,"","")"),"Široké 185")</f>
        <v>Široké 185</v>
      </c>
      <c r="N181" s="48" t="str">
        <f>IFERROR(__xludf.DUMMYFUNCTION("""COMPUTED_VALUE""")," 082 37 Široké")</f>
        <v> 082 37 Široké</v>
      </c>
      <c r="O181" s="49" t="s">
        <v>2058</v>
      </c>
      <c r="P181" s="50">
        <v>48.9981382</v>
      </c>
      <c r="Q181" s="109">
        <v>20.9395032</v>
      </c>
      <c r="R181" s="66" t="s">
        <v>2059</v>
      </c>
      <c r="S181" s="86" t="s">
        <v>2060</v>
      </c>
      <c r="T181" s="87" t="s">
        <v>86</v>
      </c>
      <c r="U181" s="75" t="s">
        <v>2061</v>
      </c>
      <c r="V181" s="55" t="s">
        <v>2062</v>
      </c>
      <c r="W181" s="76" t="s">
        <v>2063</v>
      </c>
      <c r="X181" s="77" t="s">
        <v>2064</v>
      </c>
      <c r="Y181" s="78" t="s">
        <v>2065</v>
      </c>
      <c r="Z181" s="63" t="s">
        <v>2066</v>
      </c>
      <c r="AA181" s="79" t="s">
        <v>64</v>
      </c>
      <c r="AB181" s="65"/>
      <c r="AC181" s="66"/>
      <c r="AD181" s="67"/>
      <c r="AE181" s="65"/>
      <c r="AF181" s="65"/>
      <c r="AG181" s="66"/>
      <c r="AH181" s="67"/>
      <c r="AI181" s="65"/>
      <c r="AJ181" s="65"/>
      <c r="AK181" s="66"/>
      <c r="AL181" s="67"/>
      <c r="AM181" s="52"/>
      <c r="AN181" s="80" t="s">
        <v>39</v>
      </c>
      <c r="AO181" s="68" t="str">
        <f t="shared" si="6"/>
        <v>MDMT s. r. o., registrovany socialny podnik dom a zahrada, ubytovacie a stravovacie sluzby, uctovnictvo a poradenstvo, &amp;#32vsetky kategorie  082 37 Siroke Firma MDMT s. r o., registrovany socialny podnik, bola zalozena v roku 2019 s cielom poskytovania sluzieb v oblasti uctovnictva, danoveho poradenstva, donasky jedal pre pravnicke aj fyzicke osoby. Tuto ponuku sme rozsirili o sluzby osobneho charakteru poskytovane najma osobam s rozhodnutim o odkazanosti na socialne sluzby. Viac ako 75% nasich zamestnacov tvoria znevyhodnene osoby so zdravotnym postihnutim. MDMT s. r.o., registrovany socialny podnik Uctovnicke a auditorske cinnosti, vedenie uctovnych knih; danove poradenstvo
donaska jedal
starostlivost o domacnost Uctovnicke a auditorske cinnosti, vedenie uctovnych knih; danove poradenstvo
donaska jedal
starostlivost o domacnost            Register partnerov VS</v>
      </c>
      <c r="AP181" s="82"/>
    </row>
    <row r="182" ht="15.75" customHeight="1">
      <c r="A182" s="45"/>
      <c r="B182" s="70">
        <v>180.0</v>
      </c>
      <c r="C182" s="116" t="s">
        <v>2067</v>
      </c>
      <c r="D182" s="71" t="s">
        <v>51</v>
      </c>
      <c r="E182" s="43" t="str">
        <f t="shared" si="1"/>
        <v>Prešovský kraj, &amp;#32celé Slovensko</v>
      </c>
      <c r="F182" s="44" t="s">
        <v>2068</v>
      </c>
      <c r="G182" s="43" t="str">
        <f t="shared" si="2"/>
        <v>stavebníctvo, dom a záhrada, potraviny a nápoje, &amp;#32všetky kategórie</v>
      </c>
      <c r="H182" s="44" t="s">
        <v>68</v>
      </c>
      <c r="I182" s="45" t="str">
        <f t="shared" si="3"/>
        <v>16 - 20, &amp;#32všetky možnosti</v>
      </c>
      <c r="J182" s="46" t="str">
        <f t="shared" si="4"/>
        <v>,</v>
      </c>
      <c r="K182" s="47">
        <f t="shared" si="5"/>
        <v>35388.13313</v>
      </c>
      <c r="L182" s="45"/>
      <c r="M182" s="48" t="str">
        <f>IFERROR(__xludf.DUMMYFUNCTION("SPLIT(O182,"","")"),"Nižný Hrabovec 153")</f>
        <v>Nižný Hrabovec 153</v>
      </c>
      <c r="N182" s="48" t="str">
        <f>IFERROR(__xludf.DUMMYFUNCTION("""COMPUTED_VALUE""")," 094 21 Nižný Hrabovec")</f>
        <v> 094 21 Nižný Hrabovec</v>
      </c>
      <c r="O182" s="49" t="s">
        <v>2069</v>
      </c>
      <c r="P182" s="50">
        <v>48.8525304</v>
      </c>
      <c r="Q182" s="109">
        <v>21.7525734</v>
      </c>
      <c r="R182" s="103" t="s">
        <v>2070</v>
      </c>
      <c r="S182" s="86" t="s">
        <v>2071</v>
      </c>
      <c r="T182" s="87" t="s">
        <v>86</v>
      </c>
      <c r="U182" s="75" t="s">
        <v>2072</v>
      </c>
      <c r="V182" s="55" t="s">
        <v>2073</v>
      </c>
      <c r="W182" s="76" t="s">
        <v>2074</v>
      </c>
      <c r="X182" s="88" t="s">
        <v>2075</v>
      </c>
      <c r="Y182" s="89" t="s">
        <v>2076</v>
      </c>
      <c r="Z182" s="63" t="s">
        <v>2077</v>
      </c>
      <c r="AA182" s="85" t="s">
        <v>129</v>
      </c>
      <c r="AB182" s="65" t="s">
        <v>2078</v>
      </c>
      <c r="AC182" s="66" t="s">
        <v>2079</v>
      </c>
      <c r="AD182" s="67" t="s">
        <v>2080</v>
      </c>
      <c r="AE182" s="65" t="s">
        <v>64</v>
      </c>
      <c r="AF182" s="65"/>
      <c r="AG182" s="66"/>
      <c r="AH182" s="67"/>
      <c r="AI182" s="65"/>
      <c r="AJ182" s="65"/>
      <c r="AK182" s="66"/>
      <c r="AL182" s="67"/>
      <c r="AM182" s="36"/>
      <c r="AN182" s="65"/>
      <c r="AO182" s="68" t="str">
        <f t="shared" si="6"/>
        <v>Hrabovcan s. r. o., r.s.p. stavebnictvo, dom a zahrada, potraviny a napoje, &amp;#32vsetky kategorie  094 21 Nizny Hrabovec Nas podnik poskytuje sluzby a tovar v 3 oblastiach: 
1. stavebna cinnost - vystavba chodnikov, zemne stavebne prace, vykopove prace, pomocne prace pri stavebnych zakazkach, upratovanie objektov od stavebnych sutin (zakaznikmi su stavebne firmy, samospravy...);
2. zahradnictvo - maloobchodna predajna v obci s ponukou zahradnickeho tovaru - hnojiva, zeminy, naradie, farby a laky, bezny spotrebny material pre zahradkarov;
tvorime rozne ikebany so sezonnou tematikou - dusickove, vianocne, celorocne aranzmany  (zakaznikmi v tejto oblasti su obyvatelia nasej obce, okolitych obci a firmy, ktore si objednaju aranzmany pre svojich zamestnancov);
3. vyroba pirohov a cestovin - gastro prevadzka na vyrobu regionalnych potravin, ako su pirohy, zemiakove lokse, cestoviny; prevadzka ma vlastnu maloobchodnu predajnu a zaroven vyrobky distribuujeme do obchodnych regionalnych sieti (nasimi zakaznikmi su obyvatelia nasej obce, okolitych obci a COOP Jednota Vranov nad Toplou). Nas podnik zamestnava znevyhodnene skupiny obyvatelov v blizsom okoli. Nasou cinnostou zveladujeme prostredie, v ktorom zijeme (stavebne prace - chodniky), obcanom ponukame sluzby, ktore denne potrebuju pre svoje potreby a aj nemobilni obcania sa dostanu k sluzbam pre svoju zahradu. Ponukame potravinovy tovar, ktory ulahci pracu zamestnanym ludom. Najvacsim spolocenskym prinosom ale je, ze poskytujeme pracu 17 zamestnancom, ktori nasli uplatnenie v nasej firme. CP Hrabovcan Vyroba pirohov, cestovin a zemiakovych loksi. pirohy, cestoviny, lokse, zakusky, gastro, zmrzlina Zahradnictvo Hrabovcan Maloobchodna predajna zahradnickych potrieb, tvorba aranzmanov. hnojiva, postreky, substraty, naradie, farby, laky, kvetinace, vence, ikebany, darcekove predmety; stavebne prace, vykopove prace, upratovanie staveniska        </v>
      </c>
      <c r="AP182" s="82"/>
    </row>
    <row r="183" ht="15.75" customHeight="1">
      <c r="A183" s="45"/>
      <c r="B183" s="70">
        <v>181.0</v>
      </c>
      <c r="C183" s="116" t="s">
        <v>2081</v>
      </c>
      <c r="D183" s="71" t="s">
        <v>66</v>
      </c>
      <c r="E183" s="43" t="str">
        <f t="shared" si="1"/>
        <v>Žilinský kraj, &amp;#32celé Slovensko</v>
      </c>
      <c r="F183" s="44" t="s">
        <v>2082</v>
      </c>
      <c r="G183" s="43" t="str">
        <f t="shared" si="2"/>
        <v>čistiace a upratovacie služby, poľnohospodárstvo a lesníctvo, dom a záhrada, stavebníctvo, doprava, ubytovacie a stravovacie služby, kultúra a šport, odpady a recyklácia, &amp;#32všetky kategórie</v>
      </c>
      <c r="H183" s="44" t="s">
        <v>96</v>
      </c>
      <c r="I183" s="45" t="str">
        <f t="shared" si="3"/>
        <v>6 - 10, &amp;#32všetky možnosti</v>
      </c>
      <c r="J183" s="46" t="str">
        <f t="shared" si="4"/>
        <v>,</v>
      </c>
      <c r="K183" s="47">
        <f t="shared" si="5"/>
        <v>19751.82715</v>
      </c>
      <c r="L183" s="45"/>
      <c r="M183" s="48" t="str">
        <f>IFERROR(__xludf.DUMMYFUNCTION("SPLIT(O183,"","")"),"Hviezdoslavova 330/19")</f>
        <v>Hviezdoslavova 330/19</v>
      </c>
      <c r="N183" s="48" t="str">
        <f>IFERROR(__xludf.DUMMYFUNCTION("""COMPUTED_VALUE""")," 027 43 Nižná")</f>
        <v> 027 43 Nižná</v>
      </c>
      <c r="O183" s="49" t="s">
        <v>2083</v>
      </c>
      <c r="P183" s="50">
        <v>49.3098444</v>
      </c>
      <c r="Q183" s="109">
        <v>19.5263539</v>
      </c>
      <c r="R183" s="103" t="s">
        <v>2084</v>
      </c>
      <c r="S183" s="86" t="s">
        <v>2085</v>
      </c>
      <c r="T183" s="87" t="s">
        <v>86</v>
      </c>
      <c r="U183" s="75" t="s">
        <v>2086</v>
      </c>
      <c r="V183" s="55" t="s">
        <v>2087</v>
      </c>
      <c r="W183" s="76" t="s">
        <v>2088</v>
      </c>
      <c r="X183" s="77" t="s">
        <v>2081</v>
      </c>
      <c r="Y183" s="78" t="s">
        <v>2089</v>
      </c>
      <c r="Z183" s="63" t="s">
        <v>2090</v>
      </c>
      <c r="AA183" s="79" t="s">
        <v>64</v>
      </c>
      <c r="AB183" s="65"/>
      <c r="AC183" s="66"/>
      <c r="AD183" s="67"/>
      <c r="AE183" s="65"/>
      <c r="AF183" s="65"/>
      <c r="AG183" s="66"/>
      <c r="AH183" s="67"/>
      <c r="AI183" s="65"/>
      <c r="AJ183" s="65"/>
      <c r="AK183" s="66"/>
      <c r="AL183" s="67"/>
      <c r="AM183" s="36"/>
      <c r="AN183" s="65"/>
      <c r="AO183" s="68" t="str">
        <f t="shared" si="6"/>
        <v>Obecny socialny podnik Nizna s.r.o. cistiace a upratovacie sluzby, polnohospodarstvo a lesnictvo, dom a zahrada, stavebnictvo, doprava, ubytovacie a stravovacie sluzby, kultura a sport, odpady a recyklacia, &amp;#32vsetky kategorie  027 43 Nizna Spolocnost prebera cinnost prispevkovej organizacie obce Nizna. Obec Nizna je tak pre spolocnost klucovym objednavatelom sluzieb. Najvyznamnejsimi sluzbami poskytovanymi obci Nizna je zimna a letna udrzba verejnych priestranstiev, nakladanie s odpadom a realizacia stavieb a stavebnych uprav budov, ciest, chodnikov a pod. Spolocnost tiez organizacne a technicky zabezpecuje kulturne a spolocenske podujatia. V buducnosti sa planuje rozsirovat portfolio poskytovanych sluzieb o vyrobu drobnych tovarov z betonu, dreva, kovu (napr. betonove prefabrikaty).
Spolocnost moze poskytovat drobne sluzby (napr. kosenie travnikov, drobne stavebne upravy) aj fyzickym osobam. 100 % z dosiahnuteho zisku po zdaneni bude pouzitych na splnenie hlavneho ciela - dosahovanie pozitivneho socialneho vplyvu meraneho percentom zamestnanych znevyhodnenych a zranitelnych osob (min. 30 % z celkoveho poctu zamestnancov). Obecny socialny podnik Nizna s.r.o. Aktualne spolocnost ponuka najma zimnu a letnu udrzbu komunikacii a priestranstiev, nakladanie s odpadom a realizaciu stavieb a stavebnych uprav budov, ciest, chodnikov a pod. upratovanie a cistenie, udrzba zelene, nakladanie s odpadom, zber odpadu, stavebna cinnost, spolocenske akcie, podujatia, drobne stavebne prace, kosenie           </v>
      </c>
      <c r="AP183" s="69" t="s">
        <v>41</v>
      </c>
    </row>
    <row r="184" ht="15.75" customHeight="1">
      <c r="A184" s="45"/>
      <c r="B184" s="70">
        <v>182.0</v>
      </c>
      <c r="C184" s="116" t="s">
        <v>2091</v>
      </c>
      <c r="D184" s="71" t="s">
        <v>217</v>
      </c>
      <c r="E184" s="43" t="str">
        <f t="shared" si="1"/>
        <v>Košický kraj, &amp;#32celé Slovensko</v>
      </c>
      <c r="F184" s="72" t="s">
        <v>2092</v>
      </c>
      <c r="G184" s="43" t="str">
        <f t="shared" si="2"/>
        <v>stavebníctvo, poľnohospodárstvo a lesníctvo, dom a záhrada, &amp;#32všetky kategórie</v>
      </c>
      <c r="H184" s="44" t="s">
        <v>96</v>
      </c>
      <c r="I184" s="45" t="str">
        <f t="shared" si="3"/>
        <v>6 - 10, &amp;#32všetky možnosti</v>
      </c>
      <c r="J184" s="46" t="str">
        <f t="shared" si="4"/>
        <v>,Register partnerov VS</v>
      </c>
      <c r="K184" s="47">
        <f t="shared" si="5"/>
        <v>8919.539891</v>
      </c>
      <c r="L184" s="45"/>
      <c r="M184" s="48" t="str">
        <f>IFERROR(__xludf.DUMMYFUNCTION("SPLIT(O184,"","")"),"Staničná 8/12")</f>
        <v>Staničná 8/12</v>
      </c>
      <c r="N184" s="48" t="str">
        <f>IFERROR(__xludf.DUMMYFUNCTION("""COMPUTED_VALUE""")," 076 15 Veľaty")</f>
        <v> 076 15 Veľaty</v>
      </c>
      <c r="O184" s="49" t="s">
        <v>2093</v>
      </c>
      <c r="P184" s="50">
        <v>48.5236917999999</v>
      </c>
      <c r="Q184" s="109">
        <v>21.6627071</v>
      </c>
      <c r="R184" s="66" t="s">
        <v>2094</v>
      </c>
      <c r="S184" s="36" t="s">
        <v>1405</v>
      </c>
      <c r="T184" s="110" t="s">
        <v>86</v>
      </c>
      <c r="U184" s="75" t="s">
        <v>2095</v>
      </c>
      <c r="V184" s="55" t="s">
        <v>2096</v>
      </c>
      <c r="W184" s="76" t="s">
        <v>2097</v>
      </c>
      <c r="X184" s="77" t="s">
        <v>2098</v>
      </c>
      <c r="Y184" s="78" t="s">
        <v>2094</v>
      </c>
      <c r="Z184" s="63" t="s">
        <v>2099</v>
      </c>
      <c r="AA184" s="79" t="s">
        <v>64</v>
      </c>
      <c r="AB184" s="65"/>
      <c r="AC184" s="66"/>
      <c r="AD184" s="67"/>
      <c r="AE184" s="65"/>
      <c r="AF184" s="65"/>
      <c r="AG184" s="66"/>
      <c r="AH184" s="67"/>
      <c r="AI184" s="65"/>
      <c r="AJ184" s="65"/>
      <c r="AK184" s="66"/>
      <c r="AL184" s="67"/>
      <c r="AM184" s="52"/>
      <c r="AN184" s="80" t="s">
        <v>39</v>
      </c>
      <c r="AO184" s="68" t="str">
        <f t="shared" si="6"/>
        <v>Thermostav s.r.o. stavebnictvo, polnohospodarstvo a lesnictvo, dom a zahrada, &amp;#32vsetky kategorie  076 15 Velaty Vyroba stiepky, stavebna cinnost, sluzby s traktorom. Zamestnavanim socialne znevyhodnenych osob. Thermostav, s. r. o. Vyroba stiepky, stavebna cinnost, sluzby s traktorom. stiepkovanie, kosenie, buranie, vystavba           Register partnerov VS</v>
      </c>
      <c r="AP184" s="82"/>
    </row>
    <row r="185" ht="15.75" customHeight="1">
      <c r="A185" s="45"/>
      <c r="B185" s="70">
        <v>183.0</v>
      </c>
      <c r="C185" s="116" t="s">
        <v>2100</v>
      </c>
      <c r="D185" s="71" t="s">
        <v>134</v>
      </c>
      <c r="E185" s="43" t="str">
        <f t="shared" si="1"/>
        <v>Trenčiansky kraj, &amp;#32celé Slovensko</v>
      </c>
      <c r="F185" s="44" t="s">
        <v>2101</v>
      </c>
      <c r="G185" s="43"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&amp;#32všetky kategórie</v>
      </c>
      <c r="H185" s="44" t="s">
        <v>68</v>
      </c>
      <c r="I185" s="45" t="str">
        <f t="shared" si="3"/>
        <v>16 - 20, &amp;#32všetky možnosti</v>
      </c>
      <c r="J185" s="46" t="str">
        <f t="shared" si="4"/>
        <v>,Register partnerov VS</v>
      </c>
      <c r="K185" s="47">
        <f t="shared" si="5"/>
        <v>42996.2902</v>
      </c>
      <c r="L185" s="45"/>
      <c r="M185" s="48" t="str">
        <f>IFERROR(__xludf.DUMMYFUNCTION("SPLIT(O185,"","")"),"Horná Súča 233")</f>
        <v>Horná Súča 233</v>
      </c>
      <c r="N185" s="48" t="str">
        <f>IFERROR(__xludf.DUMMYFUNCTION("""COMPUTED_VALUE""")," 913 33 Horná Súča")</f>
        <v> 913 33 Horná Súča</v>
      </c>
      <c r="O185" s="49" t="s">
        <v>2102</v>
      </c>
      <c r="P185" s="50">
        <v>48.9726246</v>
      </c>
      <c r="Q185" s="109">
        <v>17.9781092</v>
      </c>
      <c r="R185" s="103" t="s">
        <v>2103</v>
      </c>
      <c r="S185" s="36" t="s">
        <v>2104</v>
      </c>
      <c r="T185" s="110" t="s">
        <v>2105</v>
      </c>
      <c r="U185" s="75" t="s">
        <v>2106</v>
      </c>
      <c r="V185" s="55" t="s">
        <v>2107</v>
      </c>
      <c r="W185" s="76" t="s">
        <v>2108</v>
      </c>
      <c r="X185" s="77" t="s">
        <v>2109</v>
      </c>
      <c r="Y185" s="78" t="s">
        <v>2110</v>
      </c>
      <c r="Z185" s="63" t="s">
        <v>2111</v>
      </c>
      <c r="AA185" s="79" t="s">
        <v>64</v>
      </c>
      <c r="AB185" s="65"/>
      <c r="AC185" s="66"/>
      <c r="AD185" s="67"/>
      <c r="AE185" s="65"/>
      <c r="AF185" s="65"/>
      <c r="AG185" s="66"/>
      <c r="AH185" s="67"/>
      <c r="AI185" s="65"/>
      <c r="AJ185" s="65"/>
      <c r="AK185" s="66"/>
      <c r="AL185" s="67"/>
      <c r="AM185" s="52"/>
      <c r="AN185" s="80" t="s">
        <v>39</v>
      </c>
      <c r="AO185" s="68" t="str">
        <f t="shared" si="6"/>
        <v>Komunalne Sluzby Horna Suca, s. r. o., r. s. p.; skrateny nazov: KSHS, s. r. o., r. s. p. cistiace a upratovacie sluzby, polnohospodarstvo a lesnictvo, dom a zahrada, stavebnictvo, doprava, ubytovacie a stravovacie sluzby, cestovny ruch, uctovnictvo a poradenstvo, kultura a sport, odpady a recyklacia, reklama, obaly, auto-moto, elektro, pocitacova a kancelarska technika, &amp;#32vsetky kategorie  913 33 Horna Suca Spolocnost Komunalne Sluzby Horna Suca s.r.o., r.s.p. je verejnoprospesny podnik, ktoreho hlavnym cielom je dosahovanie meratelneho pozitivneho socialneho vplyvu poskytovanim spolocensky prospesnej sluzby v oblasti podpory regionalneho rozvoja a zamestnanosti.
Nasim dlhodobym podnikatelskym zamerom je poskytovanie co najkvalitnejsich komunalnych sluzieb miestnym obyvatelom, obci, okolitym obciam a inym podnikatelskym subjektom: oprava miestnych rozhlasov a verejneho osvetlenia, zber, separacia a zhodnocovanie komunalneho odpadu, vyvoz fekalii, vodoinstalaterske, udrzbarske a elektroinstalaterske prace, pomocne stavebne prace, udrzba miestnych komunikacii a verejnych priestranstiev, dovoz stravy obcanom, opravy a budovanie turistickych chodnikov a cyklotras, priprava sportovych a kulturnych podujati.
Nasim cielom je profesionalne, zodpovedne a systematicky predavat nase ponukane sluzby a tovary. Prvoradym hlavnym cielom podnikatelskej cinnosti nasej spolocnosti je dosahovanie meratelneho socialneho vplyvu v oblasti poskytovania spolocensky prospesnych sluzieb. Zakladnym problemom, z ktoreho vychadza nas podnikatelsky zamer, je zlepsit zivotne podmienky obyvatelov v obci zvysenim zamestnanosti a poskytnutie zamestnania obcanom, ktori su znevyhodnenymi uchadzacmi o zamestnanie – odstranenie vylucenia tychto osob a zaclenenie z okraja spolocnosti do realneho zivota. Podstatne je vybudovat prostredie pre vyuzivanie a uplatnenie individualneho potencialu obcanov, ktori nedokazu samostatne uplatnit svoje vedomosti, zrucnosti a odhodlanie. Chceme byt pozitivnym vzorom v tejto oblasti a sirit myslienky socialneho podnikania. Komunalne Sluzby Horna Suca s.r.o., r.s.p. Ponukame:                                                                           - sluzby v polnohospodarstve a zahradnictve,
- sluzby v lesnictve a polovnictve,
- opracovanie drevnej hmoty a vyroba komponentov z dreva,
- vyroba nekovovych mineralnych vyrobkov a vyrobkov z betonu, sadry a cementu,
- vyroba a opracovanie jednoduchych vyrobkov z kovu,
- diagnostika kanalizacnych potrubi a cistenie kanalizacnych systemov,
- uskutocnovanie stavieb a ich zmien,
- udrzba motorovych vozidiel bez zasahu do motorickej casti vozidla,
- sprostredkovatelska cinnost v oblasti obchodu, sluzieb, vyroby,
- poskytovanie obsluznych sluzieb pri kulturnych a inych spolocenskych podujatiach,
- prenajom nehnutelnosti spojeny s poskytovanim inych nez zakladnych sluzieb spojenych s prenajmom,
- prenajom hnutelnych veci,
- cistiace a upratovacie sluzby,
- organizovanie sportovych, kulturnych a inych spolocenskych podujati,
- oprava osobnych potrieb a potrieb pre domacnost.
 kosenie, zemne prace, stahovacie a prepravne sluzby, stavebne prace, vodoinstalaterske a elektroinstalaterske prace, buranie, polnohospodarstvo, kanalizacia, motorove vozidla, doprava, obchod, sluzby, vyroba, kulturne a sportove podujatia, projektovanie, cenarstvo, verejne obstaravanie, inzinierstvo, upratovanie, administrativa, donaska jedla, turisticke chodniky, cyklotrasy           Register partnerov VS</v>
      </c>
      <c r="AP185" s="82"/>
    </row>
    <row r="186" ht="15.75" customHeight="1">
      <c r="A186" s="45"/>
      <c r="B186" s="70">
        <v>184.0</v>
      </c>
      <c r="C186" s="116" t="s">
        <v>2112</v>
      </c>
      <c r="D186" s="71" t="s">
        <v>66</v>
      </c>
      <c r="E186" s="43" t="str">
        <f t="shared" si="1"/>
        <v>Žilinský kraj, &amp;#32celé Slovensko</v>
      </c>
      <c r="F186" s="44" t="s">
        <v>1317</v>
      </c>
      <c r="G186" s="43" t="str">
        <f t="shared" si="2"/>
        <v>ochrana a bezpečnosť, &amp;#32všetky kategórie</v>
      </c>
      <c r="H186" s="44" t="s">
        <v>170</v>
      </c>
      <c r="I186" s="45" t="str">
        <f t="shared" si="3"/>
        <v>21 a viac, &amp;#32všetky možnosti</v>
      </c>
      <c r="J186" s="46" t="str">
        <f t="shared" si="4"/>
        <v>,Register partnerov VS</v>
      </c>
      <c r="K186" s="47">
        <f t="shared" si="5"/>
        <v>15698.83273</v>
      </c>
      <c r="L186" s="45"/>
      <c r="M186" s="48" t="str">
        <f>IFERROR(__xludf.DUMMYFUNCTION("SPLIT(O186,"","")"),"Hollého 66")</f>
        <v>Hollého 66</v>
      </c>
      <c r="N186" s="48" t="str">
        <f>IFERROR(__xludf.DUMMYFUNCTION("""COMPUTED_VALUE""")," 036 01 Martin")</f>
        <v> 036 01 Martin</v>
      </c>
      <c r="O186" s="49" t="s">
        <v>2113</v>
      </c>
      <c r="P186" s="50">
        <v>49.0797939</v>
      </c>
      <c r="Q186" s="109">
        <v>18.9004442</v>
      </c>
      <c r="R186" s="66" t="s">
        <v>2114</v>
      </c>
      <c r="S186" s="86" t="s">
        <v>1066</v>
      </c>
      <c r="T186" s="87" t="s">
        <v>86</v>
      </c>
      <c r="U186" s="75" t="s">
        <v>2115</v>
      </c>
      <c r="V186" s="55" t="s">
        <v>2116</v>
      </c>
      <c r="W186" s="76" t="s">
        <v>2117</v>
      </c>
      <c r="X186" s="88" t="s">
        <v>2112</v>
      </c>
      <c r="Y186" s="118" t="s">
        <v>2118</v>
      </c>
      <c r="Z186" s="119" t="s">
        <v>2119</v>
      </c>
      <c r="AA186" s="120" t="s">
        <v>64</v>
      </c>
      <c r="AB186" s="65"/>
      <c r="AC186" s="66"/>
      <c r="AD186" s="67"/>
      <c r="AE186" s="65"/>
      <c r="AF186" s="65"/>
      <c r="AG186" s="66"/>
      <c r="AH186" s="67"/>
      <c r="AI186" s="65"/>
      <c r="AJ186" s="65"/>
      <c r="AK186" s="66"/>
      <c r="AL186" s="67"/>
      <c r="AM186" s="52"/>
      <c r="AN186" s="80" t="s">
        <v>39</v>
      </c>
      <c r="AO186" s="68" t="str">
        <f t="shared" si="6"/>
        <v>SBS KOBRA Martin s.r.o. ochrana a bezpecnost, &amp;#32vsetky kategorie  036 01 Martin Nasa spolocnost ponuka sluzby v oblasti sukromnej bezpecnosti, ochranu objektov, majetku a osob v rozsahu zakona c. 473/2005 Z. z. Zamestnavanim znevyhodnenych osob. SBS KOBRA Martin s.r.o. Zabezpecenie ochrany objektov, priestorov, instalacia kamerovych systemov. SBS, strazna sluzba, ochrana, bezpecnost, kamery           Register partnerov VS</v>
      </c>
      <c r="AP186" s="69" t="s">
        <v>41</v>
      </c>
    </row>
    <row r="187" ht="15.75" customHeight="1">
      <c r="A187" s="45"/>
      <c r="B187" s="70">
        <v>185.0</v>
      </c>
      <c r="C187" s="116" t="s">
        <v>2120</v>
      </c>
      <c r="D187" s="71" t="s">
        <v>51</v>
      </c>
      <c r="E187" s="43" t="str">
        <f t="shared" si="1"/>
        <v>Prešovský kraj, &amp;#32celé Slovensko</v>
      </c>
      <c r="F187" s="44" t="s">
        <v>108</v>
      </c>
      <c r="G187" s="43" t="str">
        <f t="shared" si="2"/>
        <v>čistiace a upratovacie služby, stavebníctvo, &amp;#32všetky kategórie</v>
      </c>
      <c r="H187" s="44" t="s">
        <v>53</v>
      </c>
      <c r="I187" s="45" t="str">
        <f t="shared" si="3"/>
        <v>1 - 5, &amp;#32všetky možnosti</v>
      </c>
      <c r="J187" s="46" t="str">
        <f t="shared" si="4"/>
        <v>,</v>
      </c>
      <c r="K187" s="47">
        <f t="shared" si="5"/>
        <v>29865.40155</v>
      </c>
      <c r="L187" s="45"/>
      <c r="M187" s="48" t="str">
        <f>IFERROR(__xludf.DUMMYFUNCTION("SPLIT(O187,"","")"),"Šarišská 98/20")</f>
        <v>Šarišská 98/20</v>
      </c>
      <c r="N187" s="48" t="str">
        <f>IFERROR(__xludf.DUMMYFUNCTION("""COMPUTED_VALUE""")," 094 34 Bystré")</f>
        <v> 094 34 Bystré</v>
      </c>
      <c r="O187" s="49" t="s">
        <v>2121</v>
      </c>
      <c r="P187" s="50">
        <v>49.0120598</v>
      </c>
      <c r="Q187" s="109">
        <v>21.5429275</v>
      </c>
      <c r="R187" s="103" t="s">
        <v>2122</v>
      </c>
      <c r="S187" s="86" t="s">
        <v>2123</v>
      </c>
      <c r="T187" s="87" t="s">
        <v>86</v>
      </c>
      <c r="U187" s="75" t="s">
        <v>2124</v>
      </c>
      <c r="V187" s="84" t="s">
        <v>2125</v>
      </c>
      <c r="W187" s="76" t="s">
        <v>2126</v>
      </c>
      <c r="X187" s="77" t="s">
        <v>2127</v>
      </c>
      <c r="Y187" s="121" t="s">
        <v>308</v>
      </c>
      <c r="Z187" s="119" t="s">
        <v>2128</v>
      </c>
      <c r="AA187" s="120" t="s">
        <v>64</v>
      </c>
      <c r="AB187" s="65"/>
      <c r="AC187" s="66"/>
      <c r="AD187" s="67"/>
      <c r="AE187" s="65"/>
      <c r="AF187" s="65"/>
      <c r="AG187" s="66"/>
      <c r="AH187" s="67"/>
      <c r="AI187" s="65"/>
      <c r="AJ187" s="65"/>
      <c r="AK187" s="66"/>
      <c r="AL187" s="67"/>
      <c r="AM187" s="36"/>
      <c r="AN187" s="65"/>
      <c r="AO187" s="68" t="str">
        <f t="shared" si="6"/>
        <v>STAVENEC BYSTRE s.r.o., r.s.p. cistiace a upratovacie sluzby, stavebnictvo, &amp;#32vsetky kategorie  094 34 Bystre Hlavna oblast nasho podnikania je zamerana na stavebnu cinnost - prace v rozsahu demolacne, buracie a pripravne stavebne prace. Svojim zakaznikom budeme ponukat vykony spojene s pripravou jednoduchych a pomocnych prac  zameranych na murarske prace a pokladku obkladov, dlazieb, montaz sadrokartonov a ostatnych stavebnych prac.                           Medzi sluzby, ktore bude nasa spolocnost poskytovat, patria: 
- podnikanie v oblasti nakladania s inym ako nebezpecnym odpadom,
- uskutocnovanie stavieb a ich zmien,
- pripravne prace k realizacii stavby, demolacie, buracie prace,
- dokoncovacie stavebne prace pri realizacii exterierov a interierov,
- upratovacie prace,
- starostlivost o zelene plochy a verejne priestranstva.
 Spolocensky dopad socialneho podniku spociva v znizeni nezamestnanosti znevyhodnenych a najviac zranitelnych osob z obce Bystre a jej okolia. Pozitivny spolocensky dopad  budeme  dosahovat aj pracami spojenymi so skraslovanim prostredia obce, co bude mat vplyv na skvalitnenie zivota obyvatelov.  STAVENEC BYSTRE, s.r.o., r.s.p. Stavebna cinnost stavebna cinnost, , pripravne prace, buracie prace, udrzba verejnych priestranstiev, starostlivost o zelen, upratovanie           </v>
      </c>
      <c r="AP187" s="82"/>
    </row>
    <row r="188" ht="15.75" customHeight="1">
      <c r="A188" s="45"/>
      <c r="B188" s="70">
        <v>186.0</v>
      </c>
      <c r="C188" s="116" t="s">
        <v>2129</v>
      </c>
      <c r="D188" s="71" t="s">
        <v>134</v>
      </c>
      <c r="E188" s="43" t="str">
        <f t="shared" si="1"/>
        <v>Trenčiansky kraj, &amp;#32celé Slovensko</v>
      </c>
      <c r="F188" s="44" t="s">
        <v>2130</v>
      </c>
      <c r="G188" s="43" t="str">
        <f t="shared" si="2"/>
        <v>kovovýroba, &amp;#32všetky kategórie</v>
      </c>
      <c r="H188" s="44" t="s">
        <v>170</v>
      </c>
      <c r="I188" s="45" t="str">
        <f t="shared" si="3"/>
        <v>21 a viac, &amp;#32všetky možnosti</v>
      </c>
      <c r="J188" s="46" t="str">
        <f t="shared" si="4"/>
        <v>,Register partnerov VS</v>
      </c>
      <c r="K188" s="47">
        <f t="shared" si="5"/>
        <v>7024.951604</v>
      </c>
      <c r="L188" s="45"/>
      <c r="M188" s="48" t="str">
        <f>IFERROR(__xludf.DUMMYFUNCTION("SPLIT(O188,"","")"),"Horný rad 533/3")</f>
        <v>Horný rad 533/3</v>
      </c>
      <c r="N188" s="48" t="str">
        <f>IFERROR(__xludf.DUMMYFUNCTION("""COMPUTED_VALUE""")," 906 13 Brezová pod Bradlom ")</f>
        <v> 906 13 Brezová pod Bradlom </v>
      </c>
      <c r="O188" s="49" t="s">
        <v>2131</v>
      </c>
      <c r="P188" s="50">
        <v>48.6664305</v>
      </c>
      <c r="Q188" s="109">
        <v>17.5420706</v>
      </c>
      <c r="R188" s="103" t="s">
        <v>2132</v>
      </c>
      <c r="S188" s="36" t="s">
        <v>2133</v>
      </c>
      <c r="T188" s="110" t="s">
        <v>2134</v>
      </c>
      <c r="U188" s="75" t="s">
        <v>2135</v>
      </c>
      <c r="V188" s="55" t="s">
        <v>2136</v>
      </c>
      <c r="W188" s="76" t="s">
        <v>2137</v>
      </c>
      <c r="X188" s="77" t="s">
        <v>2138</v>
      </c>
      <c r="Y188" s="121" t="s">
        <v>2139</v>
      </c>
      <c r="Z188" s="119" t="s">
        <v>2140</v>
      </c>
      <c r="AA188" s="120" t="s">
        <v>64</v>
      </c>
      <c r="AB188" s="65"/>
      <c r="AC188" s="66"/>
      <c r="AD188" s="67"/>
      <c r="AE188" s="65"/>
      <c r="AF188" s="65"/>
      <c r="AG188" s="66"/>
      <c r="AH188" s="67"/>
      <c r="AI188" s="65"/>
      <c r="AJ188" s="65"/>
      <c r="AK188" s="66"/>
      <c r="AL188" s="67"/>
      <c r="AM188" s="52"/>
      <c r="AN188" s="80" t="s">
        <v>39</v>
      </c>
      <c r="AO188" s="68" t="str">
        <f t="shared" si="6"/>
        <v>ERWEL s.r.o. kovovyroba, &amp;#32vsetky kategorie  906 13 Brezova pod Bradlom  Spolocnost ERWEL s.r.o. posobi na zapadnom Slovensku v Brezovej pod Bradlom, kde su dlhodobe skusenosti s vyrobou pruzin a kovoobrabanim, a to uz od patdesiatych rokov minuleho storocia. Firmu zalozenu na rodinnej baze vedu spolocne otec a syn od 14.12.2006.
Nasa firma je zamerana na vyrobu a predaj pruzin a vyrobkov z drotu a pasky. Dlhodobe skusenosti a vyuzivanie novych technologii su zarukou vysokej kvality a flexibilnosti pri vyrobe i hladani vhodnych rieseni.
 Nakolko v oblasti Brezovej pod Bradlom je nedostatok odbornych zamestnancov a zamestnancov s praxou v strojarskej vyrobe, nechceme dovazat lacnu pracovnu silu  zo zahranicia, co je bezny jav okolitych firiem. Na urade prace je dostatok pracovnej sily s pracovnym znevyhodnenim, preto chce nasa spolocnost zamestnat tychto lokalnych ludi, aby ziskali prax a pracovne navyky.  ERWEL, s.r.o. Predmetom cinnosti nasej spolocnosti je vyroba pruzin, vyrobkov z drotu a pasky. pruzina, vyrobky z drotu, tvarovanie drotu, spletane pruziny, tvarove pruziny, tlacne pruziny, tazne pruziny, kovovyroba, priemyselna vyroba           Register partnerov VS</v>
      </c>
      <c r="AP188" s="82"/>
    </row>
    <row r="189" ht="15.75" customHeight="1">
      <c r="A189" s="45"/>
      <c r="B189" s="70">
        <v>187.0</v>
      </c>
      <c r="C189" s="116" t="s">
        <v>2141</v>
      </c>
      <c r="D189" s="71" t="s">
        <v>217</v>
      </c>
      <c r="E189" s="43" t="str">
        <f t="shared" si="1"/>
        <v>Košický kraj, &amp;#32celé Slovensko</v>
      </c>
      <c r="F189" s="72" t="s">
        <v>2142</v>
      </c>
      <c r="G189" s="43" t="str">
        <f t="shared" si="2"/>
        <v>účtovníctvo a poradenstvo, &amp;#32všetky kategórie</v>
      </c>
      <c r="H189" s="44" t="s">
        <v>53</v>
      </c>
      <c r="I189" s="45" t="str">
        <f t="shared" si="3"/>
        <v>1 - 5, &amp;#32všetky možnosti</v>
      </c>
      <c r="J189" s="46" t="str">
        <f t="shared" si="4"/>
        <v>,</v>
      </c>
      <c r="K189" s="47">
        <f t="shared" si="5"/>
        <v>35897.77865</v>
      </c>
      <c r="L189" s="45"/>
      <c r="M189" s="48" t="str">
        <f>IFERROR(__xludf.DUMMYFUNCTION("SPLIT(O189,"","")"),"Trnková 12")</f>
        <v>Trnková 12</v>
      </c>
      <c r="N189" s="48" t="str">
        <f>IFERROR(__xludf.DUMMYFUNCTION("""COMPUTED_VALUE""")," 040 14 Košice - Košická Nová Ves")</f>
        <v> 040 14 Košice - Košická Nová Ves</v>
      </c>
      <c r="O189" s="49" t="s">
        <v>2143</v>
      </c>
      <c r="P189" s="50">
        <v>48.7378749</v>
      </c>
      <c r="Q189" s="109">
        <v>21.2924062</v>
      </c>
      <c r="R189" s="66" t="s">
        <v>2144</v>
      </c>
      <c r="S189" s="36" t="s">
        <v>2145</v>
      </c>
      <c r="T189" s="110" t="s">
        <v>86</v>
      </c>
      <c r="U189" s="75" t="s">
        <v>2146</v>
      </c>
      <c r="V189" s="55" t="s">
        <v>2147</v>
      </c>
      <c r="W189" s="76" t="s">
        <v>2148</v>
      </c>
      <c r="X189" s="77" t="s">
        <v>2149</v>
      </c>
      <c r="Y189" s="121" t="s">
        <v>2144</v>
      </c>
      <c r="Z189" s="119" t="s">
        <v>2150</v>
      </c>
      <c r="AA189" s="120" t="s">
        <v>64</v>
      </c>
      <c r="AB189" s="65"/>
      <c r="AC189" s="66"/>
      <c r="AD189" s="67"/>
      <c r="AE189" s="65"/>
      <c r="AF189" s="65"/>
      <c r="AG189" s="66"/>
      <c r="AH189" s="67"/>
      <c r="AI189" s="65"/>
      <c r="AJ189" s="65"/>
      <c r="AK189" s="66"/>
      <c r="AL189" s="67"/>
      <c r="AM189" s="36"/>
      <c r="AN189" s="65"/>
      <c r="AO189" s="68" t="str">
        <f t="shared" si="6"/>
        <v>BISOA society s. r. o., r.s.p. uctovnictvo a poradenstvo, &amp;#32vsetky kategorie  040 14 Kosice - Kosicka Nova Ves Ponukame uctovne sluzby a administrativne prace. Percentom zamestnanych znevyhodnenych a zranitelnych osob. BISOA society s.r.o., r.s.p. Ponukame uctovne sluzby a administrativne prace. uctovne sluzby, administrativne prace, vedenie uctovnictva           </v>
      </c>
      <c r="AP189" s="82"/>
    </row>
    <row r="190" ht="15.75" customHeight="1">
      <c r="A190" s="45"/>
      <c r="B190" s="70">
        <v>188.0</v>
      </c>
      <c r="C190" s="116" t="s">
        <v>2151</v>
      </c>
      <c r="D190" s="71" t="s">
        <v>181</v>
      </c>
      <c r="E190" s="43" t="str">
        <f t="shared" si="1"/>
        <v>Banskobystrický kraj, &amp;#32celé Slovensko</v>
      </c>
      <c r="F190" s="44" t="s">
        <v>1811</v>
      </c>
      <c r="G190" s="43" t="str">
        <f t="shared" si="2"/>
        <v>poľnohospodárstvo a lesníctvo, zvieratá, &amp;#32všetky kategórie</v>
      </c>
      <c r="H190" s="44" t="s">
        <v>96</v>
      </c>
      <c r="I190" s="45" t="str">
        <f t="shared" si="3"/>
        <v>6 - 10, &amp;#32všetky možnosti</v>
      </c>
      <c r="J190" s="46" t="str">
        <f t="shared" si="4"/>
        <v>,</v>
      </c>
      <c r="K190" s="47">
        <f t="shared" si="5"/>
        <v>39812.64112</v>
      </c>
      <c r="L190" s="45"/>
      <c r="M190" s="48" t="str">
        <f>IFERROR(__xludf.DUMMYFUNCTION("SPLIT(O190,"","")"),"A. Markuša 17")</f>
        <v>A. Markuša 17</v>
      </c>
      <c r="N190" s="48" t="str">
        <f>IFERROR(__xludf.DUMMYFUNCTION("""COMPUTED_VALUE""")," 979 01 Rimavská Sobota ")</f>
        <v> 979 01 Rimavská Sobota </v>
      </c>
      <c r="O190" s="49" t="s">
        <v>2152</v>
      </c>
      <c r="P190" s="50">
        <v>48.3913453</v>
      </c>
      <c r="Q190" s="109">
        <v>20.0185972</v>
      </c>
      <c r="R190" s="66" t="s">
        <v>2153</v>
      </c>
      <c r="S190" s="36" t="s">
        <v>2154</v>
      </c>
      <c r="T190" s="110" t="s">
        <v>2155</v>
      </c>
      <c r="U190" s="75" t="s">
        <v>2156</v>
      </c>
      <c r="V190" s="55" t="s">
        <v>2157</v>
      </c>
      <c r="W190" s="76" t="s">
        <v>2158</v>
      </c>
      <c r="X190" s="77" t="s">
        <v>2159</v>
      </c>
      <c r="Y190" s="121" t="s">
        <v>2160</v>
      </c>
      <c r="Z190" s="119" t="s">
        <v>2161</v>
      </c>
      <c r="AA190" s="120" t="s">
        <v>64</v>
      </c>
      <c r="AB190" s="65"/>
      <c r="AC190" s="66"/>
      <c r="AD190" s="67"/>
      <c r="AE190" s="65"/>
      <c r="AF190" s="65"/>
      <c r="AG190" s="66"/>
      <c r="AH190" s="67"/>
      <c r="AI190" s="65"/>
      <c r="AJ190" s="65"/>
      <c r="AK190" s="66"/>
      <c r="AL190" s="67"/>
      <c r="AM190" s="36"/>
      <c r="AN190" s="65"/>
      <c r="AO190" s="68" t="str">
        <f t="shared" si="6"/>
        <v>Rimgal, spol. s r.o. polnohospodarstvo a lesnictvo, zvierata, &amp;#32vsetky kategorie  979 01 Rimavska Sobota  Nasa spolocnost sa zaobera chovom hydiny, a to uz od r.1997. Celorocne ponukame na predaj slepacie vajcia z vlastneho chovu, krmne zmesi pre hydinu a osipane vyrabane priamo u nas, v mesiacoch marec - oktober zivu hydinu, a to brojlerove kurcata, mladky na znasku, sliepky v znaske a vodnu hydinu kacky, husi. Nasu produkciu vajec umiestnujeme iba na slovenskom trhu, najma do maloobchodnych prevadzok po okoli, do cukrarenskych vyrobni a konecnemu spotrebitelovi. Otvorili sme vlastnu predajnu vajec a hydiny priamo na farme, v obci Nove Hony. Nase vyrobky sa vyznacuju dobrou kvalitou, vyhodnou cenou a hlavne zarucene slovenskym povodom, ktorych je uz bohuzial v Slovenskej republike stale menej a menej... Nas podnik sa rozhodol pomoct najma tym ludom, ktori to naozaj najviac potrebuju, a to zamestnavanim znevyhodnenych, zranitelnych a zdravotne postihnutych osob. Farma Nove Hony Celorocne ponukame na predaj slepacie vajcia z vlastneho chovu, krmne zmesi pre hydinu a osipane vyrabane priamo u nas, v mesiacoch marec - oktober zivu hydinu, a to brojlerove kurcata, mladky na znasku, sliepky v znaske, kacky, husi. slepacie vajcia, ziva hydina, nosnice, mladky, brojlery, kacky, husi, krmivo pre hydinu           </v>
      </c>
      <c r="AP190" s="82"/>
    </row>
    <row r="191" ht="15.75" customHeight="1">
      <c r="A191" s="45"/>
      <c r="B191" s="70">
        <v>189.0</v>
      </c>
      <c r="C191" s="116" t="s">
        <v>2162</v>
      </c>
      <c r="D191" s="71" t="s">
        <v>134</v>
      </c>
      <c r="E191" s="43" t="str">
        <f t="shared" si="1"/>
        <v>Trenčiansky kraj, &amp;#32celé Slovensko</v>
      </c>
      <c r="F191" s="44" t="s">
        <v>1106</v>
      </c>
      <c r="G191" s="43" t="str">
        <f t="shared" si="2"/>
        <v>stavebníctvo, &amp;#32všetky kategórie</v>
      </c>
      <c r="H191" s="44" t="s">
        <v>53</v>
      </c>
      <c r="I191" s="45" t="str">
        <f t="shared" si="3"/>
        <v>1 - 5, &amp;#32všetky možnosti</v>
      </c>
      <c r="J191" s="46" t="str">
        <f t="shared" si="4"/>
        <v>,</v>
      </c>
      <c r="K191" s="47">
        <f t="shared" si="5"/>
        <v>42126.63847</v>
      </c>
      <c r="L191" s="45"/>
      <c r="M191" s="48" t="str">
        <f>IFERROR(__xludf.DUMMYFUNCTION("SPLIT(O191,"","")"),"Topoľčianska 237/48")</f>
        <v>Topoľčianska 237/48</v>
      </c>
      <c r="N191" s="48" t="str">
        <f>IFERROR(__xludf.DUMMYFUNCTION("""COMPUTED_VALUE""")," 958 04 Partizánske")</f>
        <v> 958 04 Partizánske</v>
      </c>
      <c r="O191" s="49" t="s">
        <v>2163</v>
      </c>
      <c r="P191" s="50">
        <v>48.6201808</v>
      </c>
      <c r="Q191" s="109">
        <v>18.2966578</v>
      </c>
      <c r="R191" s="66" t="s">
        <v>2164</v>
      </c>
      <c r="S191" s="36" t="s">
        <v>2165</v>
      </c>
      <c r="T191" s="110" t="s">
        <v>86</v>
      </c>
      <c r="U191" s="75" t="s">
        <v>2166</v>
      </c>
      <c r="V191" s="55" t="s">
        <v>2167</v>
      </c>
      <c r="W191" s="76" t="s">
        <v>2168</v>
      </c>
      <c r="X191" s="77" t="s">
        <v>2169</v>
      </c>
      <c r="Y191" s="121" t="s">
        <v>2164</v>
      </c>
      <c r="Z191" s="119" t="s">
        <v>2170</v>
      </c>
      <c r="AA191" s="120" t="s">
        <v>64</v>
      </c>
      <c r="AB191" s="65"/>
      <c r="AC191" s="66"/>
      <c r="AD191" s="67"/>
      <c r="AE191" s="65"/>
      <c r="AF191" s="65"/>
      <c r="AG191" s="66"/>
      <c r="AH191" s="67"/>
      <c r="AI191" s="65"/>
      <c r="AJ191" s="65"/>
      <c r="AK191" s="66"/>
      <c r="AL191" s="67"/>
      <c r="AM191" s="36"/>
      <c r="AN191" s="65"/>
      <c r="AO191" s="68" t="str">
        <f t="shared" si="6"/>
        <v>Vyskum a inovacie s. r. o. stavebnictvo, &amp;#32vsetky kategorie  958 04 Partizanske Polotovary na vyrobu malt, zateplovacie malty a drteny polystyren, ktory sa vyuziva ako napln do dierovanych tehal a na ine vyuzitie. Ponukame inovativne napady, tvorivost a vlastne patentovane produkty. Vyskum a inovacie s.r.o. Polotovary na vyrobu malt, zateplovacie malty a drteny polystyren, ktory sa vyuziva ako napln do dierovanych tehal a na ine vyuzitie. Zateplovanie, malty, stavebnictvo, kovovyroba           </v>
      </c>
      <c r="AP191" s="69" t="s">
        <v>41</v>
      </c>
    </row>
    <row r="192" ht="15.75" customHeight="1">
      <c r="A192" s="45"/>
      <c r="B192" s="70">
        <v>190.0</v>
      </c>
      <c r="C192" s="116" t="s">
        <v>2171</v>
      </c>
      <c r="D192" s="71" t="s">
        <v>66</v>
      </c>
      <c r="E192" s="43" t="str">
        <f t="shared" si="1"/>
        <v>Žilinský kraj, &amp;#32celé Slovensko</v>
      </c>
      <c r="F192" s="44" t="s">
        <v>2130</v>
      </c>
      <c r="G192" s="43" t="str">
        <f t="shared" si="2"/>
        <v>kovovýroba, &amp;#32všetky kategórie</v>
      </c>
      <c r="H192" s="44" t="s">
        <v>82</v>
      </c>
      <c r="I192" s="45" t="str">
        <f t="shared" si="3"/>
        <v>11 - 15, &amp;#32všetky možnosti</v>
      </c>
      <c r="J192" s="46" t="str">
        <f t="shared" si="4"/>
        <v>,Register partnerov VS</v>
      </c>
      <c r="K192" s="47">
        <f t="shared" si="5"/>
        <v>13980.44439</v>
      </c>
      <c r="L192" s="45"/>
      <c r="M192" s="48" t="str">
        <f>IFERROR(__xludf.DUMMYFUNCTION("SPLIT(O192,"","")"),"Kamenná 9")</f>
        <v>Kamenná 9</v>
      </c>
      <c r="N192" s="48" t="str">
        <f>IFERROR(__xludf.DUMMYFUNCTION("""COMPUTED_VALUE""")," 010 01 Žilina ")</f>
        <v> 010 01 Žilina </v>
      </c>
      <c r="O192" s="49" t="s">
        <v>2172</v>
      </c>
      <c r="P192" s="50">
        <v>49.1993157</v>
      </c>
      <c r="Q192" s="109">
        <v>18.727462</v>
      </c>
      <c r="R192" s="103" t="s">
        <v>2173</v>
      </c>
      <c r="S192" s="36" t="s">
        <v>2174</v>
      </c>
      <c r="T192" s="110" t="s">
        <v>2175</v>
      </c>
      <c r="U192" s="75" t="s">
        <v>2176</v>
      </c>
      <c r="V192" s="55" t="s">
        <v>2177</v>
      </c>
      <c r="W192" s="76" t="s">
        <v>2178</v>
      </c>
      <c r="X192" s="77" t="s">
        <v>2179</v>
      </c>
      <c r="Y192" s="121" t="s">
        <v>2180</v>
      </c>
      <c r="Z192" s="119" t="s">
        <v>2181</v>
      </c>
      <c r="AA192" s="120" t="s">
        <v>64</v>
      </c>
      <c r="AB192" s="65"/>
      <c r="AC192" s="66"/>
      <c r="AD192" s="67"/>
      <c r="AE192" s="65"/>
      <c r="AF192" s="65"/>
      <c r="AG192" s="66"/>
      <c r="AH192" s="67"/>
      <c r="AI192" s="65"/>
      <c r="AJ192" s="65"/>
      <c r="AK192" s="66"/>
      <c r="AL192" s="67"/>
      <c r="AM192" s="52"/>
      <c r="AN192" s="80" t="s">
        <v>39</v>
      </c>
      <c r="AO192" s="68" t="str">
        <f t="shared" si="6"/>
        <v>Rozvoj a spolupraca s. r. o. kovovyroba, &amp;#32vsetky kategorie  010 01 Zilina  Nas podnik ponuka technologie, ako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tiez dlhodobo nezamestnanych; inovativnou technologiou pristupujeme setrnym sposobom k zivotnemu prostrediu. Rozvoj a spolupraca s.r.o. Specialista na rezanie vodnym lucom. Triediace linky, spracovanie biomasy, odpadov,  rozne cestne konstrukcie, zabradlia, kamenolom,strky, betonarky, technologicke linky, ocelove konstrukcie, opracovanie materialu, CNC, dopravnikove systemy, sustruzenie, frezovanie, rezanie profilov           Register partnerov VS</v>
      </c>
      <c r="AP192" s="82"/>
    </row>
    <row r="193" ht="15.75" customHeight="1">
      <c r="A193" s="45"/>
      <c r="B193" s="70">
        <v>191.0</v>
      </c>
      <c r="C193" s="116" t="s">
        <v>2182</v>
      </c>
      <c r="D193" s="71" t="s">
        <v>80</v>
      </c>
      <c r="E193" s="43" t="str">
        <f t="shared" si="1"/>
        <v>Trnavský kraj, &amp;#32celé Slovensko</v>
      </c>
      <c r="F193" s="44" t="s">
        <v>1471</v>
      </c>
      <c r="G193" s="43" t="str">
        <f t="shared" si="2"/>
        <v>stavebníctvo, dom a záhrada, &amp;#32všetky kategórie</v>
      </c>
      <c r="H193" s="44" t="s">
        <v>53</v>
      </c>
      <c r="I193" s="45" t="str">
        <f t="shared" si="3"/>
        <v>1 - 5, &amp;#32všetky možnosti</v>
      </c>
      <c r="J193" s="46" t="str">
        <f t="shared" si="4"/>
        <v>,Register partnerov VS</v>
      </c>
      <c r="K193" s="47">
        <f t="shared" si="5"/>
        <v>42044.54757</v>
      </c>
      <c r="L193" s="45"/>
      <c r="M193" s="48" t="str">
        <f>IFERROR(__xludf.DUMMYFUNCTION("SPLIT(O193,"","")"),"Suchá nad Parnou 68")</f>
        <v>Suchá nad Parnou 68</v>
      </c>
      <c r="N193" s="48" t="str">
        <f>IFERROR(__xludf.DUMMYFUNCTION("""COMPUTED_VALUE"""),"  919 01 Suchá nad Parnou  ")</f>
        <v>  919 01 Suchá nad Parnou  </v>
      </c>
      <c r="O193" s="49" t="s">
        <v>2183</v>
      </c>
      <c r="P193" s="50">
        <v>48.410441</v>
      </c>
      <c r="Q193" s="109">
        <v>17.486504</v>
      </c>
      <c r="R193" s="103" t="s">
        <v>2184</v>
      </c>
      <c r="S193" s="36" t="s">
        <v>2185</v>
      </c>
      <c r="T193" s="110" t="s">
        <v>2186</v>
      </c>
      <c r="U193" s="75" t="s">
        <v>2187</v>
      </c>
      <c r="V193" s="55" t="s">
        <v>2188</v>
      </c>
      <c r="W193" s="76" t="s">
        <v>2189</v>
      </c>
      <c r="X193" s="77" t="s">
        <v>2190</v>
      </c>
      <c r="Y193" s="121" t="s">
        <v>2191</v>
      </c>
      <c r="Z193" s="119" t="s">
        <v>2192</v>
      </c>
      <c r="AA193" s="120" t="s">
        <v>64</v>
      </c>
      <c r="AB193" s="65"/>
      <c r="AC193" s="66"/>
      <c r="AD193" s="67"/>
      <c r="AE193" s="65"/>
      <c r="AF193" s="65"/>
      <c r="AG193" s="66"/>
      <c r="AH193" s="67"/>
      <c r="AI193" s="65"/>
      <c r="AJ193" s="65"/>
      <c r="AK193" s="66"/>
      <c r="AL193" s="67"/>
      <c r="AM193" s="52"/>
      <c r="AN193" s="80" t="s">
        <v>39</v>
      </c>
      <c r="AO193" s="68" t="str">
        <f t="shared" si="6"/>
        <v>SLUZBY Sucha nad Parnou, s. r. o. stavebnictvo, dom a zahrada, &amp;#32vsetky kategorie   919 01 Sucha nad Parnou   Podnik Sluzby Sucha nad Parnou s.r.o. realizuje hlavne stavebnu cinnost, vsetky zakladne stavebne prace ako murarske prace, zhotovenie sadrokartonovych konstrukcii, obklady, dlazby, maliarske prace, zhotovenie izolacii plochych striech foliou, atd. Ponukame tiez sluzby dekoratera a floristu.
Nasimi zakaznikmi su obce a rozne fyzicke a pravnicke osoby. Pozitivny socialny vplyv dosahujeme zaclenenim zdravotne a inak znevyhodnenych osob do pracovneho procesu, cim zvysujeme ich spolocensky status a taktiez prispievame k znizovaniu nezamestnanosti v regione SLUZBY Sucha nad Parnou, s.r.o. Realizujeme najma stavebnu cinnost, vsetky zakladne stavebne prace ako murarske, zhotovenie sadrokartonovych konstrukcii, obklady, dlazby, maliarske prace, zhotovenie izolacii plochych striech foliou atd. Ponukame tiez sluzby dekoratera a floristu. stavebne prace, stavebna cinnost, ploche strechy, plocha strecha, Fatrafol folie, dekoracie, obklady, dlazby, dokoncovacie prace, sadrokarton, malby, natery, omietky, kazetove stropy, zamkova dlazba, stavebny dozor, aranzovanie kvetov, dekoracie, floristika, vyrub stromov, pilenie, pilcicke prace           Register partnerov VS</v>
      </c>
      <c r="AP193" s="82"/>
    </row>
    <row r="194" ht="15.75" customHeight="1">
      <c r="A194" s="45"/>
      <c r="B194" s="70">
        <v>192.0</v>
      </c>
      <c r="C194" s="116" t="s">
        <v>2193</v>
      </c>
      <c r="D194" s="71" t="s">
        <v>181</v>
      </c>
      <c r="E194" s="43" t="str">
        <f t="shared" si="1"/>
        <v>Banskobystrický kraj, &amp;#32celé Slovensko</v>
      </c>
      <c r="F194" s="44" t="s">
        <v>2194</v>
      </c>
      <c r="G194" s="43" t="str">
        <f t="shared" si="2"/>
        <v>potraviny a nápoje, obaly, nábytok a bytové doplnky, pre deti, &amp;#32všetky kategórie</v>
      </c>
      <c r="H194" s="44" t="s">
        <v>53</v>
      </c>
      <c r="I194" s="45" t="str">
        <f t="shared" si="3"/>
        <v>1 - 5, &amp;#32všetky možnosti</v>
      </c>
      <c r="J194" s="46" t="str">
        <f t="shared" si="4"/>
        <v>,Register partnerov VS</v>
      </c>
      <c r="K194" s="47">
        <f t="shared" si="5"/>
        <v>35833.45804</v>
      </c>
      <c r="L194" s="45"/>
      <c r="M194" s="48" t="str">
        <f>IFERROR(__xludf.DUMMYFUNCTION("SPLIT(O194,"","")"),"Môťovská cesta 12")</f>
        <v>Môťovská cesta 12</v>
      </c>
      <c r="N194" s="48" t="str">
        <f>IFERROR(__xludf.DUMMYFUNCTION("""COMPUTED_VALUE""")," 960 01 Zvolen")</f>
        <v> 960 01 Zvolen</v>
      </c>
      <c r="O194" s="49" t="s">
        <v>2195</v>
      </c>
      <c r="P194" s="50">
        <v>48.5712149</v>
      </c>
      <c r="Q194" s="109">
        <v>19.1437925</v>
      </c>
      <c r="R194" s="103" t="s">
        <v>2196</v>
      </c>
      <c r="S194" s="36" t="s">
        <v>2197</v>
      </c>
      <c r="T194" s="110" t="s">
        <v>2198</v>
      </c>
      <c r="U194" s="75" t="s">
        <v>2199</v>
      </c>
      <c r="V194" s="55" t="s">
        <v>2200</v>
      </c>
      <c r="W194" s="76" t="s">
        <v>2201</v>
      </c>
      <c r="X194" s="77" t="s">
        <v>2202</v>
      </c>
      <c r="Y194" s="121" t="s">
        <v>2203</v>
      </c>
      <c r="Z194" s="119" t="s">
        <v>2204</v>
      </c>
      <c r="AA194" s="120" t="s">
        <v>64</v>
      </c>
      <c r="AB194" s="65"/>
      <c r="AC194" s="66"/>
      <c r="AD194" s="67"/>
      <c r="AE194" s="65"/>
      <c r="AF194" s="65"/>
      <c r="AG194" s="66"/>
      <c r="AH194" s="67"/>
      <c r="AI194" s="65"/>
      <c r="AJ194" s="65"/>
      <c r="AK194" s="66"/>
      <c r="AL194" s="67"/>
      <c r="AM194" s="52"/>
      <c r="AN194" s="80" t="s">
        <v>39</v>
      </c>
      <c r="AO194" s="68" t="str">
        <f t="shared" si="6"/>
        <v>Formickaren.sk, s.r.o. potraviny a napoje, obaly, nabytok a bytove doplnky, pre deti, &amp;#32vsetky kategorie  960 01 Zvolen Integracny socialny podnik Formickaren.sk vznikol na vyse 3-rocnych skusenostiach s vyrobou cukrarskych pomocok pre konecnych spotrebitelov aj distributorov. Podla vlastnych navrhov vyrabame ekologicke formicky, zapichy do tort, oznacovace rezu a ponukame dalsi tovar pre cukrarky, medovnikarky a gazdinky, ktore chcu ozvlastnit svoje pecenie.  Podnik poskytne zamestnanie a pracovne skusenosti zamestnancom ZTP alebo inak znevyhodnenym osobam, ktore maju zhorsene podmienky pre uplatnenie sa na trhu prace. Prinosom bude vytvorenie plnohodnotnych pracovnych miest pre tychto ludi s plnou podporou profesionalneho zaskolenia a rozvijania ich kompetencii a zrucnosti. Formickaren.sk s.r.o. rsp Pecte s radostou a pecte odvazne. Pecte s laskou a pecte hravo. Ponukame vam siroku paletu napadov na originalne medovniky a susienky. Smiesne, vazne, zamilovane, ci kreativne. Vhodne pre detske oslavy, svadby, promocie, narodeniny, ale i na bezny den detom do skoly a manzelovi do prace. Dekoracie na torty a dezerty, ktore za vas povedia to, co ste schovali ako tajnu ingredienciu kazdeho skveleho receptu. zapichy, formicky, podnosy, cukrarske pomocky, cukrarske potreby, suroviny na pecenie, mrazom susene ovocie, cokolada, poleva, potahovacia hmota           Register partnerov VS</v>
      </c>
      <c r="AP194" s="82"/>
    </row>
    <row r="195" ht="15.75" customHeight="1">
      <c r="A195" s="45"/>
      <c r="B195" s="70">
        <v>193.0</v>
      </c>
      <c r="C195" s="116" t="s">
        <v>2205</v>
      </c>
      <c r="D195" s="71" t="s">
        <v>66</v>
      </c>
      <c r="E195" s="43" t="str">
        <f t="shared" si="1"/>
        <v>Žilinský kraj, &amp;#32celé Slovensko</v>
      </c>
      <c r="F195" s="44" t="s">
        <v>2206</v>
      </c>
      <c r="G195" s="43" t="str">
        <f t="shared" si="2"/>
        <v>doprava, auto-moto, iné (tovary a služby), &amp;#32všetky kategórie</v>
      </c>
      <c r="H195" s="44" t="s">
        <v>68</v>
      </c>
      <c r="I195" s="45" t="str">
        <f t="shared" si="3"/>
        <v>16 - 20, &amp;#32všetky možnosti</v>
      </c>
      <c r="J195" s="46" t="str">
        <f t="shared" si="4"/>
        <v>,</v>
      </c>
      <c r="K195" s="47">
        <f t="shared" si="5"/>
        <v>15247.91727</v>
      </c>
      <c r="L195" s="45"/>
      <c r="M195" s="48" t="str">
        <f>IFERROR(__xludf.DUMMYFUNCTION("SPLIT(O195,"","")"),"Liptovská Teplá")</f>
        <v>Liptovská Teplá</v>
      </c>
      <c r="N195" s="48" t="str">
        <f>IFERROR(__xludf.DUMMYFUNCTION("""COMPUTED_VALUE""")," 034 83 Liptovská Teplá")</f>
        <v> 034 83 Liptovská Teplá</v>
      </c>
      <c r="O195" s="49" t="s">
        <v>2207</v>
      </c>
      <c r="P195" s="50">
        <v>49.1008557</v>
      </c>
      <c r="Q195" s="109">
        <v>19.4087257</v>
      </c>
      <c r="R195" s="103" t="s">
        <v>2208</v>
      </c>
      <c r="S195" s="36" t="s">
        <v>2209</v>
      </c>
      <c r="T195" s="110" t="s">
        <v>2210</v>
      </c>
      <c r="U195" s="75" t="s">
        <v>2211</v>
      </c>
      <c r="V195" s="55" t="s">
        <v>2212</v>
      </c>
      <c r="W195" s="76" t="s">
        <v>2213</v>
      </c>
      <c r="X195" s="77" t="s">
        <v>2214</v>
      </c>
      <c r="Y195" s="121" t="s">
        <v>2215</v>
      </c>
      <c r="Z195" s="119" t="s">
        <v>2216</v>
      </c>
      <c r="AA195" s="120" t="s">
        <v>64</v>
      </c>
      <c r="AB195" s="65"/>
      <c r="AC195" s="66"/>
      <c r="AD195" s="67"/>
      <c r="AE195" s="65"/>
      <c r="AF195" s="65"/>
      <c r="AG195" s="66"/>
      <c r="AH195" s="67"/>
      <c r="AI195" s="65"/>
      <c r="AJ195" s="65"/>
      <c r="AK195" s="66"/>
      <c r="AL195" s="67"/>
      <c r="AM195" s="36"/>
      <c r="AN195" s="65"/>
      <c r="AO195" s="68" t="str">
        <f t="shared" si="6"/>
        <v>RENOP, spol. s r.o. doprava, auto-moto, ine (tovary a sluzby), &amp;#32vsetky kategorie  034 83 Liptovska Tepla Spolocnost Renop prinasa najsirsiu ponuku v protektorovani pneumatik studenou a teplou vulkanizaciou, predaj novych pneumatik, vyrobu produktov z technickej gumy lisovanych na etazovych lisoch. Pracovna plocha uvedenych lisov je 400 x 400, 800 x 800 a 1200 x1100 mm. V prevadzke technickej gumy dalej ponukame pogumovanie kovov, opravy a lepenie dopravnikovych pasov a vyrobu gumotextilnych vyrobkov.
Z nasho sortimentu vyberame:
- univerzalne autorohoze,
- podlozky pod kolajnice,
- rucky na furiky,
- gumove brity pre snehove pruhy,
- blatniky pre traktory,
- gumove casti mostovych lozisk,
- natrubky, narazniky, priechodky, redukcie, spojky, kolieska,
- pogumovanie kladiek,
- pruziny, prisavky, sita, spiraly, zatky...... Vdaka podpore MPSVR SR  sa nasej spolocnosti dari udrziavat zamestnanost zdravotne znevyhodnenych osob a tym prispievat k regionalnemu rozvoju a zamestnanosti. RENOP, spol. s r.o., registrovany socialny podnik Protektorovanie pneumatik studenou a teplou vulkanizaciou, predaj novych pneumatik, ponukame vyrobu produktov z technickej gumy lisovanych na etazovych lisoch, v  prevadzke technickej gumy dalej ponukame pogumovanie kovov, opravy a lepenie dopravnikovych pasov a vyrobu gumotextilnych vyrobkov. protektorovanie pneumatik, predaj pneumatik, technicka guma, autorohoza, rucky na furik, tacky, blatnik pre traktor           </v>
      </c>
      <c r="AP195" s="82"/>
    </row>
    <row r="196" ht="15.75" customHeight="1">
      <c r="A196" s="45"/>
      <c r="B196" s="70">
        <v>194.0</v>
      </c>
      <c r="C196" s="116" t="s">
        <v>2217</v>
      </c>
      <c r="D196" s="71" t="s">
        <v>181</v>
      </c>
      <c r="E196" s="43" t="str">
        <f t="shared" si="1"/>
        <v>Banskobystrický kraj, &amp;#32celé Slovensko</v>
      </c>
      <c r="F196" s="44" t="s">
        <v>2218</v>
      </c>
      <c r="G196" s="43" t="str">
        <f t="shared" si="2"/>
        <v>poľnohospodárstvo a lesníctvo, dom a záhrada, stavebníctvo, potraviny a nápoje, nábytok a bytové doplnky, pre deti, &amp;#32všetky kategórie</v>
      </c>
      <c r="H196" s="44" t="s">
        <v>53</v>
      </c>
      <c r="I196" s="45" t="str">
        <f t="shared" si="3"/>
        <v>1 - 5, &amp;#32všetky možnosti</v>
      </c>
      <c r="J196" s="46" t="str">
        <f t="shared" si="4"/>
        <v>,Register partnerov VS</v>
      </c>
      <c r="K196" s="47">
        <f t="shared" si="5"/>
        <v>723.9634349</v>
      </c>
      <c r="L196" s="45"/>
      <c r="M196" s="48" t="str">
        <f>IFERROR(__xludf.DUMMYFUNCTION("SPLIT(O196,"","")"),"Kapitulská 318/21")</f>
        <v>Kapitulská 318/21</v>
      </c>
      <c r="N196" s="48" t="str">
        <f>IFERROR(__xludf.DUMMYFUNCTION("""COMPUTED_VALUE""")," 974 01 Banská Bystrica ")</f>
        <v> 974 01 Banská Bystrica </v>
      </c>
      <c r="O196" s="49" t="s">
        <v>2219</v>
      </c>
      <c r="P196" s="50">
        <v>48.7348916</v>
      </c>
      <c r="Q196" s="109">
        <v>19.1481495</v>
      </c>
      <c r="R196" s="103" t="s">
        <v>2220</v>
      </c>
      <c r="S196" s="36" t="s">
        <v>2221</v>
      </c>
      <c r="T196" s="110" t="s">
        <v>86</v>
      </c>
      <c r="U196" s="75" t="s">
        <v>2222</v>
      </c>
      <c r="V196" s="55" t="s">
        <v>2223</v>
      </c>
      <c r="W196" s="76" t="s">
        <v>2224</v>
      </c>
      <c r="X196" s="77" t="s">
        <v>2217</v>
      </c>
      <c r="Y196" s="121" t="s">
        <v>2225</v>
      </c>
      <c r="Z196" s="119" t="s">
        <v>2226</v>
      </c>
      <c r="AA196" s="120" t="s">
        <v>64</v>
      </c>
      <c r="AB196" s="65"/>
      <c r="AC196" s="66"/>
      <c r="AD196" s="67"/>
      <c r="AE196" s="65"/>
      <c r="AF196" s="65"/>
      <c r="AG196" s="66"/>
      <c r="AH196" s="67"/>
      <c r="AI196" s="65"/>
      <c r="AJ196" s="65"/>
      <c r="AK196" s="66"/>
      <c r="AL196" s="67"/>
      <c r="AM196" s="52"/>
      <c r="AN196" s="80" t="s">
        <v>39</v>
      </c>
      <c r="AO196" s="68" t="str">
        <f t="shared" si="6"/>
        <v>GRANIA RSP, s.r.o. polnohospodarstvo a lesnictvo, dom a zahrada, stavebnictvo, potraviny a napoje, nabytok a bytove doplnky, pre deti, &amp;#32vsetky kategorie  974 01 Banska Bystrica  Nas podnik vyvija svoju cinnost v niekolkych oblastiach:
- vyroba uzitkovej a prezentacnej keramiky,
- stolarske prace a vyroba hraciek z dreva (tento projekt je v realizacnej priprave),
- pomocne lesne a rekultivacne prace,
- spracovanie medu a vyroba produktov z medu,
- stavebne prace - prerabky bytov, pomocne stavebne prace, murarske prace, vykopove prace.
 V nasej spolocnosti vyuzivame synergicky efekt prilezitosti a skusenosti v spolupraci so socialnymi zariadeniami. Podla individualnych schopnosti vytvarame pracovne miesta pre ludi z tazkych socialnych podmienok, ktori maju problem najst miesto na trhu prace. Ide o ludi bez domova, z vykonu trestu, marginalne skupiny alebo zdravotne znevyhodnenych. GRANIA RSP, s.r.o. Nachadza sa na prizemi vlavo, hned pri vstupe do budovy. keramika, med, lesne prace, stavebne prace, drevene hracky, stolarske prace, lesne prace, rekonstrukcie bytov a domov, vykopove prace           Register partnerov VS</v>
      </c>
      <c r="AP196" s="69" t="s">
        <v>41</v>
      </c>
    </row>
    <row r="197" ht="15.75" customHeight="1">
      <c r="A197" s="45"/>
      <c r="B197" s="70">
        <v>195.0</v>
      </c>
      <c r="C197" s="116" t="s">
        <v>2227</v>
      </c>
      <c r="D197" s="71" t="s">
        <v>66</v>
      </c>
      <c r="E197" s="43" t="str">
        <f t="shared" si="1"/>
        <v>Žilinský kraj, &amp;#32celé Slovensko</v>
      </c>
      <c r="F197" s="44" t="s">
        <v>2228</v>
      </c>
      <c r="G197" s="43" t="str">
        <f t="shared" si="2"/>
        <v>čistiace a upratovacie služby, dom a záhrada, stavebníctvo, kultúra a šport, odpady a recyklácia, &amp;#32všetky kategórie</v>
      </c>
      <c r="H197" s="44" t="s">
        <v>82</v>
      </c>
      <c r="I197" s="45" t="str">
        <f t="shared" si="3"/>
        <v>11 - 15, &amp;#32všetky možnosti</v>
      </c>
      <c r="J197" s="46" t="str">
        <f t="shared" si="4"/>
        <v>,Register partnerov VS</v>
      </c>
      <c r="K197" s="47">
        <f t="shared" si="5"/>
        <v>1514.09916</v>
      </c>
      <c r="L197" s="45"/>
      <c r="M197" s="48" t="str">
        <f>IFERROR(__xludf.DUMMYFUNCTION("SPLIT(O197,"","")"),"Novoť 285")</f>
        <v>Novoť 285</v>
      </c>
      <c r="N197" s="48" t="str">
        <f>IFERROR(__xludf.DUMMYFUNCTION("""COMPUTED_VALUE""")," 029 55  Novoť")</f>
        <v> 029 55  Novoť</v>
      </c>
      <c r="O197" s="49" t="s">
        <v>2229</v>
      </c>
      <c r="P197" s="50">
        <v>49.4274283</v>
      </c>
      <c r="Q197" s="109">
        <v>19.2730997</v>
      </c>
      <c r="R197" s="103" t="s">
        <v>2230</v>
      </c>
      <c r="S197" s="36" t="s">
        <v>2231</v>
      </c>
      <c r="T197" s="110" t="s">
        <v>2232</v>
      </c>
      <c r="U197" s="75" t="s">
        <v>2233</v>
      </c>
      <c r="V197" s="55" t="s">
        <v>2234</v>
      </c>
      <c r="W197" s="76" t="s">
        <v>2235</v>
      </c>
      <c r="X197" s="77" t="s">
        <v>2236</v>
      </c>
      <c r="Y197" s="121" t="s">
        <v>2237</v>
      </c>
      <c r="Z197" s="119" t="s">
        <v>2238</v>
      </c>
      <c r="AA197" s="120" t="s">
        <v>64</v>
      </c>
      <c r="AB197" s="65"/>
      <c r="AC197" s="66"/>
      <c r="AD197" s="67"/>
      <c r="AE197" s="65"/>
      <c r="AF197" s="65"/>
      <c r="AG197" s="66"/>
      <c r="AH197" s="67"/>
      <c r="AI197" s="65"/>
      <c r="AJ197" s="65"/>
      <c r="AK197" s="66"/>
      <c r="AL197" s="67"/>
      <c r="AM197" s="52"/>
      <c r="AN197" s="80" t="s">
        <v>39</v>
      </c>
      <c r="AO197" s="68" t="str">
        <f t="shared" si="6"/>
        <v>Technicke sluzby obce Novot s. r. o. cistiace a upratovacie sluzby, dom a zahrada, stavebnictvo, kultura a sport, odpady a recyklacia, &amp;#32vsetky kategorie  029 55  Novot Spolocnost Technicke sluzby obce Novot s.r.o. je verejnoprospesny podnik, ktory sa venuje cinnostiam: vykonavanie parkovych, sadovych a zahradnych uprav, vyzinanie travy, vyrez neziaducich krovin, cistenie brehov a dna riek, cistenie vodnych nadrzi, uskutocnovanie stavieb a ich zmien - realizacia chodnikov, rekonstrukcia verejneho osvetlenia, pripravne prace k realizacii stavby, diagnostikovanie kanalizacnych potrubi a cistenie kanalizacnych systemov, cistiace a upratovacie sluzby, odstranovanie nanosov pieskov a strkopieskov pri udrzbe vodnych tokov a poskytovanie sluzieb osobneho charakteru.  Technicke sluzby obce Novot s.r.o. prispieva k dosahovaniu pozitivneho socialneho vplyvu poskytovanim spolocensky prospesnej sluzby v oblasti zamestnanosti, a to zamestnavanim znevyhodnych osob. Tieto si osvojuju pracovne navyky a ziskavaju nove zrucnosti pre vykon povolania, co zvysuje sance na ich opatovne spolocenske zaclenenie beruc do uvahy ich novonadobudnutu mieru financnej autonomie a samostnatnosti, sebadovery  ci schopnosti fungovat v prostredi pracovneho kolektivu.  Technicke sluzby obce Novot s.r.o. Ponukame realizaciu parkovych , sadovych a zahradnych uprav, vyzinanie travy, vyrez neziaducich krovin, cistenie brehov a dna riek, vodnych nadrzi, uskutocnovanie stavieb a ich zmien - realizaciu chodnikov, rekonstrukciu verejneho osvetlenia, pripravne prace k realizacii stavby, diagnostikovanie kanalizacnych potrubi a cistenie kanalizacnych systemov, cistiace a upratovacie sluzby, dobyvanie dna z vodneho dna, odstranovanie nanosov pieskov a strkpieskov pri udrzbe vodnych tokov a poskytovanie sluzieb osobneho charakteru.  kosenie, hrabanie, cistenie, chodniky, kanalizacia, upratovanie           Register partnerov VS</v>
      </c>
      <c r="AP197" s="69" t="s">
        <v>41</v>
      </c>
    </row>
    <row r="198" ht="15.75" customHeight="1">
      <c r="A198" s="45"/>
      <c r="B198" s="70">
        <v>196.0</v>
      </c>
      <c r="C198" s="116" t="s">
        <v>2239</v>
      </c>
      <c r="D198" s="71" t="s">
        <v>66</v>
      </c>
      <c r="E198" s="43" t="str">
        <f t="shared" si="1"/>
        <v>Žilinský kraj, &amp;#32celé Slovensko</v>
      </c>
      <c r="F198" s="44" t="s">
        <v>2240</v>
      </c>
      <c r="G198" s="43" t="str">
        <f t="shared" si="2"/>
        <v>čistiace a upratovacie služby, dom a záhrada, stavebníctvo, odpady a recyklácia, &amp;#32všetky kategórie</v>
      </c>
      <c r="H198" s="44" t="s">
        <v>53</v>
      </c>
      <c r="I198" s="45" t="str">
        <f t="shared" si="3"/>
        <v>1 - 5, &amp;#32všetky možnosti</v>
      </c>
      <c r="J198" s="46" t="str">
        <f t="shared" si="4"/>
        <v>,Register partnerov VS</v>
      </c>
      <c r="K198" s="47">
        <f t="shared" si="5"/>
        <v>6864.356308</v>
      </c>
      <c r="L198" s="45"/>
      <c r="M198" s="48" t="str">
        <f>IFERROR(__xludf.DUMMYFUNCTION("SPLIT(O198,"","")"),"Hlavná ulica 60/37")</f>
        <v>Hlavná ulica 60/37</v>
      </c>
      <c r="N198" s="48" t="str">
        <f>IFERROR(__xludf.DUMMYFUNCTION("""COMPUTED_VALUE""")," 013 13  Kunerad")</f>
        <v> 013 13  Kunerad</v>
      </c>
      <c r="O198" s="49" t="s">
        <v>2241</v>
      </c>
      <c r="P198" s="50">
        <v>49.0988733</v>
      </c>
      <c r="Q198" s="109">
        <v>18.687475</v>
      </c>
      <c r="R198" s="103" t="s">
        <v>2242</v>
      </c>
      <c r="S198" s="36" t="s">
        <v>2243</v>
      </c>
      <c r="T198" s="110" t="s">
        <v>2244</v>
      </c>
      <c r="U198" s="75" t="s">
        <v>2245</v>
      </c>
      <c r="V198" s="55" t="s">
        <v>2246</v>
      </c>
      <c r="W198" s="76" t="s">
        <v>2247</v>
      </c>
      <c r="X198" s="77" t="s">
        <v>2239</v>
      </c>
      <c r="Y198" s="121" t="s">
        <v>2248</v>
      </c>
      <c r="Z198" s="119" t="s">
        <v>2249</v>
      </c>
      <c r="AA198" s="120" t="s">
        <v>64</v>
      </c>
      <c r="AB198" s="65"/>
      <c r="AC198" s="66"/>
      <c r="AD198" s="67"/>
      <c r="AE198" s="65"/>
      <c r="AF198" s="65"/>
      <c r="AG198" s="66"/>
      <c r="AH198" s="67"/>
      <c r="AI198" s="65"/>
      <c r="AJ198" s="65"/>
      <c r="AK198" s="66"/>
      <c r="AL198" s="67"/>
      <c r="AM198" s="52"/>
      <c r="AN198" s="80" t="s">
        <v>39</v>
      </c>
      <c r="AO198" s="68" t="str">
        <f t="shared" si="6"/>
        <v>Obecne sluzby Kunerad, s.r.o. cistiace a upratovacie sluzby, dom a zahrada, stavebnictvo, odpady a recyklacia, &amp;#32vsetky kategorie  013 13  Kunerad Nasa spolocnost sa venuje predovsetkym komunalnym a verejnoprospesnym sluzbam, najma udrzbe verejnych priestranstiev, udrzbe domacnosti a zahrad obcanov mikroregionu (kosenie, cistenie, atd.). V portfoliu nasich sluzieb su aj upratovacie a cistiace prace (hrube aj detailne), rozne montazne a pripravne stavebne prace. Spolocnost prispieva k dosahovaniu pozitivneho socialneho vplyvu poskytovanim spolocensky prospesnej sluzby v oblasti zamestnanosti, a to zamestnavanim zranitelnych a znevyhodnenych osob. Tieto si osvoja pracovne navyky a ziskaju nove zrucnosti pre vykon povolania, mozu sa lepsie spolocensky zaclenit, ziskat urcitu mieru financnej samostatnosti, sebadovery ci schopnosti fungovat v prostredi pracovneho kolektivu.  Obecne sluzby Kunerad, s.r.o. Komunalne a verejnoprospesne sluzby, najma udrzba verejnych priestranstiev, domacnosti a zahrad obcanov, mikroregionu (kosenie, cistenie, atd.). V portfoliu nasich sluzieb su aj upratovacie a cistiace prace (hrube aj detailne), rozne montazne a pripravne stavebne prace. kosenie, montazne prace, stavebne prace, upratovanie, cistenie, udrzba, sprava, starostlivost o domacnost, zahrada           Register partnerov VS</v>
      </c>
      <c r="AP198" s="82"/>
    </row>
    <row r="199" ht="15.75" customHeight="1">
      <c r="A199" s="45"/>
      <c r="B199" s="70">
        <v>197.0</v>
      </c>
      <c r="C199" s="116" t="s">
        <v>2250</v>
      </c>
      <c r="D199" s="71" t="s">
        <v>80</v>
      </c>
      <c r="E199" s="43" t="str">
        <f t="shared" si="1"/>
        <v>Trnavský kraj, &amp;#32celé Slovensko</v>
      </c>
      <c r="F199" s="44" t="s">
        <v>987</v>
      </c>
      <c r="G199" s="43" t="str">
        <f t="shared" si="2"/>
        <v>krása-zdravie-relax, &amp;#32všetky kategórie</v>
      </c>
      <c r="H199" s="44" t="s">
        <v>53</v>
      </c>
      <c r="I199" s="45" t="str">
        <f t="shared" si="3"/>
        <v>1 - 5, &amp;#32všetky možnosti</v>
      </c>
      <c r="J199" s="46" t="str">
        <f t="shared" si="4"/>
        <v>,</v>
      </c>
      <c r="K199" s="47">
        <f t="shared" si="5"/>
        <v>6015.341399</v>
      </c>
      <c r="L199" s="45"/>
      <c r="M199" s="48" t="str">
        <f>IFERROR(__xludf.DUMMYFUNCTION("SPLIT(O199,"","")"),"Brezová 29")</f>
        <v>Brezová 29</v>
      </c>
      <c r="N199" s="48" t="str">
        <f>IFERROR(__xludf.DUMMYFUNCTION("""COMPUTED_VALUE""")," 924 01  Galanta")</f>
        <v> 924 01  Galanta</v>
      </c>
      <c r="O199" s="49" t="s">
        <v>2251</v>
      </c>
      <c r="P199" s="50">
        <v>48.2021001</v>
      </c>
      <c r="Q199" s="109">
        <v>17.754823</v>
      </c>
      <c r="R199" s="66" t="s">
        <v>2252</v>
      </c>
      <c r="S199" s="36" t="s">
        <v>2253</v>
      </c>
      <c r="T199" s="110" t="s">
        <v>86</v>
      </c>
      <c r="U199" s="75" t="s">
        <v>2254</v>
      </c>
      <c r="V199" s="55" t="s">
        <v>2255</v>
      </c>
      <c r="W199" s="76" t="s">
        <v>2256</v>
      </c>
      <c r="X199" s="77" t="s">
        <v>2257</v>
      </c>
      <c r="Y199" s="121" t="s">
        <v>2252</v>
      </c>
      <c r="Z199" s="119" t="s">
        <v>2258</v>
      </c>
      <c r="AA199" s="120" t="s">
        <v>64</v>
      </c>
      <c r="AB199" s="65"/>
      <c r="AC199" s="66"/>
      <c r="AD199" s="67"/>
      <c r="AE199" s="65"/>
      <c r="AF199" s="65"/>
      <c r="AG199" s="66"/>
      <c r="AH199" s="67"/>
      <c r="AI199" s="65"/>
      <c r="AJ199" s="65"/>
      <c r="AK199" s="66"/>
      <c r="AL199" s="67"/>
      <c r="AM199" s="36"/>
      <c r="AN199" s="65"/>
      <c r="AO199" s="68" t="str">
        <f t="shared" si="6"/>
        <v>ATEKA s.r.o. krasa-zdravie-relax, &amp;#32vsetky kategorie  924 01  Galanta Sluzby starostlivosti o telo. Zamesnavanie znevyhodnenych a zranitelnych osob. BodyForm - lymfodrenazne studio Sluzby starostlivosti o telo. lymfodrenaz, masaz, zdravie           </v>
      </c>
      <c r="AP199" s="82"/>
    </row>
    <row r="200" ht="15.75" customHeight="1">
      <c r="A200" s="45"/>
      <c r="B200" s="70">
        <v>198.0</v>
      </c>
      <c r="C200" s="116" t="s">
        <v>2259</v>
      </c>
      <c r="D200" s="71" t="s">
        <v>217</v>
      </c>
      <c r="E200" s="43" t="str">
        <f t="shared" si="1"/>
        <v>Košický kraj, &amp;#32celé Slovensko</v>
      </c>
      <c r="F200" s="44" t="s">
        <v>2260</v>
      </c>
      <c r="G200" s="43" t="str">
        <f t="shared" si="2"/>
        <v>čistiace a upratovacie služby, dom a záhrada, stavebníctvo, nábytok a bytové doplnky, bižutéria a darčekové predmety, &amp;#32všetky kategórie</v>
      </c>
      <c r="H200" s="44" t="s">
        <v>82</v>
      </c>
      <c r="I200" s="45" t="str">
        <f t="shared" si="3"/>
        <v>11 - 15, &amp;#32všetky možnosti</v>
      </c>
      <c r="J200" s="46" t="str">
        <f t="shared" si="4"/>
        <v>Servisné poukážky,Register partnerov VS</v>
      </c>
      <c r="K200" s="47">
        <f t="shared" si="5"/>
        <v>36028.52582</v>
      </c>
      <c r="L200" s="45"/>
      <c r="M200" s="48" t="str">
        <f>IFERROR(__xludf.DUMMYFUNCTION("SPLIT(O200,"","")"),"Slovinky 58")</f>
        <v>Slovinky 58</v>
      </c>
      <c r="N200" s="48" t="str">
        <f>IFERROR(__xludf.DUMMYFUNCTION("""COMPUTED_VALUE""")," 053 40 Slovinky ")</f>
        <v> 053 40 Slovinky </v>
      </c>
      <c r="O200" s="49" t="s">
        <v>2261</v>
      </c>
      <c r="P200" s="50">
        <v>48.8816662</v>
      </c>
      <c r="Q200" s="109">
        <v>20.8462645</v>
      </c>
      <c r="R200" s="103" t="s">
        <v>2262</v>
      </c>
      <c r="S200" s="36" t="s">
        <v>2263</v>
      </c>
      <c r="T200" s="110" t="s">
        <v>2264</v>
      </c>
      <c r="U200" s="75" t="s">
        <v>2265</v>
      </c>
      <c r="V200" s="55" t="s">
        <v>2266</v>
      </c>
      <c r="W200" s="76" t="s">
        <v>2267</v>
      </c>
      <c r="X200" s="77" t="s">
        <v>2268</v>
      </c>
      <c r="Y200" s="121" t="s">
        <v>2269</v>
      </c>
      <c r="Z200" s="119" t="s">
        <v>2270</v>
      </c>
      <c r="AA200" s="120" t="s">
        <v>64</v>
      </c>
      <c r="AB200" s="65"/>
      <c r="AC200" s="66"/>
      <c r="AD200" s="67"/>
      <c r="AE200" s="65"/>
      <c r="AF200" s="65"/>
      <c r="AG200" s="66"/>
      <c r="AH200" s="67"/>
      <c r="AI200" s="65"/>
      <c r="AJ200" s="65"/>
      <c r="AK200" s="66"/>
      <c r="AL200" s="67"/>
      <c r="AM200" s="96" t="s">
        <v>320</v>
      </c>
      <c r="AN200" s="80" t="s">
        <v>39</v>
      </c>
      <c r="AO200" s="68" t="str">
        <f t="shared" si="6"/>
        <v>Socialny podnik obce Slovinky s. r. o. cistiace a upratovacie sluzby, dom a zahrada, stavebnictvo, nabytok a bytove doplnky, bizuteria a darcekove predmety, &amp;#32vsetky kategorie  053 40 Slovinky  Nas podnik sa zaobera najma stavebnou cinnostou (realizacia drobnych stavieb, rekonstrukcie, modernizacie, opravy a udrzba interierov a exterierov, kosenie a starostlivost o domacnost). 
Dalsou cinnostou je textilna vyroba (uzitkovy textil). Sijeme bavlnene tasky, kozmeticke tasticky, vrecuska na potraviny, kuchynske zastery, chnapky, odlicovacie tampony, postelne obliecky. Tvorime aj z odpadovych materialov, z ktorych hackujeme napriklad podsedaky. 
Podla potreby a zaujmu vieme vytvorit a usit aj ine uzitocne veci vhodne do domacnosti alebo ako darcek.  Pozitivny socialny vplyv meriame percentom zamestnanych znevyhodnenych alebo zranitelnych osob. V nasom podniku zamestnavame viac ako 90% znevyhodnenych osob. Socialny podnik obce Slovinky, s. r. o., r.s.p. Medzi sluzby, ktore poskytujeme, patria stavebne prace, a to najma zemne prace, realizacia drobnych a jednoduchych stavieb, montaz a vyroba jednoduchych kovovych a drevenych konstrukcii, vykopove prace, betonarske prace, montaz oplotenia, starostlivost o domacnost (kosenie travy, rubanie, ukladanie dreva). 
Medzi ponukane tovary patria strojovo site a rucne vyrabane textilne veci vhodne do domacnosti alebo ako darcek, napriklad bavlnena taska, kuchynska zastera, kuchynska chnapka, odlicovacie tampony, kozmeticka tasticka, vrecusko na potraviny, stahovacie vrecko, postelne obliecky, hackovane podsedaky a ine. stavebne prace, rekonstrukcie, modernizacie, montaz a demontaz debnenia, armovanie, betonarske prace, montaz oplotenia, kosenie, uprava hrobovych miest, upratovanie, starostlivost o domacnost, sitie, hackovanie, bavlnena taska, kuchynska zastera, kuchynska chnapka, odlicovacie tampony, kozmeticka tasticka, vrecusko na potraviny, stahovacie vrecko, postelne obliecky, zastera, vrecko, postelne pradlo          Servisne poukazky Register partnerov VS</v>
      </c>
      <c r="AP200" s="82"/>
    </row>
    <row r="201" ht="15.75" customHeight="1">
      <c r="A201" s="45"/>
      <c r="B201" s="70">
        <v>199.0</v>
      </c>
      <c r="C201" s="116" t="s">
        <v>2271</v>
      </c>
      <c r="D201" s="71" t="s">
        <v>181</v>
      </c>
      <c r="E201" s="43" t="str">
        <f t="shared" si="1"/>
        <v>Banskobystrický kraj, &amp;#32celé Slovensko</v>
      </c>
      <c r="F201" s="44" t="s">
        <v>243</v>
      </c>
      <c r="G201" s="43" t="str">
        <f t="shared" si="2"/>
        <v>potraviny a nápoje, &amp;#32všetky kategórie</v>
      </c>
      <c r="H201" s="44" t="s">
        <v>53</v>
      </c>
      <c r="I201" s="45" t="str">
        <f t="shared" si="3"/>
        <v>1 - 5, &amp;#32všetky možnosti</v>
      </c>
      <c r="J201" s="46" t="str">
        <f t="shared" si="4"/>
        <v>,</v>
      </c>
      <c r="K201" s="47">
        <f t="shared" si="5"/>
        <v>34479.36844</v>
      </c>
      <c r="L201" s="45"/>
      <c r="M201" s="48" t="str">
        <f>IFERROR(__xludf.DUMMYFUNCTION("SPLIT(O201,"","")"),"Andreja Kmeťa 87/4")</f>
        <v>Andreja Kmeťa 87/4</v>
      </c>
      <c r="N201" s="48" t="str">
        <f>IFERROR(__xludf.DUMMYFUNCTION("""COMPUTED_VALUE""")," 990 01 Malý Krtíš ")</f>
        <v> 990 01 Malý Krtíš </v>
      </c>
      <c r="O201" s="49" t="s">
        <v>2272</v>
      </c>
      <c r="P201" s="50">
        <v>48.189453</v>
      </c>
      <c r="Q201" s="109">
        <v>19.3490643</v>
      </c>
      <c r="R201" s="103" t="s">
        <v>2273</v>
      </c>
      <c r="S201" s="36" t="s">
        <v>2274</v>
      </c>
      <c r="T201" s="110" t="s">
        <v>2275</v>
      </c>
      <c r="U201" s="75" t="s">
        <v>2276</v>
      </c>
      <c r="V201" s="55" t="s">
        <v>2277</v>
      </c>
      <c r="W201" s="76" t="s">
        <v>2278</v>
      </c>
      <c r="X201" s="77" t="s">
        <v>2279</v>
      </c>
      <c r="Y201" s="121" t="s">
        <v>2280</v>
      </c>
      <c r="Z201" s="119" t="s">
        <v>2281</v>
      </c>
      <c r="AA201" s="120" t="s">
        <v>64</v>
      </c>
      <c r="AB201" s="36"/>
      <c r="AC201" s="36"/>
      <c r="AD201" s="67"/>
      <c r="AE201" s="65"/>
      <c r="AF201" s="65"/>
      <c r="AG201" s="66"/>
      <c r="AH201" s="67"/>
      <c r="AI201" s="65"/>
      <c r="AJ201" s="65"/>
      <c r="AK201" s="66"/>
      <c r="AL201" s="67"/>
      <c r="AM201" s="36"/>
      <c r="AN201" s="65"/>
      <c r="AO201" s="68" t="str">
        <f t="shared" si="6"/>
        <v>Bageteria Bayer s.r.o. potraviny a napoje, &amp;#32vsetky kategorie  990 01 Maly Krtis  Vyroba a predaj pokrmov rychleho obcerstvenia (bagety, tortilly, hamburgery, hot-dogy a podobne) vratane rozvozu v okrese Velky Krtis.
Ponukame cerstve, kvalitne a rychle obcerstvenie vsetkym zaujemcom o nase sluzby.
 Zamestnavame invalidnych dochodcov a znevyhodnenych uchadzacov o zamestnanie. Snazime sa byt co najviac prospesni pri poskytovani nasich sluzieb sirokej verejnosti.  Bageteria Bayer s.r.o. r.s.p. Vyroba, predaj a rozvoz rychleho obcerstvenia Bagety, tortilly, hamburgery, hot-dog, palacinky, pecena klobasa, donaska jedla           </v>
      </c>
      <c r="AP201" s="82"/>
    </row>
    <row r="202" ht="15.75" customHeight="1">
      <c r="A202" s="45"/>
      <c r="B202" s="70">
        <v>200.0</v>
      </c>
      <c r="C202" s="116" t="s">
        <v>2282</v>
      </c>
      <c r="D202" s="71" t="s">
        <v>66</v>
      </c>
      <c r="E202" s="43" t="str">
        <f t="shared" si="1"/>
        <v>Žilinský kraj, &amp;#32celé Slovensko</v>
      </c>
      <c r="F202" s="44" t="s">
        <v>2130</v>
      </c>
      <c r="G202" s="43" t="str">
        <f t="shared" si="2"/>
        <v>kovovýroba, &amp;#32všetky kategórie</v>
      </c>
      <c r="H202" s="44" t="s">
        <v>53</v>
      </c>
      <c r="I202" s="45" t="str">
        <f t="shared" si="3"/>
        <v>1 - 5, &amp;#32všetky možnosti</v>
      </c>
      <c r="J202" s="46" t="str">
        <f t="shared" si="4"/>
        <v>,Register partnerov VS</v>
      </c>
      <c r="K202" s="47">
        <f t="shared" si="5"/>
        <v>27569.69431</v>
      </c>
      <c r="L202" s="45"/>
      <c r="M202" s="49" t="str">
        <f>IFERROR(__xludf.DUMMYFUNCTION("SPLIT(O202,"","")"),"Kamenná 9")</f>
        <v>Kamenná 9</v>
      </c>
      <c r="N202" s="48" t="str">
        <f>IFERROR(__xludf.DUMMYFUNCTION("""COMPUTED_VALUE""")," 010 01 Žilina")</f>
        <v> 010 01 Žilina</v>
      </c>
      <c r="O202" s="122" t="s">
        <v>2283</v>
      </c>
      <c r="P202" s="50">
        <v>49.1993157</v>
      </c>
      <c r="Q202" s="109">
        <v>18.727462</v>
      </c>
      <c r="R202" s="123" t="s">
        <v>2284</v>
      </c>
      <c r="S202" s="66" t="s">
        <v>2285</v>
      </c>
      <c r="T202" s="124" t="s">
        <v>86</v>
      </c>
      <c r="U202" s="54" t="s">
        <v>2286</v>
      </c>
      <c r="V202" s="84" t="s">
        <v>2177</v>
      </c>
      <c r="W202" s="77" t="s">
        <v>2178</v>
      </c>
      <c r="X202" s="77" t="s">
        <v>2287</v>
      </c>
      <c r="Y202" s="121" t="s">
        <v>2288</v>
      </c>
      <c r="Z202" s="119" t="s">
        <v>2289</v>
      </c>
      <c r="AA202" s="125" t="s">
        <v>64</v>
      </c>
      <c r="AB202" s="64"/>
      <c r="AC202" s="64"/>
      <c r="AD202" s="64"/>
      <c r="AE202" s="64"/>
      <c r="AF202" s="65"/>
      <c r="AG202" s="65"/>
      <c r="AH202" s="65"/>
      <c r="AI202" s="65"/>
      <c r="AJ202" s="65"/>
      <c r="AK202" s="66"/>
      <c r="AL202" s="67"/>
      <c r="AM202" s="52"/>
      <c r="AN202" s="80" t="s">
        <v>39</v>
      </c>
      <c r="AO202" s="68" t="str">
        <f t="shared" si="6"/>
        <v>BJ Energy, s.r.o. kovovyroba, &amp;#32vsetky kategorie  010 01 Zilina Realizujeme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dlhodobo nezamestnanych, inovativnou technologiou setrime zivotne prostredie. BJ Energy s.r.o. Specialista na rezanie vodnym lucom, CNC delenie materialu, opracovanie materialu, spracovanie materialu, dopravnikove systemy, technologicke linky, a podobne sluzby. rezanie vodnym lucom, sustruzenie, frezovanie, ochranovanie ci rezanie profilov, CNC, kovovyroba, ocelove konstrukcie, dopravnikove systemy           Register partnerov VS</v>
      </c>
      <c r="AP202" s="82"/>
    </row>
    <row r="203" ht="15.75" customHeight="1">
      <c r="A203" s="45"/>
      <c r="B203" s="70">
        <v>201.0</v>
      </c>
      <c r="C203" s="116" t="s">
        <v>2290</v>
      </c>
      <c r="D203" s="71" t="s">
        <v>181</v>
      </c>
      <c r="E203" s="43" t="str">
        <f t="shared" si="1"/>
        <v>Banskobystrický kraj, &amp;#32celé Slovensko</v>
      </c>
      <c r="F203" s="44" t="s">
        <v>672</v>
      </c>
      <c r="G203" s="43" t="str">
        <f t="shared" si="2"/>
        <v>čistiace a upratovacie služby, dom a záhrada, &amp;#32všetky kategórie</v>
      </c>
      <c r="H203" s="44" t="s">
        <v>96</v>
      </c>
      <c r="I203" s="45" t="str">
        <f t="shared" si="3"/>
        <v>6 - 10, &amp;#32všetky možnosti</v>
      </c>
      <c r="J203" s="46" t="str">
        <f t="shared" si="4"/>
        <v>,Register partnerov VS</v>
      </c>
      <c r="K203" s="47">
        <f t="shared" si="5"/>
        <v>1479.555064</v>
      </c>
      <c r="L203" s="45"/>
      <c r="M203" s="49" t="str">
        <f>IFERROR(__xludf.DUMMYFUNCTION("SPLIT(O203,"","")"),"Ostrý Grúň 106")</f>
        <v>Ostrý Grúň 106</v>
      </c>
      <c r="N203" s="48" t="str">
        <f>IFERROR(__xludf.DUMMYFUNCTION("""COMPUTED_VALUE""")," 966 77 Ostrý Grúň")</f>
        <v> 966 77 Ostrý Grúň</v>
      </c>
      <c r="O203" s="122" t="s">
        <v>2291</v>
      </c>
      <c r="P203" s="50">
        <v>48.5619392</v>
      </c>
      <c r="Q203" s="109">
        <v>18.6633698</v>
      </c>
      <c r="R203" s="102" t="s">
        <v>2292</v>
      </c>
      <c r="S203" s="66" t="s">
        <v>1139</v>
      </c>
      <c r="T203" s="124" t="s">
        <v>86</v>
      </c>
      <c r="U203" s="54" t="s">
        <v>2293</v>
      </c>
      <c r="V203" s="84" t="s">
        <v>2294</v>
      </c>
      <c r="W203" s="77" t="s">
        <v>2295</v>
      </c>
      <c r="X203" s="77" t="s">
        <v>2296</v>
      </c>
      <c r="Y203" s="121" t="s">
        <v>2297</v>
      </c>
      <c r="Z203" s="119" t="s">
        <v>2298</v>
      </c>
      <c r="AA203" s="125" t="s">
        <v>64</v>
      </c>
      <c r="AB203" s="64"/>
      <c r="AC203" s="64"/>
      <c r="AD203" s="64"/>
      <c r="AE203" s="64"/>
      <c r="AF203" s="65"/>
      <c r="AG203" s="65"/>
      <c r="AH203" s="65"/>
      <c r="AI203" s="65"/>
      <c r="AJ203" s="65"/>
      <c r="AK203" s="66"/>
      <c r="AL203" s="67"/>
      <c r="AM203" s="52"/>
      <c r="AN203" s="80" t="s">
        <v>39</v>
      </c>
      <c r="AO203" s="68" t="str">
        <f t="shared" si="6"/>
        <v>Obecny podnik Ostry Grun s. r. o. cistiace a upratovacie sluzby, dom a zahrada, &amp;#32vsetky kategorie  966 77 Ostry Grun Obecny podnik Ostry Grun, s.r.o., r.s.p. je registrovanym socialnym podnikom so 100 %-nou majetkovou ucastou Obce Ostry Grun. Spolocnost bola zalozena dna 14.04.2021 za ucelom efektivneho a hospodarneho poskytovania sluzieb obci, obcanom, samospravam a organizaciam.Viac informacii na stranke www.ostrygrun.sk. Zamestnavame zdravotne znevyhodnenych obcanov. Obecny podnik Ostry Grun s.r.o., r.s.p. Poskytovane sluzby: kosenie pozemkov a zahrad; pilenie, stiepanie a ukladanie dreva; odstranovanie a odvoz naletovych drevin; vypratavanie nehnutelnosti – domov, chat a pod.; zabezpecenie vyvozu stavebneho a drobneho odpadu (okrem nebezpecnych odpadov); buracie prace drobneho rozsahu; rucna uprava pozemkov; pomocne prace rozneho druhu; ine prace podla dohody. kosenie, buranie, zemne prace, udrzba verejneho priestranstva, udrzba zelene, pilenie           Register partnerov VS</v>
      </c>
      <c r="AP203" s="82"/>
    </row>
    <row r="204" ht="15.75" customHeight="1">
      <c r="A204" s="45"/>
      <c r="B204" s="70">
        <v>202.0</v>
      </c>
      <c r="C204" s="116" t="s">
        <v>2299</v>
      </c>
      <c r="D204" s="71" t="s">
        <v>66</v>
      </c>
      <c r="E204" s="43" t="str">
        <f t="shared" si="1"/>
        <v>Žilinský kraj, &amp;#32celé Slovensko</v>
      </c>
      <c r="F204" s="44" t="s">
        <v>2300</v>
      </c>
      <c r="G204" s="43" t="str">
        <f t="shared" si="2"/>
        <v>auto-moto, elektro, poľnohospodárstvo a lesníctvo, &amp;#32všetky kategórie</v>
      </c>
      <c r="H204" s="44" t="s">
        <v>53</v>
      </c>
      <c r="I204" s="45" t="str">
        <f t="shared" si="3"/>
        <v>1 - 5, &amp;#32všetky možnosti</v>
      </c>
      <c r="J204" s="46" t="str">
        <f t="shared" si="4"/>
        <v>,</v>
      </c>
      <c r="K204" s="47">
        <f t="shared" si="5"/>
        <v>33183.23133</v>
      </c>
      <c r="L204" s="45"/>
      <c r="M204" s="49" t="str">
        <f>IFERROR(__xludf.DUMMYFUNCTION("SPLIT(O204,"","")"),"Veľká okružná 17")</f>
        <v>Veľká okružná 17</v>
      </c>
      <c r="N204" s="48" t="str">
        <f>IFERROR(__xludf.DUMMYFUNCTION("""COMPUTED_VALUE""")," 010 01 Žilina")</f>
        <v> 010 01 Žilina</v>
      </c>
      <c r="O204" s="122" t="s">
        <v>2301</v>
      </c>
      <c r="P204" s="50">
        <v>49.2232302</v>
      </c>
      <c r="Q204" s="109">
        <v>18.7344975</v>
      </c>
      <c r="R204" s="102" t="s">
        <v>2302</v>
      </c>
      <c r="S204" s="66" t="s">
        <v>2303</v>
      </c>
      <c r="T204" s="124" t="s">
        <v>2304</v>
      </c>
      <c r="U204" s="54" t="s">
        <v>2305</v>
      </c>
      <c r="V204" s="84" t="s">
        <v>2306</v>
      </c>
      <c r="W204" s="77" t="s">
        <v>2307</v>
      </c>
      <c r="X204" s="77" t="s">
        <v>2299</v>
      </c>
      <c r="Y204" s="121" t="s">
        <v>2308</v>
      </c>
      <c r="Z204" s="119" t="s">
        <v>2309</v>
      </c>
      <c r="AA204" s="125" t="s">
        <v>64</v>
      </c>
      <c r="AB204" s="64"/>
      <c r="AC204" s="64"/>
      <c r="AD204" s="64"/>
      <c r="AE204" s="64"/>
      <c r="AF204" s="65"/>
      <c r="AG204" s="65"/>
      <c r="AH204" s="65"/>
      <c r="AI204" s="65"/>
      <c r="AJ204" s="65"/>
      <c r="AK204" s="66"/>
      <c r="AL204" s="67"/>
      <c r="AM204" s="36"/>
      <c r="AN204" s="65"/>
      <c r="AO204" s="68" t="str">
        <f t="shared" si="6"/>
        <v>Sondor s.r.o. auto-moto, elektro, polnohospodarstvo a lesnictvo, &amp;#32vsetky kategorie  010 01 Zilina Vyroba nerezoveho umyvacieho/pieskovacieho boxu, chov vciel, predaj medu, predaj autosuciastok. Zamestnavanie socialne znevyhodnenych osob. Sondor s.r.o. Vyroba, predaj, cistiaci/pieskovaci box, vceli med, predaj LED ziaroviek, svietidla pre verejne osvetlenie, predaj autosuciastok. cistiaci/pieskovaci box, vceli med, LED ziarovka, svietidlo pre verejne osvetlenie, autosuciastky.           </v>
      </c>
      <c r="AP204" s="69" t="s">
        <v>41</v>
      </c>
    </row>
    <row r="205" ht="15.75" customHeight="1">
      <c r="A205" s="45"/>
      <c r="B205" s="70">
        <v>203.0</v>
      </c>
      <c r="C205" s="116" t="s">
        <v>2310</v>
      </c>
      <c r="D205" s="71" t="s">
        <v>217</v>
      </c>
      <c r="E205" s="43" t="str">
        <f t="shared" si="1"/>
        <v>Košický kraj, &amp;#32celé Slovensko</v>
      </c>
      <c r="F205" s="44" t="s">
        <v>1033</v>
      </c>
      <c r="G205" s="43" t="str">
        <f t="shared" si="2"/>
        <v>čistiace a upratovacie služby, dom a záhrada, stavebníctvo, &amp;#32všetky kategórie</v>
      </c>
      <c r="H205" s="44" t="s">
        <v>53</v>
      </c>
      <c r="I205" s="45" t="str">
        <f t="shared" si="3"/>
        <v>1 - 5, &amp;#32všetky možnosti</v>
      </c>
      <c r="J205" s="46" t="str">
        <f t="shared" si="4"/>
        <v>,Register partnerov VS</v>
      </c>
      <c r="K205" s="47">
        <f t="shared" si="5"/>
        <v>25862.66136</v>
      </c>
      <c r="L205" s="45"/>
      <c r="M205" s="49" t="str">
        <f>IFERROR(__xludf.DUMMYFUNCTION("SPLIT(O205,"","")"),"Banícke námestie 4")</f>
        <v>Banícke námestie 4</v>
      </c>
      <c r="N205" s="48" t="str">
        <f>IFERROR(__xludf.DUMMYFUNCTION("""COMPUTED_VALUE""")," 056 01 Gelnica")</f>
        <v> 056 01 Gelnica</v>
      </c>
      <c r="O205" s="122" t="s">
        <v>2311</v>
      </c>
      <c r="P205" s="50">
        <v>48.8520046</v>
      </c>
      <c r="Q205" s="109">
        <v>20.9331466</v>
      </c>
      <c r="R205" s="102" t="s">
        <v>2312</v>
      </c>
      <c r="S205" s="66" t="s">
        <v>2313</v>
      </c>
      <c r="T205" s="124" t="s">
        <v>86</v>
      </c>
      <c r="U205" s="54" t="s">
        <v>2314</v>
      </c>
      <c r="V205" s="84" t="s">
        <v>2315</v>
      </c>
      <c r="W205" s="77" t="s">
        <v>2316</v>
      </c>
      <c r="X205" s="77" t="s">
        <v>2317</v>
      </c>
      <c r="Y205" s="121" t="s">
        <v>2318</v>
      </c>
      <c r="Z205" s="119" t="s">
        <v>2319</v>
      </c>
      <c r="AA205" s="125" t="s">
        <v>64</v>
      </c>
      <c r="AB205" s="64"/>
      <c r="AC205" s="64"/>
      <c r="AD205" s="64"/>
      <c r="AE205" s="64"/>
      <c r="AF205" s="65"/>
      <c r="AG205" s="65"/>
      <c r="AH205" s="65"/>
      <c r="AI205" s="65"/>
      <c r="AJ205" s="65"/>
      <c r="AK205" s="66"/>
      <c r="AL205" s="67"/>
      <c r="AM205" s="52"/>
      <c r="AN205" s="80" t="s">
        <v>39</v>
      </c>
      <c r="AO205" s="68" t="str">
        <f t="shared" si="6"/>
        <v>Socialny podnik Mesta Gelnica, s. r. o. cistiace a upratovacie sluzby, dom a zahrada, stavebnictvo, &amp;#32vsetky kategorie  056 01 Gelnica Socialny podnik rozbieha stavebne prace, cistiace a upratovacie prace, udrzbu verejnej zelene, udrzbu zahrad fyzickych osob a dalsie podobne sluzby. Mesto Gelnica planuje zamestnat hlavne znevyhodnene alebo zranitelne osoby. Cielom je pomoc pri ich integracii na trhu prace. Socialny podnik mesta Gelnica Rozbiehame stavebne prace, cistiace a upratovacie prace, udrzbu verejnej zelene, udrzbu zahrad fyzickych osob a dalsie podobne sluzby. udrzba zelene, starostlivost, upratovanie, cistenie, stavebne prace           Register partnerov VS</v>
      </c>
      <c r="AP205" s="82"/>
    </row>
    <row r="206" ht="15.75" customHeight="1">
      <c r="A206" s="45"/>
      <c r="B206" s="70">
        <v>204.0</v>
      </c>
      <c r="C206" s="116" t="s">
        <v>2320</v>
      </c>
      <c r="D206" s="71" t="s">
        <v>181</v>
      </c>
      <c r="E206" s="43" t="str">
        <f t="shared" si="1"/>
        <v>Banskobystrický kraj, &amp;#32celé Slovensko</v>
      </c>
      <c r="F206" s="44" t="s">
        <v>2321</v>
      </c>
      <c r="G206" s="43" t="str">
        <f t="shared" si="2"/>
        <v>dom a záhrada, nábytok a bytové doplnky, bižutéria a darčekové predmety, iné (tovary a služby), &amp;#32všetky kategórie</v>
      </c>
      <c r="H206" s="44" t="s">
        <v>82</v>
      </c>
      <c r="I206" s="45" t="str">
        <f t="shared" si="3"/>
        <v>11 - 15, &amp;#32všetky možnosti</v>
      </c>
      <c r="J206" s="46" t="str">
        <f t="shared" si="4"/>
        <v>,Register partnerov VS</v>
      </c>
      <c r="K206" s="47">
        <f t="shared" si="5"/>
        <v>37458.25716</v>
      </c>
      <c r="L206" s="45"/>
      <c r="M206" s="49" t="str">
        <f>IFERROR(__xludf.DUMMYFUNCTION("SPLIT(O206,"","")"),"Majerská cesta 73")</f>
        <v>Majerská cesta 73</v>
      </c>
      <c r="N206" s="48" t="str">
        <f>IFERROR(__xludf.DUMMYFUNCTION("""COMPUTED_VALUE""")," 974 01 Banská Bystrica")</f>
        <v> 974 01 Banská Bystrica</v>
      </c>
      <c r="O206" s="122" t="s">
        <v>1985</v>
      </c>
      <c r="P206" s="50">
        <v>48.7337581</v>
      </c>
      <c r="Q206" s="109">
        <v>19.1797588</v>
      </c>
      <c r="R206" s="123" t="s">
        <v>2322</v>
      </c>
      <c r="S206" s="66" t="s">
        <v>2323</v>
      </c>
      <c r="T206" s="124" t="s">
        <v>86</v>
      </c>
      <c r="U206" s="54" t="s">
        <v>2324</v>
      </c>
      <c r="V206" s="84" t="s">
        <v>2325</v>
      </c>
      <c r="W206" s="77" t="s">
        <v>2326</v>
      </c>
      <c r="X206" s="77" t="s">
        <v>2320</v>
      </c>
      <c r="Y206" s="121" t="s">
        <v>2327</v>
      </c>
      <c r="Z206" s="119" t="s">
        <v>2328</v>
      </c>
      <c r="AA206" s="125" t="s">
        <v>64</v>
      </c>
      <c r="AB206" s="64"/>
      <c r="AC206" s="64"/>
      <c r="AD206" s="64"/>
      <c r="AE206" s="64"/>
      <c r="AF206" s="65"/>
      <c r="AG206" s="65"/>
      <c r="AH206" s="65"/>
      <c r="AI206" s="65"/>
      <c r="AJ206" s="65"/>
      <c r="AK206" s="66"/>
      <c r="AL206" s="67"/>
      <c r="AM206" s="52"/>
      <c r="AN206" s="80" t="s">
        <v>39</v>
      </c>
      <c r="AO206" s="68" t="str">
        <f t="shared" si="6"/>
        <v>DEKOR GARDEN, socialne druzstvo, r.s.p. dom a zahrada, nabytok a bytove doplnky, bizuteria a darcekove predmety, ine (tovary a sluzby), &amp;#32vsetky kategorie  974 01 Banska Bystrica DEKOR GARDEN, socialne druzstvo, r.s.p. je spolocnost zaoberajuca sa predajom zahradkarskych potrieb, dekoracneho materialu, umelych kvetov a potrieb pre kvetinarov, vinarskych a chovatelskych potrieb. Prevadzkujeme velkoobchodnu aj maloobchodnu predajnu v Banskej Bystrici. Ponukame kapacity pre vyrobu aranzmanov z umelych alebo susenych kvetov na rozne prilezitosti a vyrobu dekoracnych bytovych doplnkov. Ponukame aj kapacity na vazenie a balenie semien a polnohospodarskych potrieb do spotrebitelskych baleni. Pozitivny socialny vplyv Druzstvo dosahuje percentom zamestnanych znevyhodnenych a/alebo zranitelnych osob z celkoveho poctu zamestnancov. DEKOR GARDEN, socialne druzstvo, r.s.p. Zahradkarske potreby, dekoracny material, umele kvety a potreby pre kvetinarov, vinarske a chovatelske potreby. Vyroba aranzmanov z umelych alebo susenych kvetov na rozne prilezitosti a vyrobu dekoracnych bytovych doplnkov. Prevadzkujeme velkoobchodnu aj maloobchodnu predajnu v Banskej Bystrici. Ponukame aj kapacity na vazenie a balenie semien a polnohospodarskych potrieb do spotrebitelskych baleni. zahradkarstvo, chovatelske potreby, dekoracny material, umele kvety, aranzmany, potreby pre kvetinarov, balenie, substraty, kora, hnojiva, vence, keramika, kvetinace, obaly na kvety, kosiky, sviecky, semena, cibuloviny, zemiaky, zahradne naradie, vinarske potreby, sudky, balenie, baliace prace           Register partnerov VS</v>
      </c>
      <c r="AP206" s="69" t="s">
        <v>41</v>
      </c>
    </row>
    <row r="207" ht="15.75" customHeight="1">
      <c r="A207" s="45"/>
      <c r="B207" s="70">
        <v>205.0</v>
      </c>
      <c r="C207" s="116" t="s">
        <v>2329</v>
      </c>
      <c r="D207" s="71" t="s">
        <v>66</v>
      </c>
      <c r="E207" s="43" t="str">
        <f t="shared" si="1"/>
        <v>Žilinský kraj, &amp;#32celé Slovensko</v>
      </c>
      <c r="F207" s="44" t="s">
        <v>2330</v>
      </c>
      <c r="G207" s="43" t="str">
        <f t="shared" si="2"/>
        <v>reklama, obaly, nábytok a bytové doplnky, bižutéria a darčekové predmety, pre deti, &amp;#32všetky kategórie</v>
      </c>
      <c r="H207" s="44" t="s">
        <v>53</v>
      </c>
      <c r="I207" s="45" t="str">
        <f t="shared" si="3"/>
        <v>1 - 5, &amp;#32všetky možnosti</v>
      </c>
      <c r="J207" s="46" t="str">
        <f t="shared" si="4"/>
        <v>,</v>
      </c>
      <c r="K207" s="47">
        <f t="shared" si="5"/>
        <v>23642.05423</v>
      </c>
      <c r="L207" s="45"/>
      <c r="M207" s="49" t="str">
        <f>IFERROR(__xludf.DUMMYFUNCTION("SPLIT(O207,"","")"),"Hradná 528/13")</f>
        <v>Hradná 528/13</v>
      </c>
      <c r="N207" s="48" t="str">
        <f>IFERROR(__xludf.DUMMYFUNCTION("""COMPUTED_VALUE""")," 033 01 Liptovský Hrádok")</f>
        <v> 033 01 Liptovský Hrádok</v>
      </c>
      <c r="O207" s="122" t="s">
        <v>2331</v>
      </c>
      <c r="P207" s="50">
        <v>49.039858</v>
      </c>
      <c r="Q207" s="109">
        <v>19.7274875</v>
      </c>
      <c r="R207" s="123" t="s">
        <v>2332</v>
      </c>
      <c r="S207" s="66" t="s">
        <v>1423</v>
      </c>
      <c r="T207" s="124" t="s">
        <v>2333</v>
      </c>
      <c r="U207" s="54" t="s">
        <v>2334</v>
      </c>
      <c r="V207" s="84" t="s">
        <v>2335</v>
      </c>
      <c r="W207" s="77" t="s">
        <v>2336</v>
      </c>
      <c r="X207" s="77" t="s">
        <v>2337</v>
      </c>
      <c r="Y207" s="121" t="s">
        <v>2338</v>
      </c>
      <c r="Z207" s="119" t="s">
        <v>2339</v>
      </c>
      <c r="AA207" s="125" t="s">
        <v>64</v>
      </c>
      <c r="AB207" s="64"/>
      <c r="AC207" s="64"/>
      <c r="AD207" s="64"/>
      <c r="AE207" s="64"/>
      <c r="AF207" s="65"/>
      <c r="AG207" s="65"/>
      <c r="AH207" s="65"/>
      <c r="AI207" s="65"/>
      <c r="AJ207" s="65"/>
      <c r="AK207" s="66"/>
      <c r="AL207" s="67"/>
      <c r="AM207" s="36"/>
      <c r="AN207" s="65"/>
      <c r="AO207" s="68" t="str">
        <f t="shared" si="6"/>
        <v>APZ Liptovsky Hradok, n. o. reklama, obaly, nabytok a bytove doplnky, bizuteria a darcekove predmety, pre deti, &amp;#32vsetky kategorie  033 01 Liptovsky Hradok Zamestnavanie zranitelnych a znevyhodnenych osob v krajcirskej dielni, ktora sa venuje najma textilnej vyrobe, vyrobe suvenirov, darcekov a reklamnych predmetov. Realizujeme sluzby na podporu regionalneho rozvoja a zamestnanosti. Prvosienka Krajcirska dielna - textilna vyroba, vyroba suvenirov, darcekov a reklamnych predmetov, textilnych hraciek a babik, rozne obaly a vrecka, tasky, a pod. textilne hracky, babiky, patchworkove deky, darceky, vrecka, obaly, bytovy textil, reklamne predmety, babiky, zaclony, zavesy, obrusy, edukacne hracky, patchwork kurzy, vianocne dekoracie, svadobne dekoracie, anjeliky, reklamne predmety           </v>
      </c>
      <c r="AP207" s="69" t="s">
        <v>41</v>
      </c>
    </row>
    <row r="208" ht="15.75" customHeight="1">
      <c r="A208" s="45"/>
      <c r="B208" s="70">
        <v>206.0</v>
      </c>
      <c r="C208" s="116" t="s">
        <v>2340</v>
      </c>
      <c r="D208" s="71" t="s">
        <v>66</v>
      </c>
      <c r="E208" s="43" t="str">
        <f t="shared" si="1"/>
        <v>Žilinský kraj, &amp;#32celé Slovensko</v>
      </c>
      <c r="F208" s="44" t="s">
        <v>2341</v>
      </c>
      <c r="G208" s="43" t="str">
        <f t="shared" si="2"/>
        <v>čistiace a upratovacie služby, stavebníctvo, dom a záhrada, iné (tovary a služby), &amp;#32všetky kategórie</v>
      </c>
      <c r="H208" s="44" t="s">
        <v>53</v>
      </c>
      <c r="I208" s="45" t="str">
        <f t="shared" si="3"/>
        <v>1 - 5, &amp;#32všetky možnosti</v>
      </c>
      <c r="J208" s="46" t="str">
        <f t="shared" si="4"/>
        <v>,</v>
      </c>
      <c r="K208" s="47">
        <f t="shared" si="5"/>
        <v>31862.33692</v>
      </c>
      <c r="L208" s="45"/>
      <c r="M208" s="49" t="str">
        <f>IFERROR(__xludf.DUMMYFUNCTION("SPLIT(O208,"","")"),"Sad SNP 669/6")</f>
        <v>Sad SNP 669/6</v>
      </c>
      <c r="N208" s="48" t="str">
        <f>IFERROR(__xludf.DUMMYFUNCTION("""COMPUTED_VALUE""")," 010 01 Žilina")</f>
        <v> 010 01 Žilina</v>
      </c>
      <c r="O208" s="122" t="s">
        <v>2342</v>
      </c>
      <c r="P208" s="50">
        <v>49.2266278</v>
      </c>
      <c r="Q208" s="109">
        <v>18.7408163</v>
      </c>
      <c r="R208" s="123" t="s">
        <v>2343</v>
      </c>
      <c r="S208" s="66" t="s">
        <v>2344</v>
      </c>
      <c r="T208" s="124" t="s">
        <v>86</v>
      </c>
      <c r="U208" s="54" t="s">
        <v>2345</v>
      </c>
      <c r="V208" s="84" t="s">
        <v>2346</v>
      </c>
      <c r="W208" s="77" t="s">
        <v>2347</v>
      </c>
      <c r="X208" s="77" t="s">
        <v>2340</v>
      </c>
      <c r="Y208" s="121" t="s">
        <v>2348</v>
      </c>
      <c r="Z208" s="119" t="s">
        <v>2349</v>
      </c>
      <c r="AA208" s="125" t="s">
        <v>64</v>
      </c>
      <c r="AB208" s="64"/>
      <c r="AC208" s="64"/>
      <c r="AD208" s="64"/>
      <c r="AE208" s="64"/>
      <c r="AF208" s="65"/>
      <c r="AG208" s="65"/>
      <c r="AH208" s="65"/>
      <c r="AI208" s="65"/>
      <c r="AJ208" s="65"/>
      <c r="AK208" s="66"/>
      <c r="AL208" s="67"/>
      <c r="AM208" s="36"/>
      <c r="AN208" s="65"/>
      <c r="AO208" s="68" t="str">
        <f t="shared" si="6"/>
        <v>Slovensky ustav vystavby a rozvoja byvania, s. r. o. cistiace a upratovacie sluzby, stavebnictvo, dom a zahrada, ine (tovary a sluzby), &amp;#32vsetky kategorie  010 01 Zilina Uskutocnovanie stavieb a ich zmien, pripravne prace k realizacii stavby, dokoncovacie stavebne prace pri realizacii exterierov a interierov, cistiace a upratovacie sluzby, poskytovanie sluzieb v zahradnictve, vyroba nekovovych mineralnych vyrobkov a vyrobkov z betonu, sadry a cementu, opracovanie drevnej hmoty a vyroba komponentov z dreva, vyroba jednoduchych vyrobkov z dreva, korku, slamy, prutia a ich uprava, oprava a udrzba. Podmienku pozitivneho socialneho vplyvu spolocnost dosahuje jednak zamestnavanim znevyhodnenych a/alebo zranitelnych osob a zaroven svojimi cinnostami prispievajucimi k rozvoju regionu. Slovensky ustav vystavby a rozvoja byvania, s. r. o. Uskutocnovanie stavieb a ich zmien, pripravne prace k realizacii stavby, dokoncovacie stavebne prace pri realizacii interierov a exterierov, upratovacie sluzby, zahradnicke sluzby. upratovanie, zemne prace, stavebne prace, dokoncovacie stavebne prace, pripravne stavebne prace, opracovanie dreva, buranie, zehlenie, umyvanie okien, kosenie, opilovanie, pilenie, drevovyroba, vyrobky z dreva, slamy, prutia.           </v>
      </c>
      <c r="AP208" s="82"/>
    </row>
    <row r="209" ht="15.75" customHeight="1">
      <c r="A209" s="45"/>
      <c r="B209" s="70">
        <v>207.0</v>
      </c>
      <c r="C209" s="116" t="s">
        <v>2350</v>
      </c>
      <c r="D209" s="71" t="s">
        <v>181</v>
      </c>
      <c r="E209" s="43" t="str">
        <f t="shared" si="1"/>
        <v>Banskobystrický kraj, &amp;#32celé Slovensko</v>
      </c>
      <c r="F209" s="44" t="s">
        <v>1471</v>
      </c>
      <c r="G209" s="43" t="str">
        <f t="shared" si="2"/>
        <v>stavebníctvo, dom a záhrada, &amp;#32všetky kategórie</v>
      </c>
      <c r="H209" s="44" t="s">
        <v>170</v>
      </c>
      <c r="I209" s="45" t="str">
        <f t="shared" si="3"/>
        <v>21 a viac, &amp;#32všetky možnosti</v>
      </c>
      <c r="J209" s="46" t="str">
        <f t="shared" si="4"/>
        <v>,Register partnerov VS</v>
      </c>
      <c r="K209" s="47">
        <f t="shared" si="5"/>
        <v>27357.51289</v>
      </c>
      <c r="L209" s="45"/>
      <c r="M209" s="49" t="str">
        <f>IFERROR(__xludf.DUMMYFUNCTION("SPLIT(O209,"","")"),"Nám. SNP 14585/1A")</f>
        <v>Nám. SNP 14585/1A</v>
      </c>
      <c r="N209" s="48" t="str">
        <f>IFERROR(__xludf.DUMMYFUNCTION("""COMPUTED_VALUE""")," 974 01 Banská Bystrica")</f>
        <v> 974 01 Banská Bystrica</v>
      </c>
      <c r="O209" s="122" t="s">
        <v>2351</v>
      </c>
      <c r="P209" s="50">
        <v>48.7351436</v>
      </c>
      <c r="Q209" s="109">
        <v>19.145255</v>
      </c>
      <c r="R209" s="123" t="s">
        <v>2352</v>
      </c>
      <c r="S209" s="66" t="s">
        <v>2353</v>
      </c>
      <c r="T209" s="124" t="s">
        <v>86</v>
      </c>
      <c r="U209" s="54" t="s">
        <v>2354</v>
      </c>
      <c r="V209" s="84" t="s">
        <v>2355</v>
      </c>
      <c r="W209" s="77" t="s">
        <v>2356</v>
      </c>
      <c r="X209" s="77" t="s">
        <v>2350</v>
      </c>
      <c r="Y209" s="121" t="s">
        <v>2357</v>
      </c>
      <c r="Z209" s="119" t="s">
        <v>2358</v>
      </c>
      <c r="AA209" s="125" t="s">
        <v>64</v>
      </c>
      <c r="AB209" s="64"/>
      <c r="AC209" s="64"/>
      <c r="AD209" s="64"/>
      <c r="AE209" s="64"/>
      <c r="AF209" s="65"/>
      <c r="AG209" s="65"/>
      <c r="AH209" s="65"/>
      <c r="AI209" s="65"/>
      <c r="AJ209" s="65"/>
      <c r="AK209" s="66"/>
      <c r="AL209" s="67"/>
      <c r="AM209" s="52"/>
      <c r="AN209" s="80" t="s">
        <v>39</v>
      </c>
      <c r="AO209" s="68" t="str">
        <f t="shared" si="6"/>
        <v>Rozvojove sluzby BBSK, s.r.o. registrovany socialny podnik stavebnictvo, dom a zahrada, &amp;#32vsetky kategorie  974 01 Banska Bystrica Zriadovatelom nasej spolocnosti je Banskobystricky samospravny kraj, preto svoju hlavnu cinnost smerujeme prave na uzemie Banskobystrickeho kraja. Zameriavame sa predovsetkym na stavebne prace na objektoch v sprave alebo v majetku BBSK, ale aj na ine stavebne cinnosti podla potrieb ci uz pravnickych alebo fyzickych osob.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Zamestnavanie marginalizovanych obyvatelov. Rozvojove sluzby BBSK, s.r.o. registrovany socialny podnik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stavebny socialny podnik           Register partnerov VS</v>
      </c>
      <c r="AP209" s="69" t="s">
        <v>41</v>
      </c>
    </row>
    <row r="210" ht="15.75" customHeight="1">
      <c r="A210" s="45"/>
      <c r="B210" s="70">
        <v>208.0</v>
      </c>
      <c r="C210" s="116" t="s">
        <v>2359</v>
      </c>
      <c r="D210" s="71" t="s">
        <v>134</v>
      </c>
      <c r="E210" s="43" t="str">
        <f t="shared" si="1"/>
        <v>Trenčiansky kraj, &amp;#32celé Slovensko</v>
      </c>
      <c r="F210" s="44" t="s">
        <v>2240</v>
      </c>
      <c r="G210" s="43" t="str">
        <f t="shared" si="2"/>
        <v>čistiace a upratovacie služby, dom a záhrada, stavebníctvo, odpady a recyklácia, &amp;#32všetky kategórie</v>
      </c>
      <c r="H210" s="44" t="s">
        <v>96</v>
      </c>
      <c r="I210" s="45" t="str">
        <f t="shared" si="3"/>
        <v>6 - 10, &amp;#32všetky možnosti</v>
      </c>
      <c r="J210" s="46" t="str">
        <f t="shared" si="4"/>
        <v>,</v>
      </c>
      <c r="K210" s="47">
        <f t="shared" si="5"/>
        <v>28479.83967</v>
      </c>
      <c r="L210" s="45"/>
      <c r="M210" s="49" t="str">
        <f>IFERROR(__xludf.DUMMYFUNCTION("SPLIT(O210,"","")"),"Moravské Lieskové 657")</f>
        <v>Moravské Lieskové 657</v>
      </c>
      <c r="N210" s="48" t="str">
        <f>IFERROR(__xludf.DUMMYFUNCTION("""COMPUTED_VALUE""")," 916 42 Moravské Lieskové")</f>
        <v> 916 42 Moravské Lieskové</v>
      </c>
      <c r="O210" s="122" t="s">
        <v>2360</v>
      </c>
      <c r="P210" s="50">
        <v>48.818283</v>
      </c>
      <c r="Q210" s="109">
        <v>17.7930406</v>
      </c>
      <c r="R210" s="123" t="s">
        <v>2361</v>
      </c>
      <c r="S210" s="66" t="s">
        <v>2362</v>
      </c>
      <c r="T210" s="124" t="s">
        <v>86</v>
      </c>
      <c r="U210" s="54" t="s">
        <v>2363</v>
      </c>
      <c r="V210" s="84" t="s">
        <v>2364</v>
      </c>
      <c r="W210" s="77" t="s">
        <v>2365</v>
      </c>
      <c r="X210" s="77" t="s">
        <v>2366</v>
      </c>
      <c r="Y210" s="121" t="s">
        <v>2367</v>
      </c>
      <c r="Z210" s="119" t="s">
        <v>2368</v>
      </c>
      <c r="AA210" s="125" t="s">
        <v>64</v>
      </c>
      <c r="AB210" s="64"/>
      <c r="AC210" s="64"/>
      <c r="AD210" s="64"/>
      <c r="AE210" s="64"/>
      <c r="AF210" s="65"/>
      <c r="AG210" s="65"/>
      <c r="AH210" s="65"/>
      <c r="AI210" s="65"/>
      <c r="AJ210" s="65"/>
      <c r="AK210" s="66"/>
      <c r="AL210" s="67"/>
      <c r="AM210" s="36"/>
      <c r="AN210" s="65"/>
      <c r="AO210" s="68" t="str">
        <f t="shared" si="6"/>
        <v>PSML s. r. o. cistiace a upratovacie sluzby, dom a zahrada, stavebnictvo, odpady a recyklacia, &amp;#32vsetky kategorie  916 42 Moravske Lieskove Drobne stavebne prace, udrzba zelene, pomocne prace, prevadzka verejnych vodovodov a verejnej kanalizacie, vykonavanie verejnoprospesnych sluzieb pre obec a obcanov udrzba miestnych komunikacii, zvoz a triedenie odpadov, sluzby pre obcanov, prevadzka cistiarne odpadovych vod, prevadzka verejneho vodovodu, cistenie verejnych priestranstiev. Likvidujeme cierne skladky s dorazom na skladky v ochrannych pasmach CHKO Biele Karpaty a zabezpecujeme socialnu pomoc osobam v invalidnom alebo starobnom dochodku a socialne znevyhodnenym osobam. PSML s.r.o. Drobne stavebne prace, udrzba zelene, pomocne prace, prevadzka verejnych vodovodov a verejnej kanalizacie, vykonavanie verejnoprospesnych sluzieb pre obec a obcanov - udrzba miestnych komunikacii, zvoz a triedenie odpadov, sluzby pre obcanov, prevadzka cistiarne odpadovych vod, prevadzka verejneho vodovodu, cistenie verejnych priestranstiev, likvidacia ciernych skladok s dorazom na skladky v ochrannych pasmach CHKO Biele Karpaty a zabezpecenie socialnej pomoci osobam v invalidnom alebo starobnom dochodku a socialne znevyhodnenym osobam. vykonavanie verejnoprospesnych sluzieb pre obec a obcanov udrzba miestnych komunikacii, zvoz a triedenie odpadov, sluzby pre obcanov, prevadzka cistiarne odpadovych vod, prevadzka verejneho vodovodu, cistenie verejnych priestranstiev, likvidacia ciernych skladok s dorazom na skladky v ochrannych pasmach CHKO Biele Karpaty, socialna pomoc osobam v invalidnom alebo starobnom dochodku a socialne znevyhodnenym osobam           </v>
      </c>
      <c r="AP210" s="82"/>
    </row>
    <row r="211" ht="15.75" customHeight="1">
      <c r="A211" s="45"/>
      <c r="B211" s="70">
        <v>209.0</v>
      </c>
      <c r="C211" s="116" t="s">
        <v>2369</v>
      </c>
      <c r="D211" s="71" t="s">
        <v>134</v>
      </c>
      <c r="E211" s="43" t="str">
        <f t="shared" si="1"/>
        <v>Trenčiansky kraj, &amp;#32celé Slovensko</v>
      </c>
      <c r="F211" s="44" t="s">
        <v>2370</v>
      </c>
      <c r="G211" s="43" t="str">
        <f t="shared" si="2"/>
        <v>čistiace a upratovacie služby, ubytovacie a stravovacie služby, vzdelávanie, pre deti, &amp;#32všetky kategórie</v>
      </c>
      <c r="H211" s="44" t="s">
        <v>53</v>
      </c>
      <c r="I211" s="45" t="str">
        <f t="shared" si="3"/>
        <v>1 - 5, &amp;#32všetky možnosti</v>
      </c>
      <c r="J211" s="46" t="str">
        <f t="shared" si="4"/>
        <v>,</v>
      </c>
      <c r="K211" s="47">
        <f t="shared" si="5"/>
        <v>1651.026071</v>
      </c>
      <c r="L211" s="45"/>
      <c r="M211" s="49" t="str">
        <f>IFERROR(__xludf.DUMMYFUNCTION("SPLIT(O211,"","")"),"Chrenovec-Brusno 398")</f>
        <v>Chrenovec-Brusno 398</v>
      </c>
      <c r="N211" s="48" t="str">
        <f>IFERROR(__xludf.DUMMYFUNCTION("""COMPUTED_VALUE""")," 972 32 Chrenovec-Brusno")</f>
        <v> 972 32 Chrenovec-Brusno</v>
      </c>
      <c r="O211" s="122" t="s">
        <v>2371</v>
      </c>
      <c r="P211" s="50">
        <v>48.7760647</v>
      </c>
      <c r="Q211" s="109">
        <v>18.7258299</v>
      </c>
      <c r="R211" s="123" t="s">
        <v>2372</v>
      </c>
      <c r="S211" s="66" t="s">
        <v>2373</v>
      </c>
      <c r="T211" s="124" t="s">
        <v>86</v>
      </c>
      <c r="U211" s="54" t="s">
        <v>2374</v>
      </c>
      <c r="V211" s="84" t="s">
        <v>2375</v>
      </c>
      <c r="W211" s="77" t="s">
        <v>2376</v>
      </c>
      <c r="X211" s="77" t="s">
        <v>2377</v>
      </c>
      <c r="Y211" s="121" t="s">
        <v>2378</v>
      </c>
      <c r="Z211" s="119" t="s">
        <v>2379</v>
      </c>
      <c r="AA211" s="125" t="s">
        <v>64</v>
      </c>
      <c r="AB211" s="64"/>
      <c r="AC211" s="64"/>
      <c r="AD211" s="64"/>
      <c r="AE211" s="64"/>
      <c r="AF211" s="65"/>
      <c r="AG211" s="65"/>
      <c r="AH211" s="65"/>
      <c r="AI211" s="65"/>
      <c r="AJ211" s="65"/>
      <c r="AK211" s="66"/>
      <c r="AL211" s="67"/>
      <c r="AM211" s="36"/>
      <c r="AN211" s="65"/>
      <c r="AO211" s="68" t="str">
        <f t="shared" si="6"/>
        <v>Atasof s. r. o. cistiace a upratovacie sluzby, ubytovacie a stravovacie sluzby, vzdelavanie, pre deti, &amp;#32vsetky kategorie  972 32 Chrenovec-Brusno Ponukame mimoskolske vzdelavanie a stravovacie a upratovacie sluzby pre detske jasle a materske skoly. Dalej ponukame udrzbarske a upratovacie sluzby pre firmy a pod. Zamestnavame znevyhodnenych ludi. Atasof s.r.o. Mimoskolske vzdelavanie a stravovacie a upratovacie sluzby pre detske jasle a materske skoly. Ponukame tiez udrzbarske a upratovacie sluzby pre firmy a pod. Vyvarovna, jedalen, upratovanie, zehlenie, umyvanie, kosenie, pomocne udrzbarske prace           </v>
      </c>
      <c r="AP211" s="82"/>
    </row>
    <row r="212" ht="15.75" customHeight="1">
      <c r="A212" s="45"/>
      <c r="B212" s="70">
        <v>210.0</v>
      </c>
      <c r="C212" s="116" t="s">
        <v>2380</v>
      </c>
      <c r="D212" s="71" t="s">
        <v>80</v>
      </c>
      <c r="E212" s="43" t="str">
        <f t="shared" si="1"/>
        <v>Trnavský kraj, &amp;#32celé Slovensko</v>
      </c>
      <c r="F212" s="44" t="s">
        <v>2381</v>
      </c>
      <c r="G212" s="43" t="str">
        <f t="shared" si="2"/>
        <v>ubytovacie a stravovacie služby, vzdelávanie, iné (tovary a služby), &amp;#32všetky kategórie</v>
      </c>
      <c r="H212" s="44" t="s">
        <v>53</v>
      </c>
      <c r="I212" s="45" t="str">
        <f t="shared" si="3"/>
        <v>1 - 5, &amp;#32všetky možnosti</v>
      </c>
      <c r="J212" s="46" t="str">
        <f t="shared" si="4"/>
        <v>,</v>
      </c>
      <c r="K212" s="47">
        <f t="shared" si="5"/>
        <v>27015.82753</v>
      </c>
      <c r="L212" s="45"/>
      <c r="M212" s="49" t="str">
        <f>IFERROR(__xludf.DUMMYFUNCTION("SPLIT(O212,"","")"),"Nám. L. van Beethovena 555/10")</f>
        <v>Nám. L. van Beethovena 555/10</v>
      </c>
      <c r="N212" s="48" t="str">
        <f>IFERROR(__xludf.DUMMYFUNCTION("""COMPUTED_VALUE""")," 919 65 Dolná Krupá")</f>
        <v> 919 65 Dolná Krupá</v>
      </c>
      <c r="O212" s="122" t="s">
        <v>2382</v>
      </c>
      <c r="P212" s="50">
        <v>48.4827836</v>
      </c>
      <c r="Q212" s="109">
        <v>17.5497174</v>
      </c>
      <c r="R212" s="102" t="s">
        <v>2383</v>
      </c>
      <c r="S212" s="66" t="s">
        <v>2384</v>
      </c>
      <c r="T212" s="124" t="s">
        <v>2385</v>
      </c>
      <c r="U212" s="54" t="s">
        <v>2386</v>
      </c>
      <c r="V212" s="84" t="s">
        <v>2387</v>
      </c>
      <c r="W212" s="77" t="s">
        <v>2388</v>
      </c>
      <c r="X212" s="77" t="s">
        <v>2380</v>
      </c>
      <c r="Y212" s="121" t="s">
        <v>2389</v>
      </c>
      <c r="Z212" s="119" t="s">
        <v>2390</v>
      </c>
      <c r="AA212" s="125" t="s">
        <v>64</v>
      </c>
      <c r="AB212" s="64"/>
      <c r="AC212" s="64"/>
      <c r="AD212" s="64"/>
      <c r="AE212" s="64"/>
      <c r="AF212" s="65"/>
      <c r="AG212" s="65"/>
      <c r="AH212" s="65"/>
      <c r="AI212" s="65"/>
      <c r="AJ212" s="65"/>
      <c r="AK212" s="66"/>
      <c r="AL212" s="67"/>
      <c r="AM212" s="36"/>
      <c r="AN212" s="65"/>
      <c r="AO212" s="68" t="str">
        <f t="shared" si="6"/>
        <v>Obcianske zdruzenie sv. Rafaela ubytovacie a stravovacie sluzby, vzdelavanie, ine (tovary a sluzby), &amp;#32vsetky kategorie  919 65 Dolna Krupa Sme mlady registrovany socialny podnik, ktoreho snahou je zranitelnym a znevyhodnenym ludom poskytovat potrebnu pomoc a podporu.
 Predmetom nasej cinnosti je prenajom ubytovacich priestorov v Dolnej Krupej (pri Trnave), ktore su velmi vhodne
 na vzdelavacie aktivity, skolenia, teambuildingy, pracovne mitingy, sportove sustredenia, rodinne dovolenky, sukromne oslavy a rozne ine akcie, duchovne obnovy, duchovne cvicenia, detske tabory, skolske vylety a pod. V budove ubytovavame individualnych zaujemcov i skupiny hosti a prenajimame aj ine priestory, napr. ucebne. 
 Nasimi zakaznikmi su vsetci, ktori hladaju vyssie ponukane sluzby. Nasim poslanim je pomahat zranitelnym a znevyhodnenym ludom v ich usili zit svoj zivot dostojne, zodpovedne a v ramci ich moznosti i samostatne. Obcianske zdruzenie sv. Rafaela Predmetom nasej cinnosti je prenajom ubytovacich priestorov a ucebni. ubytovacie priestory, vzdelavacie aktivity, skolenia, teambuildingy, pracovne meetingy, sportove sustredenia, rodinne dovolenky, sukromne oslavy a rozne ine akcie, duchovne obnovy, duchovne cvicenia, detske tabory, skolske vylety, prenajom ucebni.           </v>
      </c>
      <c r="AP212" s="82"/>
    </row>
    <row r="213" ht="15.75" customHeight="1">
      <c r="A213" s="45"/>
      <c r="B213" s="70">
        <v>211.0</v>
      </c>
      <c r="C213" s="116" t="s">
        <v>2391</v>
      </c>
      <c r="D213" s="71" t="s">
        <v>228</v>
      </c>
      <c r="E213" s="43" t="str">
        <f t="shared" si="1"/>
        <v>Nitriansky kraj, &amp;#32celé Slovensko</v>
      </c>
      <c r="F213" s="44" t="s">
        <v>987</v>
      </c>
      <c r="G213" s="43" t="str">
        <f t="shared" si="2"/>
        <v>krása-zdravie-relax, &amp;#32všetky kategórie</v>
      </c>
      <c r="H213" s="44" t="s">
        <v>53</v>
      </c>
      <c r="I213" s="45" t="str">
        <f t="shared" si="3"/>
        <v>1 - 5, &amp;#32všetky možnosti</v>
      </c>
      <c r="J213" s="46" t="str">
        <f t="shared" si="4"/>
        <v>,</v>
      </c>
      <c r="K213" s="47">
        <f t="shared" si="5"/>
        <v>4509.694444</v>
      </c>
      <c r="L213" s="45"/>
      <c r="M213" s="49" t="str">
        <f>IFERROR(__xludf.DUMMYFUNCTION("SPLIT(O213,"","")"),"Nádvorie Európy 3668/54")</f>
        <v>Nádvorie Európy 3668/54</v>
      </c>
      <c r="N213" s="48" t="str">
        <f>IFERROR(__xludf.DUMMYFUNCTION("""COMPUTED_VALUE""")," 945 01 Komárno")</f>
        <v> 945 01 Komárno</v>
      </c>
      <c r="O213" s="122" t="s">
        <v>2392</v>
      </c>
      <c r="P213" s="50">
        <v>47.7583845</v>
      </c>
      <c r="Q213" s="109">
        <v>18.1293082</v>
      </c>
      <c r="R213" s="102" t="s">
        <v>2393</v>
      </c>
      <c r="S213" s="66" t="s">
        <v>2394</v>
      </c>
      <c r="T213" s="124" t="s">
        <v>2395</v>
      </c>
      <c r="U213" s="54" t="s">
        <v>2396</v>
      </c>
      <c r="V213" s="84" t="s">
        <v>2397</v>
      </c>
      <c r="W213" s="77" t="s">
        <v>2398</v>
      </c>
      <c r="X213" s="77" t="s">
        <v>2399</v>
      </c>
      <c r="Y213" s="121" t="s">
        <v>2400</v>
      </c>
      <c r="Z213" s="119" t="s">
        <v>2401</v>
      </c>
      <c r="AA213" s="125" t="s">
        <v>64</v>
      </c>
      <c r="AB213" s="64"/>
      <c r="AC213" s="64"/>
      <c r="AD213" s="64"/>
      <c r="AE213" s="64"/>
      <c r="AF213" s="65"/>
      <c r="AG213" s="65"/>
      <c r="AH213" s="65"/>
      <c r="AI213" s="65"/>
      <c r="AJ213" s="65"/>
      <c r="AK213" s="66"/>
      <c r="AL213" s="67"/>
      <c r="AM213" s="36"/>
      <c r="AN213" s="65"/>
      <c r="AO213" s="68" t="str">
        <f t="shared" si="6"/>
        <v>ADVISONA, s. r. o. krasa-zdravie-relax, &amp;#32vsetky kategorie  945 01 Komarno Damske, panske, detske kadernictvo. Sluzby poskytujeme pre skupinu ludi s nizkymi prijmami. ADVISONA s.r.o. Damske, panske a detske kadernictvo. kadernictvo           </v>
      </c>
      <c r="AP213" s="82"/>
    </row>
    <row r="214" ht="15.75" customHeight="1">
      <c r="A214" s="45"/>
      <c r="B214" s="70">
        <v>212.0</v>
      </c>
      <c r="C214" s="116" t="s">
        <v>2402</v>
      </c>
      <c r="D214" s="71" t="s">
        <v>228</v>
      </c>
      <c r="E214" s="43" t="str">
        <f t="shared" si="1"/>
        <v>Nitriansky kraj, &amp;#32celé Slovensko</v>
      </c>
      <c r="F214" s="44" t="s">
        <v>2403</v>
      </c>
      <c r="G214" s="43" t="str">
        <f t="shared" si="2"/>
        <v>doprava, odpady a recyklácia, dom a záhrada, &amp;#32všetky kategórie</v>
      </c>
      <c r="H214" s="44" t="s">
        <v>53</v>
      </c>
      <c r="I214" s="45" t="str">
        <f t="shared" si="3"/>
        <v>1 - 5, &amp;#32všetky možnosti</v>
      </c>
      <c r="J214" s="46" t="str">
        <f t="shared" si="4"/>
        <v>,</v>
      </c>
      <c r="K214" s="47">
        <f t="shared" si="5"/>
        <v>1861.719809</v>
      </c>
      <c r="L214" s="45"/>
      <c r="M214" s="49" t="str">
        <f>IFERROR(__xludf.DUMMYFUNCTION("SPLIT(O214,"","")"),"Černík 145")</f>
        <v>Černík 145</v>
      </c>
      <c r="N214" s="48" t="str">
        <f>IFERROR(__xludf.DUMMYFUNCTION("""COMPUTED_VALUE""")," 941 05 Černík")</f>
        <v> 941 05 Černík</v>
      </c>
      <c r="O214" s="122" t="s">
        <v>2404</v>
      </c>
      <c r="P214" s="50">
        <v>48.1548154</v>
      </c>
      <c r="Q214" s="109">
        <v>18.2230926</v>
      </c>
      <c r="R214" s="102" t="s">
        <v>2405</v>
      </c>
      <c r="S214" s="66" t="s">
        <v>2406</v>
      </c>
      <c r="T214" s="124" t="s">
        <v>86</v>
      </c>
      <c r="U214" s="54" t="s">
        <v>2407</v>
      </c>
      <c r="V214" s="84" t="s">
        <v>2408</v>
      </c>
      <c r="W214" s="77" t="s">
        <v>2409</v>
      </c>
      <c r="X214" s="77" t="s">
        <v>2410</v>
      </c>
      <c r="Y214" s="121" t="s">
        <v>2411</v>
      </c>
      <c r="Z214" s="119" t="s">
        <v>2412</v>
      </c>
      <c r="AA214" s="125" t="s">
        <v>64</v>
      </c>
      <c r="AB214" s="64"/>
      <c r="AC214" s="64"/>
      <c r="AD214" s="64"/>
      <c r="AE214" s="64"/>
      <c r="AF214" s="65"/>
      <c r="AG214" s="65"/>
      <c r="AH214" s="65"/>
      <c r="AI214" s="65"/>
      <c r="AJ214" s="65"/>
      <c r="AK214" s="66"/>
      <c r="AL214" s="67"/>
      <c r="AM214" s="36"/>
      <c r="AN214" s="65"/>
      <c r="AO214" s="68" t="str">
        <f t="shared" si="6"/>
        <v>Cernik Servis, s. r. o. doprava, odpady a recyklacia, dom a zahrada, &amp;#32vsetky kategorie  941 05 Cernik Preprava sypkych materialov, vyvoz komunalu nakladnym vozidlom Mercedes Benz. Pomoc obyvatelom v obci i susednym obciam. Cernik Servis s.r.o. Preprava nakladnym vozidlom Mercedes Benz. preprava, odvoz odpadu, starostlivost o domacnost           </v>
      </c>
      <c r="AP214" s="82"/>
    </row>
    <row r="215" ht="15.75" customHeight="1">
      <c r="A215" s="45"/>
      <c r="B215" s="70">
        <v>213.0</v>
      </c>
      <c r="C215" s="116" t="s">
        <v>2413</v>
      </c>
      <c r="D215" s="71" t="s">
        <v>51</v>
      </c>
      <c r="E215" s="43" t="str">
        <f t="shared" si="1"/>
        <v>Prešovský kraj, &amp;#32celé Slovensko</v>
      </c>
      <c r="F215" s="44" t="s">
        <v>2414</v>
      </c>
      <c r="G215" s="43" t="str">
        <f t="shared" si="2"/>
        <v>čistiace a upratovacie služby, poľnohospodárstvo a lesníctvo, stavebníctvo, &amp;#32všetky kategórie</v>
      </c>
      <c r="H215" s="44" t="s">
        <v>68</v>
      </c>
      <c r="I215" s="45" t="str">
        <f t="shared" si="3"/>
        <v>16 - 20, &amp;#32všetky možnosti</v>
      </c>
      <c r="J215" s="46" t="str">
        <f t="shared" si="4"/>
        <v>,Register partnerov VS</v>
      </c>
      <c r="K215" s="47">
        <f t="shared" si="5"/>
        <v>42549.65431</v>
      </c>
      <c r="L215" s="45"/>
      <c r="M215" s="49" t="str">
        <f>IFERROR(__xludf.DUMMYFUNCTION("SPLIT(O215,"","")"),"Stráne pod Tatrami 2")</f>
        <v>Stráne pod Tatrami 2</v>
      </c>
      <c r="N215" s="48" t="str">
        <f>IFERROR(__xludf.DUMMYFUNCTION("""COMPUTED_VALUE""")," 059 76 Stráne pod Tatrami")</f>
        <v> 059 76 Stráne pod Tatrami</v>
      </c>
      <c r="O215" s="122" t="s">
        <v>2415</v>
      </c>
      <c r="P215" s="50">
        <v>49.1589541</v>
      </c>
      <c r="Q215" s="109">
        <v>20.3701006</v>
      </c>
      <c r="R215" s="102" t="s">
        <v>2416</v>
      </c>
      <c r="S215" s="66" t="s">
        <v>2048</v>
      </c>
      <c r="T215" s="124" t="s">
        <v>86</v>
      </c>
      <c r="U215" s="54" t="s">
        <v>2417</v>
      </c>
      <c r="V215" s="84" t="s">
        <v>2418</v>
      </c>
      <c r="W215" s="77" t="s">
        <v>2419</v>
      </c>
      <c r="X215" s="77" t="s">
        <v>2420</v>
      </c>
      <c r="Y215" s="121" t="s">
        <v>2416</v>
      </c>
      <c r="Z215" s="119" t="s">
        <v>2421</v>
      </c>
      <c r="AA215" s="125" t="s">
        <v>64</v>
      </c>
      <c r="AB215" s="64"/>
      <c r="AC215" s="64"/>
      <c r="AD215" s="64"/>
      <c r="AE215" s="64"/>
      <c r="AF215" s="65"/>
      <c r="AG215" s="65"/>
      <c r="AH215" s="65"/>
      <c r="AI215" s="65"/>
      <c r="AJ215" s="65"/>
      <c r="AK215" s="66"/>
      <c r="AL215" s="67"/>
      <c r="AM215" s="52"/>
      <c r="AN215" s="80" t="s">
        <v>39</v>
      </c>
      <c r="AO215" s="68" t="str">
        <f t="shared" si="6"/>
        <v>Strane Invest RSP, s.r.o. cistiace a upratovacie sluzby, polnohospodarstvo a lesnictvo, stavebnictvo, &amp;#32vsetky kategorie  059 76 Strane pod Tatrami Realizacia zamkovych dlazieb a chodnikov, montaz oploteni, stavebne prace. Zamestnavanie znevyhodnenych obcanov. Strane Invest RSP, s.r.o Realizacia zamkovych dlazieb a chodnikov, montaz oploteni, stavebne prace. Stavebne prace, oplotenie, dlazba, chodniky           Register partnerov VS</v>
      </c>
      <c r="AP215" s="69" t="s">
        <v>41</v>
      </c>
    </row>
    <row r="216" ht="15.75" customHeight="1">
      <c r="A216" s="45"/>
      <c r="B216" s="70">
        <v>214.0</v>
      </c>
      <c r="C216" s="116" t="s">
        <v>2422</v>
      </c>
      <c r="D216" s="71" t="s">
        <v>217</v>
      </c>
      <c r="E216" s="43" t="str">
        <f t="shared" si="1"/>
        <v>Košický kraj, &amp;#32celé Slovensko</v>
      </c>
      <c r="F216" s="44" t="s">
        <v>1471</v>
      </c>
      <c r="G216" s="43" t="str">
        <f t="shared" si="2"/>
        <v>stavebníctvo, dom a záhrada, &amp;#32všetky kategórie</v>
      </c>
      <c r="H216" s="44" t="s">
        <v>53</v>
      </c>
      <c r="I216" s="45" t="str">
        <f t="shared" si="3"/>
        <v>1 - 5, &amp;#32všetky možnosti</v>
      </c>
      <c r="J216" s="46" t="str">
        <f t="shared" si="4"/>
        <v>,Register partnerov VS</v>
      </c>
      <c r="K216" s="47">
        <f t="shared" si="5"/>
        <v>30125.563</v>
      </c>
      <c r="L216" s="45"/>
      <c r="M216" s="49" t="str">
        <f>IFERROR(__xludf.DUMMYFUNCTION("SPLIT(O216,"","")"),"Iliašovce 231")</f>
        <v>Iliašovce 231</v>
      </c>
      <c r="N216" s="48" t="str">
        <f>IFERROR(__xludf.DUMMYFUNCTION("""COMPUTED_VALUE""")," 053 11 Iliašovce")</f>
        <v> 053 11 Iliašovce</v>
      </c>
      <c r="O216" s="122" t="s">
        <v>2423</v>
      </c>
      <c r="P216" s="50">
        <v>48.9912824</v>
      </c>
      <c r="Q216" s="109">
        <v>20.5258033</v>
      </c>
      <c r="R216" s="102" t="s">
        <v>2424</v>
      </c>
      <c r="S216" s="66" t="s">
        <v>2425</v>
      </c>
      <c r="T216" s="124" t="s">
        <v>86</v>
      </c>
      <c r="U216" s="54" t="s">
        <v>2426</v>
      </c>
      <c r="V216" s="84" t="s">
        <v>2427</v>
      </c>
      <c r="W216" s="77" t="s">
        <v>2428</v>
      </c>
      <c r="X216" s="77" t="s">
        <v>2429</v>
      </c>
      <c r="Y216" s="121" t="s">
        <v>2430</v>
      </c>
      <c r="Z216" s="119" t="s">
        <v>2431</v>
      </c>
      <c r="AA216" s="125" t="s">
        <v>64</v>
      </c>
      <c r="AB216" s="64"/>
      <c r="AC216" s="64"/>
      <c r="AD216" s="64"/>
      <c r="AE216" s="64"/>
      <c r="AF216" s="65"/>
      <c r="AG216" s="65"/>
      <c r="AH216" s="65"/>
      <c r="AI216" s="65"/>
      <c r="AJ216" s="65"/>
      <c r="AK216" s="66"/>
      <c r="AL216" s="67"/>
      <c r="AM216" s="52"/>
      <c r="AN216" s="80" t="s">
        <v>39</v>
      </c>
      <c r="AO216" s="68" t="str">
        <f t="shared" si="6"/>
        <v>Villa Ursi, s. r. o. stavebnictvo, dom a zahrada, &amp;#32vsetky kategorie  053 11 Iliasovce Nasa firma realizuje stavebne prace - rekonstrukcne prace, terenne upravy, vykopove prace, pokladky zamkovej dlazby, obkladacske prace a sluzby starostlivosti o domacnost a zahradu. Podporujeme zamestnanost a regionalny rozvoj. Villa Ursi, s.r.o. Stavebne prace - rekonstrukcne prace, terenne upravy, vykopove prace, pokladky zamkovej dlazby, obkladacske prace a sluzby starostlivosti o domacnost a zahradu. zemne prace, buranie, obkladanie, vystavba, rekonstrukcia, kosenie, pomoc v domacnosti, zahradne prace           Register partnerov VS</v>
      </c>
      <c r="AP216" s="82"/>
    </row>
    <row r="217" ht="15.75" customHeight="1">
      <c r="A217" s="45"/>
      <c r="B217" s="70">
        <v>215.0</v>
      </c>
      <c r="C217" s="116" t="s">
        <v>2432</v>
      </c>
      <c r="D217" s="71" t="s">
        <v>181</v>
      </c>
      <c r="E217" s="43" t="str">
        <f t="shared" si="1"/>
        <v>Banskobystrický kraj, &amp;#32celé Slovensko</v>
      </c>
      <c r="F217" s="44" t="s">
        <v>2433</v>
      </c>
      <c r="G217" s="43" t="str">
        <f t="shared" si="2"/>
        <v>čistiace a upratovacie služby, poľnohospodárstvo a lesníctvo, dom a záhrada, stavebníctvo, iné (tovary a služby), &amp;#32všetky kategórie</v>
      </c>
      <c r="H217" s="44" t="s">
        <v>170</v>
      </c>
      <c r="I217" s="45" t="str">
        <f t="shared" si="3"/>
        <v>21 a viac, &amp;#32všetky možnosti</v>
      </c>
      <c r="J217" s="46" t="str">
        <f t="shared" si="4"/>
        <v>,Register partnerov VS</v>
      </c>
      <c r="K217" s="47">
        <f t="shared" si="5"/>
        <v>17236.20856</v>
      </c>
      <c r="L217" s="45"/>
      <c r="M217" s="49" t="str">
        <f>IFERROR(__xludf.DUMMYFUNCTION("SPLIT(O217,"","")"),"Magurská 16")</f>
        <v>Magurská 16</v>
      </c>
      <c r="N217" s="48" t="str">
        <f>IFERROR(__xludf.DUMMYFUNCTION("""COMPUTED_VALUE""")," 974 11 Banská Bystrica")</f>
        <v> 974 11 Banská Bystrica</v>
      </c>
      <c r="O217" s="122" t="s">
        <v>2434</v>
      </c>
      <c r="P217" s="50">
        <v>48.7605748999999</v>
      </c>
      <c r="Q217" s="109">
        <v>19.1615841</v>
      </c>
      <c r="R217" s="123" t="s">
        <v>2435</v>
      </c>
      <c r="S217" s="66" t="s">
        <v>2436</v>
      </c>
      <c r="T217" s="124" t="s">
        <v>2437</v>
      </c>
      <c r="U217" s="54" t="s">
        <v>2438</v>
      </c>
      <c r="V217" s="84" t="s">
        <v>2439</v>
      </c>
      <c r="W217" s="77" t="s">
        <v>2440</v>
      </c>
      <c r="X217" s="77" t="s">
        <v>2432</v>
      </c>
      <c r="Y217" s="121" t="s">
        <v>2441</v>
      </c>
      <c r="Z217" s="119" t="s">
        <v>2442</v>
      </c>
      <c r="AA217" s="125" t="s">
        <v>64</v>
      </c>
      <c r="AB217" s="64"/>
      <c r="AC217" s="64"/>
      <c r="AD217" s="64"/>
      <c r="AE217" s="64"/>
      <c r="AF217" s="65"/>
      <c r="AG217" s="65"/>
      <c r="AH217" s="65"/>
      <c r="AI217" s="65"/>
      <c r="AJ217" s="65"/>
      <c r="AK217" s="66"/>
      <c r="AL217" s="67"/>
      <c r="AM217" s="52"/>
      <c r="AN217" s="80" t="s">
        <v>39</v>
      </c>
      <c r="AO217" s="68" t="str">
        <f t="shared" si="6"/>
        <v>Podnik medzitrhu prace, n.o., r.s.p. cistiace a upratovacie sluzby, polnohospodarstvo a lesnictvo, dom a zahrada, stavebnictvo, ine (tovary a sluzby), &amp;#32vsetky kategorie  974 11 Banska Bystrica Sme neziskova organizacia zriadena mestom Banska Bystrica so statutom registrovaneho socialneho podniku. Nasim primarnym cielom je realizovat aktivity zamerane na docasne podporovane zamestnavanie najma pre zranitelne a znevyhodnene osoby, a to vykonavanim sluzieb vo vseobecnom zaujme v zmysle svojho poslania na uzemi mesta Banska Bystrica. 
 Ponukame sluzby: 
 - kosenie a hrabanie travnatych porastov, hrabanie listia,
 - revitalizaciu zelene (odstranovanie burin, naletovych drevin),
 - cistenie chodnikov, zamkovej dlazby (pomocou specialnej kefy),
 - drobnu stavebnu cinnost (kladenie a oprava zamkovej dlazby, oprava schodov),
 - cistenie a natieranie zabradli (zeleznych konstrukcii),
 - zimnu udrzbu (odpratavanie snehu rucne alebo strojom, solenie, sekanie ladu),
 - letnu udrzbu (zametanie, cistenie rigolov a zlabov),
 - vypratavanie priestorov, premiestnovanie, stahovanie,
 - pilenie a rubanie dreva. Podnik je v zmysle svojho statutu neziskova organizacia, ktora vykonava vseobecne prospesne sluzby: socialna pomoc a humanitarna starostlivost; tvorba, rozvoj, ochrana a obnova kulturnych hodnot; vzdelavanie a vychova; tvorba a ochrana zivotneho prostredia; sluzby na podporu regionalneho rozvoja a zamestnanosti. Podnik medzitrhu prace, n.o., r.s.p. Nasa ponuka sluzieb:
 - kosenie a hrabanie travnatych porastov, hrabanie listia,
 - revitalizacia zelene (odstranovanie burin, naletovych drevin),
 - cistenie chodnikov, zamkovej dlazby (pomocou specialnej kefy),
 - drobna stavebna cinnost (kladenie a oprava zamkovej dlazby, oprava schodov),
 - cistenie, natieranie zabradli (zeleznych konstrukcii),
 - zimna udrzba (odpratavanie snehu, solenie, sekanie ladu),
 - letna udrzba (zametanie, cistenie rigolov a zlabov),
 - vypratavanie priestorov, premiestnovanie a stahovanie
 - pilenie a rubanie dreva. kosenie, hrabanie, revitalizacia, cistenie, zamkova dlazba, kladenie, oprava, natieranie, odpratavanie, solenie, sekanie, zametanie, vypratavanie, stahovanie, pilenie, rubanie, udrzba, drobne stavebne prace, sneh, centrum praktickeho vycviku           Register partnerov VS</v>
      </c>
      <c r="AP217" s="69" t="s">
        <v>41</v>
      </c>
    </row>
    <row r="218" ht="15.75" customHeight="1">
      <c r="A218" s="45"/>
      <c r="B218" s="70">
        <v>216.0</v>
      </c>
      <c r="C218" s="116" t="s">
        <v>2443</v>
      </c>
      <c r="D218" s="71" t="s">
        <v>51</v>
      </c>
      <c r="E218" s="43" t="str">
        <f t="shared" si="1"/>
        <v>Prešovský kraj, &amp;#32celé Slovensko</v>
      </c>
      <c r="F218" s="44" t="s">
        <v>2444</v>
      </c>
      <c r="G218" s="43" t="str">
        <f t="shared" si="2"/>
        <v>čistiace a upratovacie služby, poľnohospodárstvo a lesníctvo, stavebníctvo, ubytovacie a stravovacie služby, účtovníctvo a poradenstvo, &amp;#32všetky kategórie</v>
      </c>
      <c r="H218" s="44" t="s">
        <v>53</v>
      </c>
      <c r="I218" s="45" t="str">
        <f t="shared" si="3"/>
        <v>1 - 5, &amp;#32všetky možnosti</v>
      </c>
      <c r="J218" s="46" t="str">
        <f t="shared" si="4"/>
        <v>,Register partnerov VS</v>
      </c>
      <c r="K218" s="47">
        <f t="shared" si="5"/>
        <v>24347.9492</v>
      </c>
      <c r="L218" s="45"/>
      <c r="M218" s="49" t="str">
        <f>IFERROR(__xludf.DUMMYFUNCTION("SPLIT(O218,"","")"),"Centrálna 812/13")</f>
        <v>Centrálna 812/13</v>
      </c>
      <c r="N218" s="48" t="str">
        <f>IFERROR(__xludf.DUMMYFUNCTION("""COMPUTED_VALUE""")," 089 01 Svidník")</f>
        <v> 089 01 Svidník</v>
      </c>
      <c r="O218" s="122" t="s">
        <v>2445</v>
      </c>
      <c r="P218" s="50">
        <v>49.3063002</v>
      </c>
      <c r="Q218" s="109">
        <v>21.5716153</v>
      </c>
      <c r="R218" s="102" t="s">
        <v>2446</v>
      </c>
      <c r="S218" s="66" t="s">
        <v>2447</v>
      </c>
      <c r="T218" s="124" t="s">
        <v>86</v>
      </c>
      <c r="U218" s="54" t="s">
        <v>2448</v>
      </c>
      <c r="V218" s="84" t="s">
        <v>2449</v>
      </c>
      <c r="W218" s="77" t="s">
        <v>2450</v>
      </c>
      <c r="X218" s="77" t="s">
        <v>2443</v>
      </c>
      <c r="Y218" s="121" t="s">
        <v>2451</v>
      </c>
      <c r="Z218" s="119" t="s">
        <v>2452</v>
      </c>
      <c r="AA218" s="125" t="s">
        <v>64</v>
      </c>
      <c r="AB218" s="64"/>
      <c r="AC218" s="64"/>
      <c r="AD218" s="64"/>
      <c r="AE218" s="64"/>
      <c r="AF218" s="65"/>
      <c r="AG218" s="65"/>
      <c r="AH218" s="65"/>
      <c r="AI218" s="65"/>
      <c r="AJ218" s="65"/>
      <c r="AK218" s="66"/>
      <c r="AL218" s="67"/>
      <c r="AM218" s="52"/>
      <c r="AN218" s="80" t="s">
        <v>39</v>
      </c>
      <c r="AO218" s="68" t="str">
        <f t="shared" si="6"/>
        <v>Kondor - SP, s.r.o. cistiace a upratovacie sluzby, polnohospodarstvo a lesnictvo, stavebnictvo, ubytovacie a stravovacie sluzby, uctovnictvo a poradenstvo, &amp;#32vsetky kategorie  089 01 Svidnik Stavebne prace, stavebnu administrativu. Spolocnost je verejnoprospesny podnik, ktoreho hlavnym cielom je dosahovanie meratelneho pozitivneho socialneho vplyvu poskytovanim spolocensky prospesnej sluzby na podporu regionalneho rozvoja a zamestnanosti. Kondor - SP, s.r.o. Stavebna cinnost, stavebna administrativa. Zemne prace, buranie, betonaz, murovanie, strechy, stavby           Register partnerov VS</v>
      </c>
      <c r="AP218" s="82"/>
    </row>
    <row r="219" ht="15.75" customHeight="1">
      <c r="A219" s="45"/>
      <c r="B219" s="70">
        <v>217.0</v>
      </c>
      <c r="C219" s="116" t="s">
        <v>2453</v>
      </c>
      <c r="D219" s="71" t="s">
        <v>134</v>
      </c>
      <c r="E219" s="43" t="str">
        <f t="shared" si="1"/>
        <v>Trenčiansky kraj, &amp;#32celé Slovensko</v>
      </c>
      <c r="F219" s="44" t="s">
        <v>2454</v>
      </c>
      <c r="G219" s="43" t="str">
        <f t="shared" si="2"/>
        <v>čistiace a upratovacie služby, dom a záhrada, kultúra a šport, pre deti, &amp;#32všetky kategórie</v>
      </c>
      <c r="H219" s="44" t="s">
        <v>82</v>
      </c>
      <c r="I219" s="45" t="str">
        <f t="shared" si="3"/>
        <v>11 - 15, &amp;#32všetky možnosti</v>
      </c>
      <c r="J219" s="46" t="str">
        <f t="shared" si="4"/>
        <v>,Register partnerov VS</v>
      </c>
      <c r="K219" s="47">
        <f t="shared" si="5"/>
        <v>43509.42845</v>
      </c>
      <c r="L219" s="45"/>
      <c r="M219" s="49" t="str">
        <f>IFERROR(__xludf.DUMMYFUNCTION("SPLIT(O219,"","")"),"Pod Juhom 7666/26")</f>
        <v>Pod Juhom 7666/26</v>
      </c>
      <c r="N219" s="48" t="str">
        <f>IFERROR(__xludf.DUMMYFUNCTION("""COMPUTED_VALUE""")," 911 01 Trenčín")</f>
        <v> 911 01 Trenčín</v>
      </c>
      <c r="O219" s="122" t="s">
        <v>2455</v>
      </c>
      <c r="P219" s="50">
        <v>48.8719772</v>
      </c>
      <c r="Q219" s="109">
        <v>18.034704</v>
      </c>
      <c r="R219" s="123" t="s">
        <v>2456</v>
      </c>
      <c r="S219" s="66" t="s">
        <v>2457</v>
      </c>
      <c r="T219" s="124" t="s">
        <v>2458</v>
      </c>
      <c r="U219" s="54" t="s">
        <v>2459</v>
      </c>
      <c r="V219" s="84" t="s">
        <v>2460</v>
      </c>
      <c r="W219" s="77" t="s">
        <v>2461</v>
      </c>
      <c r="X219" s="77" t="s">
        <v>2453</v>
      </c>
      <c r="Y219" s="121" t="s">
        <v>2462</v>
      </c>
      <c r="Z219" s="119" t="s">
        <v>2463</v>
      </c>
      <c r="AA219" s="125" t="s">
        <v>64</v>
      </c>
      <c r="AB219" s="64"/>
      <c r="AC219" s="64"/>
      <c r="AD219" s="64"/>
      <c r="AE219" s="64"/>
      <c r="AF219" s="65"/>
      <c r="AG219" s="65"/>
      <c r="AH219" s="65"/>
      <c r="AI219" s="65"/>
      <c r="AJ219" s="65"/>
      <c r="AK219" s="66"/>
      <c r="AL219" s="67"/>
      <c r="AM219" s="52"/>
      <c r="AN219" s="80" t="s">
        <v>39</v>
      </c>
      <c r="AO219" s="68" t="str">
        <f t="shared" si="6"/>
        <v>Matky v praci, s.r.o. cistiace a upratovacie sluzby, dom a zahrada, kultura a sport, pre deti, &amp;#32vsetky kategorie  911 01 Trencin Nas predmet cinnosti zahrna
 1. upratovacie sluzby roznym klientom - tepovanie, hlbkove cistenie unikatnym cistiacim systemom, ktory vytiahne prach a roztoce z hlbky 17 cm, cistenie parou; individualne poziadavky mimo upratovacich sluzieb, napr. voskovanie podlahy, zehlenie, varenie, strazenie deti...; snazime sa vyuzivat ekologicke prostriedky;
 2. ako doplnkovu sluzbu ponukame kurzy Nordic Walkingu, severskej chodze pre zdravie ludi;
 3. virtualne asistentky – nova sluzba, ktora poskytne priestor pre nove pracovne miesta.
 Nasim snom je budovat firmu, ktora rozvija talenty ludi a poskytuje naozaj prijemne prostredie pre pracu, osobnostny aj duchovny rast. 
 Zakaznikmi su spokojne firmy, lekari, domacnosti, ale aj poskytovatelia ubytovacich sluzieb a casovo zaneprazdneni jednotlivci, ktorym pomozeme travit vzacny volny cas efektivnejsie ako upratovanim :-) 
 Tieto sluzby planujeme ponukat postupne aj ludom, ktori si ich nemozu dovolit - zdravotne znevyhodneni, seniori. Zamestnavame viac ako 30% zdravotne znevyhodnenych a zranitelnych ludi. Matky v praci, s.r.o. Upratovacie sluzby, sluzby nordic walking, virtualna asistencia. Upratovanie, tepovanie, cistenie parou, nordic walking virtualna asistencia, babysitting, pomoc v domacnosti, domace prace, varenie, zehlenie           Register partnerov VS</v>
      </c>
      <c r="AP219" s="69" t="s">
        <v>41</v>
      </c>
    </row>
    <row r="220" ht="15.75" customHeight="1">
      <c r="A220" s="45"/>
      <c r="B220" s="70">
        <v>218.0</v>
      </c>
      <c r="C220" s="116" t="s">
        <v>2464</v>
      </c>
      <c r="D220" s="71" t="s">
        <v>66</v>
      </c>
      <c r="E220" s="43" t="str">
        <f t="shared" si="1"/>
        <v>Žilinský kraj, &amp;#32celé Slovensko</v>
      </c>
      <c r="F220" s="44" t="s">
        <v>2465</v>
      </c>
      <c r="G220" s="43" t="str">
        <f t="shared" si="2"/>
        <v>dom a záhrada, stavebníctvo, čistiace a upratovacie služby, &amp;#32všetky kategórie</v>
      </c>
      <c r="H220" s="44" t="s">
        <v>53</v>
      </c>
      <c r="I220" s="45" t="str">
        <f t="shared" si="3"/>
        <v>1 - 5, &amp;#32všetky možnosti</v>
      </c>
      <c r="J220" s="46" t="str">
        <f t="shared" si="4"/>
        <v>,Register partnerov VS</v>
      </c>
      <c r="K220" s="47">
        <f t="shared" si="5"/>
        <v>43015.62142</v>
      </c>
      <c r="L220" s="45"/>
      <c r="M220" s="49" t="str">
        <f>IFERROR(__xludf.DUMMYFUNCTION("SPLIT(O220,"","")"),"Námestie J. Vojtaššáka 1002/12")</f>
        <v>Námestie J. Vojtaššáka 1002/12</v>
      </c>
      <c r="N220" s="48" t="str">
        <f>IFERROR(__xludf.DUMMYFUNCTION("""COMPUTED_VALUE""")," 029 56 Zákamenné")</f>
        <v> 029 56 Zákamenné</v>
      </c>
      <c r="O220" s="122" t="s">
        <v>2466</v>
      </c>
      <c r="P220" s="50">
        <v>49.3913675</v>
      </c>
      <c r="Q220" s="109">
        <v>19.2895354</v>
      </c>
      <c r="R220" s="102" t="s">
        <v>2467</v>
      </c>
      <c r="S220" s="66" t="s">
        <v>2468</v>
      </c>
      <c r="T220" s="124" t="s">
        <v>2469</v>
      </c>
      <c r="U220" s="54" t="s">
        <v>2470</v>
      </c>
      <c r="V220" s="84" t="s">
        <v>2471</v>
      </c>
      <c r="W220" s="77" t="s">
        <v>2472</v>
      </c>
      <c r="X220" s="77" t="s">
        <v>2464</v>
      </c>
      <c r="Y220" s="121" t="s">
        <v>2473</v>
      </c>
      <c r="Z220" s="119" t="s">
        <v>297</v>
      </c>
      <c r="AA220" s="125" t="s">
        <v>64</v>
      </c>
      <c r="AB220" s="64"/>
      <c r="AC220" s="64"/>
      <c r="AD220" s="64"/>
      <c r="AE220" s="64"/>
      <c r="AF220" s="65"/>
      <c r="AG220" s="65"/>
      <c r="AH220" s="65"/>
      <c r="AI220" s="65"/>
      <c r="AJ220" s="65"/>
      <c r="AK220" s="66"/>
      <c r="AL220" s="67"/>
      <c r="AM220" s="52"/>
      <c r="AN220" s="80" t="s">
        <v>39</v>
      </c>
      <c r="AO220" s="68" t="str">
        <f t="shared" si="6"/>
        <v>Zakamenske sluzby s. r. o. dom a zahrada, stavebnictvo, cistiace a upratovacie sluzby, &amp;#32vsetky kategorie  029 56 Zakamenne Ponukame svojim zakaznikom - fyzickym a pravnickym osobam dokoncovacie stavebne prace pri realizacii exterierov a interierov, spravu a udrzbu bytoveho a nebytoveho fondu, cistiace a upratovacie sluzby. Spolocnost poskytuje spolocensky prospesne sluzby v oblasti zamestnanosti, a to zamestnavanim znevyhodnenych osob, ktore si tak osvoja pracovne navyky a ziskaju nove zrucnosti pre vykon povolania. Uvedene bude mat na ne pozitivny socialny vplyv, cim dojde k ich zacleneniu do realneho zivota. Zakamenske sluzby s. r. o. Stavebne prace pri realizacii exterierov a interierov stavebne prace           Register partnerov VS</v>
      </c>
      <c r="AP220" s="82"/>
    </row>
    <row r="221" ht="15.75" customHeight="1">
      <c r="A221" s="45"/>
      <c r="B221" s="70">
        <v>219.0</v>
      </c>
      <c r="C221" s="116" t="s">
        <v>2474</v>
      </c>
      <c r="D221" s="71" t="s">
        <v>94</v>
      </c>
      <c r="E221" s="43" t="str">
        <f t="shared" si="1"/>
        <v>Bratislavský kraj, &amp;#32celé Slovensko</v>
      </c>
      <c r="F221" s="44" t="s">
        <v>243</v>
      </c>
      <c r="G221" s="43" t="str">
        <f t="shared" si="2"/>
        <v>potraviny a nápoje, &amp;#32všetky kategórie</v>
      </c>
      <c r="H221" s="44" t="s">
        <v>96</v>
      </c>
      <c r="I221" s="45" t="str">
        <f t="shared" si="3"/>
        <v>6 - 10, &amp;#32všetky možnosti</v>
      </c>
      <c r="J221" s="46" t="str">
        <f t="shared" si="4"/>
        <v>,</v>
      </c>
      <c r="K221" s="47">
        <f t="shared" si="5"/>
        <v>24932.92036</v>
      </c>
      <c r="L221" s="45"/>
      <c r="M221" s="49" t="str">
        <f>IFERROR(__xludf.DUMMYFUNCTION("SPLIT(O221,"","")"),"Galvaniho 7/D")</f>
        <v>Galvaniho 7/D</v>
      </c>
      <c r="N221" s="48" t="str">
        <f>IFERROR(__xludf.DUMMYFUNCTION("""COMPUTED_VALUE""")," 821 04 Bratislava")</f>
        <v> 821 04 Bratislava</v>
      </c>
      <c r="O221" s="122" t="s">
        <v>2475</v>
      </c>
      <c r="P221" s="50">
        <v>48.1652108</v>
      </c>
      <c r="Q221" s="109">
        <v>17.1744713</v>
      </c>
      <c r="R221" s="123" t="s">
        <v>2476</v>
      </c>
      <c r="S221" s="66" t="s">
        <v>2477</v>
      </c>
      <c r="T221" s="124" t="s">
        <v>86</v>
      </c>
      <c r="U221" s="54" t="s">
        <v>2478</v>
      </c>
      <c r="V221" s="84" t="s">
        <v>2479</v>
      </c>
      <c r="W221" s="77" t="s">
        <v>2480</v>
      </c>
      <c r="X221" s="77" t="s">
        <v>2481</v>
      </c>
      <c r="Y221" s="121" t="s">
        <v>2482</v>
      </c>
      <c r="Z221" s="119" t="s">
        <v>2483</v>
      </c>
      <c r="AA221" s="125" t="s">
        <v>64</v>
      </c>
      <c r="AB221" s="64"/>
      <c r="AC221" s="64"/>
      <c r="AD221" s="64"/>
      <c r="AE221" s="64"/>
      <c r="AF221" s="65"/>
      <c r="AG221" s="65"/>
      <c r="AH221" s="65"/>
      <c r="AI221" s="65"/>
      <c r="AJ221" s="65"/>
      <c r="AK221" s="66"/>
      <c r="AL221" s="67"/>
      <c r="AM221" s="36"/>
      <c r="AN221" s="65"/>
      <c r="AO221" s="68" t="str">
        <f t="shared" si="6"/>
        <v>Aquaunion, s. r. o. r. s. p. potraviny a napoje, &amp;#32vsetky kategorie  821 04 Bratislava Vyroba, predaj, sprostredkovanie a priamy dovoz balenej bioenergetickej pitnej vody, a to v 18,9 l a v 11 l polykarbonatovych bareloch s dlhodobou zivotnostou a v 17 l sklenenych bareloch s neobmedzenou zivotnostou k zakaznikovi. Tym, ze tovar balime do polykarbonatovych znovu pouzitelnych a do sklenenych barelov, chranime zivotne prostredie, kedze sa znizuje mnozstvo jednorazovych pet flias, ktore tvoria najvacsi podiel odpadu na nasej planete. 
 Znizujeme aj emisie CO2 plynov, kedze tovar dovezieme zakaznikom priamo domov - 1 auto/1 kurier obsluzi denne 60 domacnosti, a teda nemusi ist 60 ludi svojim autom na nakup. Zakaznici - fyzicke osoby, subjekty verejnej spravy - materske skolky, zakladne a stredne skolky, domovy socialnych sluzieb a domovy dochodcov, zdravotne zariadenia, obecne a mestske urady, ziskavaju prospech postupnym vybudovanim zdraveho pitneho rezimu. V zmysle poskytovania spolocensky prospesnej sluzby tvorby a ochrany zivotneho prostredia nasa spolocnost napomaha k znizovaniu mnozstva plastoveho odpadu. Tymto prispievame k zabezpeceniu dlhsej udrzatelnosti prirody a k znizeniu znecistujucich faktorov zivotneho prostredia, kontaminacie pody a podzemnych vod. Aquaunion s.r.o. r.s.p. Vyroba a predaj bioenergetickej Pi vody v plastovych a sklenenych bareloch. Pi voda, balena pitna voda, bioenergeticka voda, soda, potravinarska vyroba           </v>
      </c>
      <c r="AP221" s="69" t="s">
        <v>41</v>
      </c>
    </row>
    <row r="222" ht="15.75" customHeight="1">
      <c r="A222" s="45"/>
      <c r="B222" s="70">
        <v>220.0</v>
      </c>
      <c r="C222" s="116" t="s">
        <v>2484</v>
      </c>
      <c r="D222" s="71" t="s">
        <v>181</v>
      </c>
      <c r="E222" s="43" t="str">
        <f t="shared" si="1"/>
        <v>Banskobystrický kraj, &amp;#32celé Slovensko</v>
      </c>
      <c r="F222" s="44" t="s">
        <v>243</v>
      </c>
      <c r="G222" s="43" t="str">
        <f t="shared" si="2"/>
        <v>potraviny a nápoje, &amp;#32všetky kategórie</v>
      </c>
      <c r="H222" s="44" t="s">
        <v>53</v>
      </c>
      <c r="I222" s="45" t="str">
        <f t="shared" si="3"/>
        <v>1 - 5, &amp;#32všetky možnosti</v>
      </c>
      <c r="J222" s="46" t="str">
        <f t="shared" si="4"/>
        <v>,</v>
      </c>
      <c r="K222" s="47">
        <f t="shared" si="5"/>
        <v>42458.2397</v>
      </c>
      <c r="L222" s="45"/>
      <c r="M222" s="49" t="str">
        <f>IFERROR(__xludf.DUMMYFUNCTION("SPLIT(O222,"","")"),"Nám. SNP 255")</f>
        <v>Nám. SNP 255</v>
      </c>
      <c r="N222" s="48" t="str">
        <f>IFERROR(__xludf.DUMMYFUNCTION("""COMPUTED_VALUE""")," 962 12 Detva")</f>
        <v> 962 12 Detva</v>
      </c>
      <c r="O222" s="122" t="s">
        <v>2485</v>
      </c>
      <c r="P222" s="50">
        <v>48.5613245</v>
      </c>
      <c r="Q222" s="109">
        <v>19.4189193</v>
      </c>
      <c r="R222" s="123" t="s">
        <v>2486</v>
      </c>
      <c r="S222" s="66" t="s">
        <v>2487</v>
      </c>
      <c r="T222" s="124" t="s">
        <v>2488</v>
      </c>
      <c r="U222" s="54" t="s">
        <v>2489</v>
      </c>
      <c r="V222" s="84" t="s">
        <v>2490</v>
      </c>
      <c r="W222" s="77" t="s">
        <v>2491</v>
      </c>
      <c r="X222" s="77" t="s">
        <v>2492</v>
      </c>
      <c r="Y222" s="121" t="s">
        <v>2493</v>
      </c>
      <c r="Z222" s="119" t="s">
        <v>2494</v>
      </c>
      <c r="AA222" s="125" t="s">
        <v>64</v>
      </c>
      <c r="AB222" s="64"/>
      <c r="AC222" s="64"/>
      <c r="AD222" s="64"/>
      <c r="AE222" s="64"/>
      <c r="AF222" s="65"/>
      <c r="AG222" s="65"/>
      <c r="AH222" s="65"/>
      <c r="AI222" s="65"/>
      <c r="AJ222" s="65"/>
      <c r="AK222" s="66"/>
      <c r="AL222" s="67"/>
      <c r="AM222" s="36"/>
      <c r="AN222" s="65"/>
      <c r="AO222" s="68" t="str">
        <f t="shared" si="6"/>
        <v>GAZDOVSKE SPECIALITY Bystriansky s.r.o. potraviny a napoje, &amp;#32vsetky kategorie  962 12 Detva Spolocnost Gazdovske speciality Bystriansky s.r.o. sa zameriava na predaj masa a masovych vyrobkov. Masove vyrobky, ktore spolocnost predava, su produkty vyrobene podnikom Bystriansky, s.r.o. Sortiment niektorych produktov, ktore spolocnost bude ponukat: 
 Gazdovska klobasa – Bystriansky, Gazdovska klobasa s jelenim masom, Klobasa Bystriansky – trvanliva, Gazdovska salama, Susene kare - Bystriansky, Hovadzie susene maso,
 Jelenie susene maso, Gazdovsky udeny bocik b.k., Gazdovska udena slanina, Chrbtova slanina,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Pozitivny socialny vplyv bude spolocnost ako verejnoprospesny podnik dosahovat predovsetkym zamestnavanim znevyhodnenych a zranitelnych osob. Osvojenie pracovnych navykov u takychto osob, vytvorenie pracovneho kolektivu, ich celkove zaclenenie do pracovnej cinnosti a tym aj do spolocenskeho zivota, bude mat pre ne obrovsky vyznam. GAZDOVSKE SPECIALITY Bystriansky s.r.o., r.s.p. Spolocnost Gazdovske speciality Bystriansky, s.r.o. ponuka kvalitne masove vyrobky vyrobene podnikom Bystriansky, s.r.o.: Gazdovska klobasa – Bystriansky, Gazdovska klobasa s jelenim masom, Klobasa Bystriansky – trvanliva, Gazdovska salama, Susene kare - Bystriansky, Hovadzie susene maso,
 Jelenie susene maso, Gazdovsky udeny bocik b.k., Gazdovska udena slanina, Chrbtova slanina 4+,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predaj gazdovskych masovych specialit; domace masove vyrobky, lokalne speciality           </v>
      </c>
      <c r="AP222" s="82"/>
    </row>
    <row r="223" ht="15.75" customHeight="1">
      <c r="A223" s="45"/>
      <c r="B223" s="70">
        <v>221.0</v>
      </c>
      <c r="C223" s="116" t="s">
        <v>2495</v>
      </c>
      <c r="D223" s="71" t="s">
        <v>134</v>
      </c>
      <c r="E223" s="43" t="str">
        <f t="shared" si="1"/>
        <v>Trenčiansky kraj, &amp;#32celé Slovensko</v>
      </c>
      <c r="F223" s="44" t="s">
        <v>2142</v>
      </c>
      <c r="G223" s="43" t="str">
        <f t="shared" si="2"/>
        <v>účtovníctvo a poradenstvo, &amp;#32všetky kategórie</v>
      </c>
      <c r="H223" s="44" t="s">
        <v>170</v>
      </c>
      <c r="I223" s="45" t="str">
        <f t="shared" si="3"/>
        <v>21 a viac, &amp;#32všetky možnosti</v>
      </c>
      <c r="J223" s="46" t="str">
        <f t="shared" si="4"/>
        <v>,Register partnerov VS</v>
      </c>
      <c r="K223" s="47">
        <f t="shared" si="5"/>
        <v>14186.25964</v>
      </c>
      <c r="L223" s="45"/>
      <c r="M223" s="49" t="str">
        <f>IFERROR(__xludf.DUMMYFUNCTION("SPLIT(O223,"","")"),"Nábrežie sv. Cyrila 47")</f>
        <v>Nábrežie sv. Cyrila 47</v>
      </c>
      <c r="N223" s="48" t="str">
        <f>IFERROR(__xludf.DUMMYFUNCTION("""COMPUTED_VALUE""")," 971 01 Prievidza")</f>
        <v> 971 01 Prievidza</v>
      </c>
      <c r="O223" s="122" t="s">
        <v>2496</v>
      </c>
      <c r="P223" s="50">
        <v>48.7701129999999</v>
      </c>
      <c r="Q223" s="109">
        <v>18.6372815</v>
      </c>
      <c r="R223" s="123" t="s">
        <v>2497</v>
      </c>
      <c r="S223" s="66" t="s">
        <v>2498</v>
      </c>
      <c r="T223" s="124" t="s">
        <v>86</v>
      </c>
      <c r="U223" s="54" t="s">
        <v>2499</v>
      </c>
      <c r="V223" s="84" t="s">
        <v>2500</v>
      </c>
      <c r="W223" s="77" t="s">
        <v>2501</v>
      </c>
      <c r="X223" s="77" t="s">
        <v>2502</v>
      </c>
      <c r="Y223" s="121" t="s">
        <v>2503</v>
      </c>
      <c r="Z223" s="119" t="s">
        <v>2504</v>
      </c>
      <c r="AA223" s="125" t="s">
        <v>64</v>
      </c>
      <c r="AB223" s="64"/>
      <c r="AC223" s="64"/>
      <c r="AD223" s="64"/>
      <c r="AE223" s="64"/>
      <c r="AF223" s="65"/>
      <c r="AG223" s="65"/>
      <c r="AH223" s="65"/>
      <c r="AI223" s="65"/>
      <c r="AJ223" s="65"/>
      <c r="AK223" s="66"/>
      <c r="AL223" s="67"/>
      <c r="AM223" s="52"/>
      <c r="AN223" s="80" t="s">
        <v>39</v>
      </c>
      <c r="AO223" s="68" t="str">
        <f t="shared" si="6"/>
        <v>TREBAXX s. r. o. uctovnictvo a poradenstvo, &amp;#32vsetky kategorie  971 01 Prievidza Spracovanie jednoducheho, podvojneho a mzdoveho uctovnictva. Spracovanie ziadosti na dotacie, danove poradenstvo. Zamestnavame viac ako 50% znevyhodnenych zamestnancov. TREBAXX s.r.o. Spracovanie jednoducheho, podvojneho a mzdoveho uctovnictva, danove poradenstvo. uctovnictvo a poradenstvo, dane, ziadosti o prispevky, dotacie           Register partnerov VS</v>
      </c>
      <c r="AP223" s="82"/>
    </row>
    <row r="224" ht="15.75" customHeight="1">
      <c r="A224" s="45"/>
      <c r="B224" s="70">
        <v>222.0</v>
      </c>
      <c r="C224" s="116" t="s">
        <v>2505</v>
      </c>
      <c r="D224" s="71" t="s">
        <v>134</v>
      </c>
      <c r="E224" s="43" t="str">
        <f t="shared" si="1"/>
        <v>Trenčiansky kraj, &amp;#32celé Slovensko</v>
      </c>
      <c r="F224" s="44" t="s">
        <v>756</v>
      </c>
      <c r="G224" s="43" t="str">
        <f t="shared" si="2"/>
        <v>čistiace a upratovacie služby, &amp;#32všetky kategórie</v>
      </c>
      <c r="H224" s="44" t="s">
        <v>170</v>
      </c>
      <c r="I224" s="45" t="str">
        <f t="shared" si="3"/>
        <v>21 a viac, &amp;#32všetky možnosti</v>
      </c>
      <c r="J224" s="46" t="str">
        <f t="shared" si="4"/>
        <v>,Register partnerov VS</v>
      </c>
      <c r="K224" s="47">
        <f t="shared" si="5"/>
        <v>13834.87351</v>
      </c>
      <c r="L224" s="45"/>
      <c r="M224" s="49" t="str">
        <f>IFERROR(__xludf.DUMMYFUNCTION("SPLIT(O224,"","")"),"J. Matušku 764/26")</f>
        <v>J. Matušku 764/26</v>
      </c>
      <c r="N224" s="48" t="str">
        <f>IFERROR(__xludf.DUMMYFUNCTION("""COMPUTED_VALUE""")," 971 01 Prievidza")</f>
        <v> 971 01 Prievidza</v>
      </c>
      <c r="O224" s="122" t="s">
        <v>2506</v>
      </c>
      <c r="P224" s="50">
        <v>48.7816896</v>
      </c>
      <c r="Q224" s="109">
        <v>18.6157594</v>
      </c>
      <c r="R224" s="102" t="s">
        <v>2507</v>
      </c>
      <c r="S224" s="66" t="s">
        <v>1109</v>
      </c>
      <c r="T224" s="124" t="s">
        <v>86</v>
      </c>
      <c r="U224" s="54" t="s">
        <v>2508</v>
      </c>
      <c r="V224" s="84" t="s">
        <v>2509</v>
      </c>
      <c r="W224" s="77" t="s">
        <v>2510</v>
      </c>
      <c r="X224" s="77" t="s">
        <v>2511</v>
      </c>
      <c r="Y224" s="121" t="s">
        <v>2507</v>
      </c>
      <c r="Z224" s="119" t="s">
        <v>2512</v>
      </c>
      <c r="AA224" s="125" t="s">
        <v>64</v>
      </c>
      <c r="AB224" s="64"/>
      <c r="AC224" s="64"/>
      <c r="AD224" s="64"/>
      <c r="AE224" s="64"/>
      <c r="AF224" s="65"/>
      <c r="AG224" s="65"/>
      <c r="AH224" s="65"/>
      <c r="AI224" s="65"/>
      <c r="AJ224" s="65"/>
      <c r="AK224" s="66"/>
      <c r="AL224" s="67"/>
      <c r="AM224" s="52"/>
      <c r="AN224" s="80" t="s">
        <v>39</v>
      </c>
      <c r="AO224" s="68" t="str">
        <f t="shared" si="6"/>
        <v>LIGADO s. r. o. cistiace a upratovacie sluzby, &amp;#32vsetky kategorie  971 01 Prievidza Upratovacie sluzby, kontrola kvality. Zamestnavanie znevyhodnenych osob. LIGADO s.r.o. Upratovacie sluzby, kontrola kvality. upratovanie, kontrola kvality, cistenie           Register partnerov VS</v>
      </c>
      <c r="AP224" s="82"/>
    </row>
    <row r="225" ht="15.75" customHeight="1">
      <c r="A225" s="45"/>
      <c r="B225" s="70">
        <v>223.0</v>
      </c>
      <c r="C225" s="116" t="s">
        <v>2513</v>
      </c>
      <c r="D225" s="71" t="s">
        <v>66</v>
      </c>
      <c r="E225" s="43" t="str">
        <f t="shared" si="1"/>
        <v>Žilinský kraj, &amp;#32celé Slovensko</v>
      </c>
      <c r="F225" s="44" t="s">
        <v>407</v>
      </c>
      <c r="G225" s="43" t="str">
        <f t="shared" si="2"/>
        <v>poľnohospodárstvo a lesníctvo, dom a záhrada, &amp;#32všetky kategórie</v>
      </c>
      <c r="H225" s="44" t="s">
        <v>96</v>
      </c>
      <c r="I225" s="45" t="str">
        <f t="shared" si="3"/>
        <v>6 - 10, &amp;#32všetky možnosti</v>
      </c>
      <c r="J225" s="46" t="str">
        <f t="shared" si="4"/>
        <v>,Register partnerov VS</v>
      </c>
      <c r="K225" s="47">
        <f t="shared" si="5"/>
        <v>30113.4192</v>
      </c>
      <c r="L225" s="45"/>
      <c r="M225" s="49" t="str">
        <f>IFERROR(__xludf.DUMMYFUNCTION("SPLIT(O225,"","")"),"Fraňa Mráza 624")</f>
        <v>Fraňa Mráza 624</v>
      </c>
      <c r="N225" s="48" t="str">
        <f>IFERROR(__xludf.DUMMYFUNCTION("""COMPUTED_VALUE""")," 010 01 Žilina")</f>
        <v> 010 01 Žilina</v>
      </c>
      <c r="O225" s="122" t="s">
        <v>2514</v>
      </c>
      <c r="P225" s="50">
        <v>49.2287312</v>
      </c>
      <c r="Q225" s="109">
        <v>18.7347046</v>
      </c>
      <c r="R225" s="102" t="s">
        <v>2515</v>
      </c>
      <c r="S225" s="66" t="s">
        <v>2516</v>
      </c>
      <c r="T225" s="124" t="s">
        <v>2517</v>
      </c>
      <c r="U225" s="54" t="s">
        <v>2518</v>
      </c>
      <c r="V225" s="84" t="s">
        <v>2519</v>
      </c>
      <c r="W225" s="77" t="s">
        <v>2520</v>
      </c>
      <c r="X225" s="77" t="s">
        <v>2521</v>
      </c>
      <c r="Y225" s="121" t="s">
        <v>2522</v>
      </c>
      <c r="Z225" s="119" t="s">
        <v>2523</v>
      </c>
      <c r="AA225" s="125" t="s">
        <v>64</v>
      </c>
      <c r="AB225" s="64"/>
      <c r="AC225" s="64"/>
      <c r="AD225" s="64"/>
      <c r="AE225" s="64"/>
      <c r="AF225" s="65"/>
      <c r="AG225" s="65"/>
      <c r="AH225" s="65"/>
      <c r="AI225" s="65"/>
      <c r="AJ225" s="65"/>
      <c r="AK225" s="66"/>
      <c r="AL225" s="67"/>
      <c r="AM225" s="52"/>
      <c r="AN225" s="80" t="s">
        <v>39</v>
      </c>
      <c r="AO225" s="68" t="str">
        <f t="shared" si="6"/>
        <v>Unicarback Slovakia, s. r. o. polnohospodarstvo a lesnictvo, dom a zahrada, &amp;#32vsetky kategorie  010 01 Zilina Zabezpecujeme letnu a zimnu udrzbu sukromnych a obecnych pozemkov. Zamestnavame obcanov so zmenenou pracovnou schopnostou, ktori su znevyhodneni svojim zdravotnym stavom. Unicarback Slovakia, s.r.o. Zabezpecenie letnej a zimnej udrzby sukromnych a obecnych pozemkov. kosenie, strihanie krikov, vyrub, vysek, odhrnanie snehu, odvoz snehu, posyp           Register partnerov VS</v>
      </c>
      <c r="AP225" s="69" t="s">
        <v>41</v>
      </c>
    </row>
    <row r="226" ht="15.75" customHeight="1">
      <c r="A226" s="45"/>
      <c r="B226" s="70">
        <v>224.0</v>
      </c>
      <c r="C226" s="116" t="s">
        <v>2524</v>
      </c>
      <c r="D226" s="71" t="s">
        <v>134</v>
      </c>
      <c r="E226" s="43" t="str">
        <f t="shared" si="1"/>
        <v>Trenčiansky kraj, &amp;#32celé Slovensko</v>
      </c>
      <c r="F226" s="44" t="s">
        <v>2525</v>
      </c>
      <c r="G226" s="43" t="str">
        <f t="shared" si="2"/>
        <v>krása-zdravie-relax, reklama, obaly, odevy a obuv, bižutéria a darčekové predmety, iné (tovary a služby), &amp;#32všetky kategórie</v>
      </c>
      <c r="H226" s="44" t="s">
        <v>53</v>
      </c>
      <c r="I226" s="45" t="str">
        <f t="shared" si="3"/>
        <v>1 - 5, &amp;#32všetky možnosti</v>
      </c>
      <c r="J226" s="46" t="str">
        <f t="shared" si="4"/>
        <v>,Register partnerov VS</v>
      </c>
      <c r="K226" s="47">
        <f t="shared" si="5"/>
        <v>37846.49048</v>
      </c>
      <c r="L226" s="45"/>
      <c r="M226" s="49" t="str">
        <f>IFERROR(__xludf.DUMMYFUNCTION("SPLIT(O226,"","")"),"Pstruhárska 785/5")</f>
        <v>Pstruhárska 785/5</v>
      </c>
      <c r="N226" s="48" t="str">
        <f>IFERROR(__xludf.DUMMYFUNCTION("""COMPUTED_VALUE""")," 972 51 Handlová")</f>
        <v> 972 51 Handlová</v>
      </c>
      <c r="O226" s="122" t="s">
        <v>2526</v>
      </c>
      <c r="P226" s="50">
        <v>48.7309811</v>
      </c>
      <c r="Q226" s="109">
        <v>18.7680906</v>
      </c>
      <c r="R226" s="123" t="s">
        <v>2527</v>
      </c>
      <c r="S226" s="66" t="s">
        <v>2528</v>
      </c>
      <c r="T226" s="124" t="s">
        <v>86</v>
      </c>
      <c r="U226" s="54" t="s">
        <v>2529</v>
      </c>
      <c r="V226" s="84" t="s">
        <v>2530</v>
      </c>
      <c r="W226" s="77" t="s">
        <v>2531</v>
      </c>
      <c r="X226" s="77" t="s">
        <v>2532</v>
      </c>
      <c r="Y226" s="121" t="s">
        <v>2533</v>
      </c>
      <c r="Z226" s="119" t="s">
        <v>2534</v>
      </c>
      <c r="AA226" s="125" t="s">
        <v>64</v>
      </c>
      <c r="AB226" s="64"/>
      <c r="AC226" s="64"/>
      <c r="AD226" s="64"/>
      <c r="AE226" s="64"/>
      <c r="AF226" s="65"/>
      <c r="AG226" s="65"/>
      <c r="AH226" s="65"/>
      <c r="AI226" s="65"/>
      <c r="AJ226" s="65"/>
      <c r="AK226" s="66"/>
      <c r="AL226" s="67"/>
      <c r="AM226" s="52"/>
      <c r="AN226" s="80" t="s">
        <v>39</v>
      </c>
      <c r="AO226" s="68" t="str">
        <f t="shared" si="6"/>
        <v>ekki s. r. o. krasa-zdravie-relax, reklama, obaly, odevy a obuv, bizuteria a darcekove predmety, ine (tovary a sluzby), &amp;#32vsetky kategorie  972 51 Handlova Vyroba vyrobkov sitim a vysokofrekvencnym zvaranim, vyroba zdravotnickych pomocok Dynasit na zdrave sedenie, vyroba reklamnych predmetov a reklamneho textilu. Vyroba zdravotnickych pomocok Dynasit s pridanou hodnotou so zamestnancami, ktori maju znevyhodnenie. ekki s.r.o. Vyroba vyrobkov sitim a vysokofrekvencnym zvaranim, vyroba zdravotnickych pomocok Dynasit na zdrave sedenie, vyroba sportovych, futbalovych a basketbalovych dresov. textilna vyroba, zdravotnicke pomocky, Dynasit, reklamne odevy, reklamne predmety, zdravotnicke pomocky, sportove dresy           Register partnerov VS</v>
      </c>
      <c r="AP226" s="69" t="s">
        <v>41</v>
      </c>
    </row>
    <row r="227" ht="15.75" customHeight="1">
      <c r="A227" s="45"/>
      <c r="B227" s="70">
        <v>225.0</v>
      </c>
      <c r="C227" s="116" t="s">
        <v>2535</v>
      </c>
      <c r="D227" s="71" t="s">
        <v>181</v>
      </c>
      <c r="E227" s="43" t="str">
        <f t="shared" si="1"/>
        <v>Banskobystrický kraj, &amp;#32celé Slovensko</v>
      </c>
      <c r="F227" s="44" t="s">
        <v>2536</v>
      </c>
      <c r="G227" s="43" t="str">
        <f t="shared" si="2"/>
        <v>čistiace a upratovacie služby, stavebníctvo, dom a záhrada, &amp;#32všetky kategórie</v>
      </c>
      <c r="H227" s="44" t="s">
        <v>96</v>
      </c>
      <c r="I227" s="45" t="str">
        <f t="shared" si="3"/>
        <v>6 - 10, &amp;#32všetky možnosti</v>
      </c>
      <c r="J227" s="46" t="str">
        <f t="shared" si="4"/>
        <v>,</v>
      </c>
      <c r="K227" s="47">
        <f t="shared" si="5"/>
        <v>20397.07542</v>
      </c>
      <c r="L227" s="45"/>
      <c r="M227" s="49" t="str">
        <f>IFERROR(__xludf.DUMMYFUNCTION("SPLIT(O227,"","")"),"Hrádza 98/2")</f>
        <v>Hrádza 98/2</v>
      </c>
      <c r="N227" s="48" t="str">
        <f>IFERROR(__xludf.DUMMYFUNCTION("""COMPUTED_VALUE""")," 976 64 Bacúch")</f>
        <v> 976 64 Bacúch</v>
      </c>
      <c r="O227" s="122" t="s">
        <v>2537</v>
      </c>
      <c r="P227" s="50">
        <v>48.8600224</v>
      </c>
      <c r="Q227" s="109">
        <v>19.8068403</v>
      </c>
      <c r="R227" s="123" t="s">
        <v>2538</v>
      </c>
      <c r="S227" s="66" t="s">
        <v>2539</v>
      </c>
      <c r="T227" s="124" t="s">
        <v>86</v>
      </c>
      <c r="U227" s="54" t="s">
        <v>2540</v>
      </c>
      <c r="V227" s="84" t="s">
        <v>2541</v>
      </c>
      <c r="W227" s="77" t="s">
        <v>2542</v>
      </c>
      <c r="X227" s="77" t="s">
        <v>2535</v>
      </c>
      <c r="Y227" s="121" t="s">
        <v>2543</v>
      </c>
      <c r="Z227" s="119" t="s">
        <v>2544</v>
      </c>
      <c r="AA227" s="125" t="s">
        <v>64</v>
      </c>
      <c r="AB227" s="64"/>
      <c r="AC227" s="64"/>
      <c r="AD227" s="64"/>
      <c r="AE227" s="64"/>
      <c r="AF227" s="65"/>
      <c r="AG227" s="65"/>
      <c r="AH227" s="65"/>
      <c r="AI227" s="65"/>
      <c r="AJ227" s="65"/>
      <c r="AK227" s="66"/>
      <c r="AL227" s="67"/>
      <c r="AM227" s="36"/>
      <c r="AN227" s="65"/>
      <c r="AO227" s="68" t="str">
        <f t="shared" si="6"/>
        <v>StavbarSK s.r.o. cistiace a upratovacie sluzby, stavebnictvo, dom a zahrada, &amp;#32vsetky kategorie  976 64 Bacuch Prioritou socialneho podniku su verejnoprospesne prace so zretelom na ekologiu a zivotne prostredie Nizkych Tatier a regionu Horehronie: stavebne a po-stavebne prace, zemne prace, zahradnicke prace, cistenie brehov vodnych tokov, uprava verejnych priestranstiev, prirody, uprava ciest, sluzby pre seniorov. Zo stavebnych prac su to konkretne: zemne a vykopove prace, liniove stavby, opravky stien - malovanie alebo
 vytvorenie novej fasady, buranie stavieb, znizovanie stropov so sadrokartonom, obkladanie toaliet a kupelni. Nas personal bude profesionalne zaskoleny a pripraveny uchadzat sa aj o komplexne zakazky, ako je napriklad budova divadla, rozne statne budovy ako policajne stanice, nemocnice, vaznice, hasicske zbrojnice a pod. Spolocensky dopad v ramci podpory regionalneho rozvoja a zamestnanosti bude vyznamny - zlepsime zivotnu uroven socialne znevyhodnenym osobam, cim prinesieme lepsiu zivotnu uroven do lokalnej komunity. S predpokladom zlepsenia kvality ich zivota ocakavame pokles kriminality a nezamestnanosti. Pozitivny socialny vplyv bude meratelny vyslednou pracou aj spatnou vazbou objednavatela i samotneho okolia. Neustalym vzdelavanim sa a pracou v terene ocakavame a predpokladame aj viditelne zmeny v osobnostnom i spolocenskom postoji zamestnancov, rast a prosperitu v margalizovanej skupine a komunite, v ktorej ziju. Spatna vazba sa bude realizovat rozhovorom a dotaznikmi. StavbarSK s.r.o. Zemne prace, buranie, uprava okolia budov, nove fasady, malovanie, znizovanie stropov. zemne prace, buranie, kosenie, uprava prirody, uprava ciest, liniove stavby, malovanie, nove fasady, buranie stavieb, znizovanie stropov so sadrokartonom, obkladanie zachodov a kupelni, rekonstrukcia, starostlivost o domacnost           </v>
      </c>
      <c r="AP227" s="82"/>
    </row>
    <row r="228" ht="15.75" customHeight="1">
      <c r="A228" s="45"/>
      <c r="B228" s="70">
        <v>226.0</v>
      </c>
      <c r="C228" s="116" t="s">
        <v>2545</v>
      </c>
      <c r="D228" s="71" t="s">
        <v>66</v>
      </c>
      <c r="E228" s="43" t="str">
        <f t="shared" si="1"/>
        <v>Žilinský kraj, &amp;#32celé Slovensko</v>
      </c>
      <c r="F228" s="44" t="s">
        <v>2546</v>
      </c>
      <c r="G228" s="43" t="str">
        <f t="shared" si="2"/>
        <v>čistiace a upratovacie služby, účtovníctvo a poradenstvo, &amp;#32všetky kategórie</v>
      </c>
      <c r="H228" s="44" t="s">
        <v>53</v>
      </c>
      <c r="I228" s="45" t="str">
        <f t="shared" si="3"/>
        <v>1 - 5, &amp;#32všetky možnosti</v>
      </c>
      <c r="J228" s="46" t="str">
        <f t="shared" si="4"/>
        <v>,</v>
      </c>
      <c r="K228" s="47">
        <f t="shared" si="5"/>
        <v>17448.20605</v>
      </c>
      <c r="L228" s="45"/>
      <c r="M228" s="49" t="str">
        <f>IFERROR(__xludf.DUMMYFUNCTION("SPLIT(O228,"","")"),"Mojš 373")</f>
        <v>Mojš 373</v>
      </c>
      <c r="N228" s="48" t="str">
        <f>IFERROR(__xludf.DUMMYFUNCTION("""COMPUTED_VALUE""")," 010 01 Žilina")</f>
        <v> 010 01 Žilina</v>
      </c>
      <c r="O228" s="122" t="s">
        <v>2547</v>
      </c>
      <c r="P228" s="50">
        <v>49.1993248</v>
      </c>
      <c r="Q228" s="109">
        <v>18.8212197</v>
      </c>
      <c r="R228" s="123" t="s">
        <v>2548</v>
      </c>
      <c r="S228" s="66" t="s">
        <v>2549</v>
      </c>
      <c r="T228" s="124" t="s">
        <v>86</v>
      </c>
      <c r="U228" s="54" t="s">
        <v>2550</v>
      </c>
      <c r="V228" s="84" t="s">
        <v>2551</v>
      </c>
      <c r="W228" s="77" t="s">
        <v>2552</v>
      </c>
      <c r="X228" s="77" t="s">
        <v>2545</v>
      </c>
      <c r="Y228" s="121" t="s">
        <v>2553</v>
      </c>
      <c r="Z228" s="119" t="s">
        <v>2554</v>
      </c>
      <c r="AA228" s="125" t="s">
        <v>64</v>
      </c>
      <c r="AB228" s="64"/>
      <c r="AC228" s="64"/>
      <c r="AD228" s="64"/>
      <c r="AE228" s="64"/>
      <c r="AF228" s="65"/>
      <c r="AG228" s="65"/>
      <c r="AH228" s="65"/>
      <c r="AI228" s="65"/>
      <c r="AJ228" s="65"/>
      <c r="AK228" s="66"/>
      <c r="AL228" s="67"/>
      <c r="AM228" s="36"/>
      <c r="AN228" s="65"/>
      <c r="AO228" s="68" t="str">
        <f t="shared" si="6"/>
        <v>EkoRent, s.r.o. cistiace a upratovacie sluzby, uctovnictvo a poradenstvo, &amp;#32vsetky kategorie  010 01 Zilina Vedenie a spracovanie uctovnictva, miezd a danovych priznani. Nase podnikatelske aktivity su spolocensky prospesne vsetkym podnikatelskym subjektom a zaroven svoje sluzby ponukame aj nepodnikatelom, teda zamestnancom, ktori si nedokazu svoje danove priznanie spracovat sami. Zaroven sme vytvorili pracovne miesta aj pre znevyhodnenych zamestnancov, ktori mali problem uplatnit sa na trhu prace. Spolocnost prispieva k dosahovaniu pozitivneho socialneho vplyvu poskytovanim spolocensky prospesnej sluzby v oblasti zamestnanosti, a to zamestnavanim zranitelnych alebo znevyhodnenych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EkoRent, s.r.o. Nasa spolocnost ponuka vedenie a spracovanie uctovnictva a miezd a tiez upratovacie prace. uctovne sluzby, upratovacie sluzby, upratovanie, cistenie, vedenie uctovnictva           </v>
      </c>
      <c r="AP228" s="82"/>
    </row>
    <row r="229" ht="15.75" customHeight="1">
      <c r="A229" s="45"/>
      <c r="B229" s="70">
        <v>227.0</v>
      </c>
      <c r="C229" s="116" t="s">
        <v>2555</v>
      </c>
      <c r="D229" s="71" t="s">
        <v>181</v>
      </c>
      <c r="E229" s="43" t="str">
        <f t="shared" si="1"/>
        <v>Banskobystrický kraj, &amp;#32celé Slovensko</v>
      </c>
      <c r="F229" s="44" t="s">
        <v>2556</v>
      </c>
      <c r="G229" s="43" t="str">
        <f t="shared" si="2"/>
        <v>kovovýroba, stavebníctvo, &amp;#32všetky kategórie</v>
      </c>
      <c r="H229" s="44" t="s">
        <v>53</v>
      </c>
      <c r="I229" s="45" t="str">
        <f t="shared" si="3"/>
        <v>1 - 5, &amp;#32všetky možnosti</v>
      </c>
      <c r="J229" s="46" t="str">
        <f t="shared" si="4"/>
        <v>,</v>
      </c>
      <c r="K229" s="47">
        <f t="shared" si="5"/>
        <v>40315.80725</v>
      </c>
      <c r="L229" s="45"/>
      <c r="M229" s="49" t="str">
        <f>IFERROR(__xludf.DUMMYFUNCTION("SPLIT(O229,"","")"),"Ľ. Štúra 559/12")</f>
        <v>Ľ. Štúra 559/12</v>
      </c>
      <c r="N229" s="48" t="str">
        <f>IFERROR(__xludf.DUMMYFUNCTION("""COMPUTED_VALUE""")," 990 01 Veľký Krtíš")</f>
        <v> 990 01 Veľký Krtíš</v>
      </c>
      <c r="O229" s="122" t="s">
        <v>2557</v>
      </c>
      <c r="P229" s="50">
        <v>48.2140616999999</v>
      </c>
      <c r="Q229" s="109">
        <v>19.3537256</v>
      </c>
      <c r="R229" s="102" t="s">
        <v>2558</v>
      </c>
      <c r="S229" s="66" t="s">
        <v>2559</v>
      </c>
      <c r="T229" s="124" t="s">
        <v>86</v>
      </c>
      <c r="U229" s="54" t="s">
        <v>2560</v>
      </c>
      <c r="V229" s="84" t="s">
        <v>2561</v>
      </c>
      <c r="W229" s="77" t="s">
        <v>2562</v>
      </c>
      <c r="X229" s="77" t="s">
        <v>2563</v>
      </c>
      <c r="Y229" s="121" t="s">
        <v>2564</v>
      </c>
      <c r="Z229" s="119" t="s">
        <v>2565</v>
      </c>
      <c r="AA229" s="125" t="s">
        <v>64</v>
      </c>
      <c r="AB229" s="64"/>
      <c r="AC229" s="64"/>
      <c r="AD229" s="64"/>
      <c r="AE229" s="64"/>
      <c r="AF229" s="65"/>
      <c r="AG229" s="65"/>
      <c r="AH229" s="65"/>
      <c r="AI229" s="65"/>
      <c r="AJ229" s="65"/>
      <c r="AK229" s="66"/>
      <c r="AL229" s="67"/>
      <c r="AM229" s="36"/>
      <c r="AN229" s="65"/>
      <c r="AO229" s="68" t="str">
        <f t="shared" si="6"/>
        <v>M&amp;S products s.r.o. kovovyroba, stavebnictvo, &amp;#32vsetky kategorie  990 01 Velky Krtis Nasa spolocnost sa zaobera vyrobou bran, plotov, pristreskov z kovu - hlinika, a to od samotneho navrhu, vyroby, zabezpecenia povrchovej upravy, montaze az po automatizaciu bran. Vyrabame tiez kovove schody a zabradlia na mieru, vratane montaze. Renovujeme brany a vyrabame aj ine drobne kovove vyrobky. Zamestnavanim zdravotne znevyhodnenych a zranitelnych osob. M&amp;S products s.r.o., r.s.p. Vyroba kovovych a hlinikovych bran a plotov, pristreskov, schodisk, zabradli. kovovyroba, brana, zabradlie, pristresok, plot, schodisko, kovove vyrobky           </v>
      </c>
      <c r="AP229" s="82"/>
    </row>
    <row r="230" ht="15.75" customHeight="1">
      <c r="A230" s="45"/>
      <c r="B230" s="70">
        <v>228.0</v>
      </c>
      <c r="C230" s="116" t="s">
        <v>2566</v>
      </c>
      <c r="D230" s="71" t="s">
        <v>134</v>
      </c>
      <c r="E230" s="43" t="str">
        <f t="shared" si="1"/>
        <v>Trenčiansky kraj, &amp;#32celé Slovensko</v>
      </c>
      <c r="F230" s="44" t="s">
        <v>396</v>
      </c>
      <c r="G230" s="43" t="str">
        <f t="shared" si="2"/>
        <v>iné (tovary a služby), &amp;#32všetky kategórie</v>
      </c>
      <c r="H230" s="44" t="s">
        <v>96</v>
      </c>
      <c r="I230" s="45" t="str">
        <f t="shared" si="3"/>
        <v>6 - 10, &amp;#32všetky možnosti</v>
      </c>
      <c r="J230" s="46" t="str">
        <f t="shared" si="4"/>
        <v>,Register partnerov VS</v>
      </c>
      <c r="K230" s="47">
        <f t="shared" si="5"/>
        <v>1670.699256</v>
      </c>
      <c r="L230" s="45"/>
      <c r="M230" s="49" t="str">
        <f>IFERROR(__xludf.DUMMYFUNCTION("SPLIT(O230,"","")"),"Bzince pod Javorinou 348")</f>
        <v>Bzince pod Javorinou 348</v>
      </c>
      <c r="N230" s="48" t="str">
        <f>IFERROR(__xludf.DUMMYFUNCTION("""COMPUTED_VALUE""")," 916 11 Bzince pod Javorinou")</f>
        <v> 916 11 Bzince pod Javorinou</v>
      </c>
      <c r="O230" s="122" t="s">
        <v>2567</v>
      </c>
      <c r="P230" s="50">
        <v>48.7880419</v>
      </c>
      <c r="Q230" s="109">
        <v>17.7713608</v>
      </c>
      <c r="R230" s="123" t="s">
        <v>2568</v>
      </c>
      <c r="S230" s="66" t="s">
        <v>2569</v>
      </c>
      <c r="T230" s="124" t="s">
        <v>86</v>
      </c>
      <c r="U230" s="54" t="s">
        <v>2570</v>
      </c>
      <c r="V230" s="84" t="s">
        <v>2571</v>
      </c>
      <c r="W230" s="77" t="s">
        <v>2572</v>
      </c>
      <c r="X230" s="77" t="s">
        <v>2566</v>
      </c>
      <c r="Y230" s="121" t="s">
        <v>2568</v>
      </c>
      <c r="Z230" s="119" t="s">
        <v>2573</v>
      </c>
      <c r="AA230" s="125" t="s">
        <v>64</v>
      </c>
      <c r="AB230" s="64"/>
      <c r="AC230" s="64"/>
      <c r="AD230" s="64"/>
      <c r="AE230" s="64"/>
      <c r="AF230" s="65"/>
      <c r="AG230" s="65"/>
      <c r="AH230" s="65"/>
      <c r="AI230" s="65"/>
      <c r="AJ230" s="65"/>
      <c r="AK230" s="66"/>
      <c r="AL230" s="67"/>
      <c r="AM230" s="52"/>
      <c r="AN230" s="80" t="s">
        <v>39</v>
      </c>
      <c r="AO230" s="68" t="str">
        <f t="shared" si="6"/>
        <v>Prevadzka s. r. o. ine (tovary a sluzby), &amp;#32vsetky kategorie  916 11 Bzince pod Javorinou Pohrebne sluzby, stankovy predaj novin a casopisov, kosenie travnatych ploch. Podpora zamestnanosti prostrednictvom zamestnavania znevyhodnenych alebo zranitelnych osob. Prevadzka s. r. o. Pohrebne sluzby, stankovy predaj novin a casopisov, kosenie travnatych ploch. kosenie, predaj vencov, noviny, casopisy           Register partnerov VS</v>
      </c>
      <c r="AP230" s="69" t="s">
        <v>41</v>
      </c>
    </row>
    <row r="231" ht="15.75" customHeight="1">
      <c r="A231" s="45"/>
      <c r="B231" s="70">
        <v>229.0</v>
      </c>
      <c r="C231" s="116" t="s">
        <v>2574</v>
      </c>
      <c r="D231" s="71" t="s">
        <v>217</v>
      </c>
      <c r="E231" s="43" t="str">
        <f t="shared" si="1"/>
        <v>Košický kraj, &amp;#32celé Slovensko</v>
      </c>
      <c r="F231" s="44" t="s">
        <v>257</v>
      </c>
      <c r="G231" s="43" t="str">
        <f t="shared" si="2"/>
        <v>odevy a obuv, &amp;#32všetky kategórie</v>
      </c>
      <c r="H231" s="44" t="s">
        <v>53</v>
      </c>
      <c r="I231" s="45" t="str">
        <f t="shared" si="3"/>
        <v>1 - 5, &amp;#32všetky možnosti</v>
      </c>
      <c r="J231" s="46" t="str">
        <f t="shared" si="4"/>
        <v>,</v>
      </c>
      <c r="K231" s="47">
        <f t="shared" si="5"/>
        <v>3363.151054</v>
      </c>
      <c r="L231" s="45"/>
      <c r="M231" s="49" t="str">
        <f>IFERROR(__xludf.DUMMYFUNCTION("SPLIT(O231,"","")"),"Betliarska 74/2")</f>
        <v>Betliarska 74/2</v>
      </c>
      <c r="N231" s="48" t="str">
        <f>IFERROR(__xludf.DUMMYFUNCTION("""COMPUTED_VALUE""")," 048 01 Rožňava")</f>
        <v> 048 01 Rožňava</v>
      </c>
      <c r="O231" s="122" t="s">
        <v>2575</v>
      </c>
      <c r="P231" s="50">
        <v>48.6631137</v>
      </c>
      <c r="Q231" s="109">
        <v>20.532593</v>
      </c>
      <c r="R231" s="123" t="s">
        <v>2576</v>
      </c>
      <c r="S231" s="66" t="s">
        <v>2577</v>
      </c>
      <c r="T231" s="124" t="s">
        <v>2578</v>
      </c>
      <c r="U231" s="54" t="s">
        <v>2579</v>
      </c>
      <c r="V231" s="84" t="s">
        <v>2580</v>
      </c>
      <c r="W231" s="77" t="s">
        <v>2581</v>
      </c>
      <c r="X231" s="77" t="s">
        <v>2582</v>
      </c>
      <c r="Y231" s="121" t="s">
        <v>2583</v>
      </c>
      <c r="Z231" s="119" t="s">
        <v>2584</v>
      </c>
      <c r="AA231" s="125" t="s">
        <v>64</v>
      </c>
      <c r="AB231" s="64"/>
      <c r="AC231" s="64"/>
      <c r="AD231" s="64"/>
      <c r="AE231" s="64"/>
      <c r="AF231" s="65"/>
      <c r="AG231" s="65"/>
      <c r="AH231" s="65"/>
      <c r="AI231" s="65"/>
      <c r="AJ231" s="65"/>
      <c r="AK231" s="66"/>
      <c r="AL231" s="67"/>
      <c r="AM231" s="36"/>
      <c r="AN231" s="65"/>
      <c r="AO231" s="68" t="str">
        <f t="shared" si="6"/>
        <v>KLASTOR odevy a obuv, &amp;#32vsetky kategorie  048 01 Roznava Monastery - Klastor (2021) - je krajcirska dielna v priestoroch byvaleho frantiskanskeho klastora, ktory sluzi verejnosti ako kulturno-kreativne centrum. Nadvazuje na existenciu dvoch sijacich dielni: Kutika (2014) v obci Gemer a Monastery (2018) v meste Roznava. Kym prvej vdacime za stroje a vybavenie, druhej za meno a prvotne zabyvanie dielne v priestoroch klastora. Nasim cielom je ponuknut nove pracovne miesta ludom z regionu Gemera v ramci novovzniknuteho socialneho podniku KLASTOR, ktoreho sucastou je aj krajcirska dielna. Vam, nasim zakaznikom, chceme ponuknut spokojnost a radost z kvalitnych sluzieb a produktov, ktore v minulosti zdobili tento region.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Nasim zamerom je, aby v prevadzkach socialneho podniku nasli uplatnenie aj ludia so socialnym alebo zdravotnym znevyhodnenim, dlhodobo nezamestnani a ludia tazsie uplatnitelni na trhu prace. Pri vyrobe sa riadime principmi tzv. pomalej mody, vyuzivame udrzatelne materialy a poskytujeme sluzby pre lokalne znacky. Klastor - krajcirska dielna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krajcirske sluzby, strih, sitie           </v>
      </c>
      <c r="AP231" s="69" t="s">
        <v>41</v>
      </c>
    </row>
    <row r="232" ht="15.75" customHeight="1">
      <c r="A232" s="45"/>
      <c r="B232" s="70">
        <v>230.0</v>
      </c>
      <c r="C232" s="116" t="s">
        <v>2585</v>
      </c>
      <c r="D232" s="71" t="s">
        <v>228</v>
      </c>
      <c r="E232" s="43" t="str">
        <f t="shared" si="1"/>
        <v>Nitriansky kraj, &amp;#32celé Slovensko</v>
      </c>
      <c r="F232" s="44" t="s">
        <v>2586</v>
      </c>
      <c r="G232" s="43" t="str">
        <f t="shared" si="2"/>
        <v>čistiace a upratovacie služby, poľnohospodárstvo a lesníctvo, dom a záhrada, stavebníctvo, doprava, cestovný ruch, kultúra a šport, &amp;#32všetky kategórie</v>
      </c>
      <c r="H232" s="44" t="s">
        <v>96</v>
      </c>
      <c r="I232" s="45" t="str">
        <f t="shared" si="3"/>
        <v>6 - 10, &amp;#32všetky možnosti</v>
      </c>
      <c r="J232" s="46" t="str">
        <f t="shared" si="4"/>
        <v>,Register partnerov VS</v>
      </c>
      <c r="K232" s="47">
        <f t="shared" si="5"/>
        <v>7821.044111</v>
      </c>
      <c r="L232" s="45"/>
      <c r="M232" s="49" t="str">
        <f>IFERROR(__xludf.DUMMYFUNCTION("SPLIT(O232,"","")"),"Poštová 652")</f>
        <v>Poštová 652</v>
      </c>
      <c r="N232" s="48" t="str">
        <f>IFERROR(__xludf.DUMMYFUNCTION("""COMPUTED_VALUE""")," 956 07 Veľké Ripňany")</f>
        <v> 956 07 Veľké Ripňany</v>
      </c>
      <c r="O232" s="122" t="s">
        <v>2587</v>
      </c>
      <c r="P232" s="50">
        <v>48.4987349</v>
      </c>
      <c r="Q232" s="109">
        <v>17.9776959</v>
      </c>
      <c r="R232" s="102" t="s">
        <v>2588</v>
      </c>
      <c r="S232" s="66" t="s">
        <v>2589</v>
      </c>
      <c r="T232" s="124" t="s">
        <v>2590</v>
      </c>
      <c r="U232" s="54" t="s">
        <v>2591</v>
      </c>
      <c r="V232" s="84" t="s">
        <v>2592</v>
      </c>
      <c r="W232" s="77" t="s">
        <v>2593</v>
      </c>
      <c r="X232" s="77" t="s">
        <v>2594</v>
      </c>
      <c r="Y232" s="121" t="s">
        <v>2595</v>
      </c>
      <c r="Z232" s="119" t="s">
        <v>2596</v>
      </c>
      <c r="AA232" s="125" t="s">
        <v>64</v>
      </c>
      <c r="AB232" s="64"/>
      <c r="AC232" s="64"/>
      <c r="AD232" s="64"/>
      <c r="AE232" s="64"/>
      <c r="AF232" s="65"/>
      <c r="AG232" s="65"/>
      <c r="AH232" s="65"/>
      <c r="AI232" s="65"/>
      <c r="AJ232" s="65"/>
      <c r="AK232" s="66"/>
      <c r="AL232" s="67"/>
      <c r="AM232" s="52"/>
      <c r="AN232" s="80" t="s">
        <v>39</v>
      </c>
      <c r="AO232" s="68" t="str">
        <f t="shared" si="6"/>
        <v>VeRi, s. r. o. cistiace a upratovacie sluzby, polnohospodarstvo a lesnictvo, dom a zahrada, stavebnictvo, doprava, cestovny ruch, kultura a sport, &amp;#32vsetky kategorie  956 07 Velke Ripnany Obecne sluzby, zahradnicke sluzby, komunalne sluzby, stavebne prace, komunitne centrum. Podnik je sucastou obce, zamestnava socialne a zdravotne znevyhodnenych obcanov. VeRi, s.r.o. Komunalne sluzby, zahradne prace, stavebne prace. zemne prace, kosenie, stavebne prace, zahradne prace, komunitne centrum, starostlivost o domacnost           Register partnerov VS</v>
      </c>
      <c r="AP232" s="82"/>
    </row>
    <row r="233" ht="15.75" customHeight="1">
      <c r="A233" s="45"/>
      <c r="B233" s="70">
        <v>231.0</v>
      </c>
      <c r="C233" s="116" t="s">
        <v>2597</v>
      </c>
      <c r="D233" s="71" t="s">
        <v>66</v>
      </c>
      <c r="E233" s="43" t="str">
        <f t="shared" si="1"/>
        <v>Žilinský kraj, &amp;#32celé Slovensko</v>
      </c>
      <c r="F233" s="44" t="s">
        <v>2598</v>
      </c>
      <c r="G233" s="43" t="str">
        <f t="shared" si="2"/>
        <v>kultúra a šport, potraviny a nápoje, krása-zdravie-relax, reklama, &amp;#32všetky kategórie</v>
      </c>
      <c r="H233" s="44" t="s">
        <v>82</v>
      </c>
      <c r="I233" s="45" t="str">
        <f t="shared" si="3"/>
        <v>11 - 15, &amp;#32všetky možnosti</v>
      </c>
      <c r="J233" s="46" t="str">
        <f t="shared" si="4"/>
        <v>,Register partnerov VS</v>
      </c>
      <c r="K233" s="47">
        <f t="shared" si="5"/>
        <v>36715.39117</v>
      </c>
      <c r="L233" s="45"/>
      <c r="M233" s="49" t="str">
        <f>IFERROR(__xludf.DUMMYFUNCTION("SPLIT(O233,"","")"),"1. mája 144/31")</f>
        <v>1. mája 144/31</v>
      </c>
      <c r="N233" s="48" t="str">
        <f>IFERROR(__xludf.DUMMYFUNCTION("""COMPUTED_VALUE""")," 038 51 Turčianska Štiavnička")</f>
        <v> 038 51 Turčianska Štiavnička</v>
      </c>
      <c r="O233" s="122" t="s">
        <v>2599</v>
      </c>
      <c r="P233" s="50">
        <v>49.0887238</v>
      </c>
      <c r="Q233" s="109">
        <v>19.0244348</v>
      </c>
      <c r="R233" s="123" t="s">
        <v>2600</v>
      </c>
      <c r="S233" s="66" t="s">
        <v>2601</v>
      </c>
      <c r="T233" s="124" t="s">
        <v>86</v>
      </c>
      <c r="U233" s="54" t="s">
        <v>2602</v>
      </c>
      <c r="V233" s="84" t="s">
        <v>2603</v>
      </c>
      <c r="W233" s="77" t="s">
        <v>2604</v>
      </c>
      <c r="X233" s="77" t="s">
        <v>2605</v>
      </c>
      <c r="Y233" s="51" t="s">
        <v>2606</v>
      </c>
      <c r="Z233" s="59" t="s">
        <v>2607</v>
      </c>
      <c r="AA233" s="126" t="s">
        <v>129</v>
      </c>
      <c r="AB233" s="77" t="s">
        <v>2605</v>
      </c>
      <c r="AC233" s="77" t="s">
        <v>2606</v>
      </c>
      <c r="AD233" s="77" t="s">
        <v>2608</v>
      </c>
      <c r="AE233" s="127" t="s">
        <v>129</v>
      </c>
      <c r="AF233" s="128" t="s">
        <v>2609</v>
      </c>
      <c r="AG233" s="128" t="s">
        <v>2610</v>
      </c>
      <c r="AH233" s="64"/>
      <c r="AI233" s="64"/>
      <c r="AJ233" s="64"/>
      <c r="AK233" s="78"/>
      <c r="AL233" s="67"/>
      <c r="AM233" s="52"/>
      <c r="AN233" s="80" t="s">
        <v>39</v>
      </c>
      <c r="AO233" s="68" t="str">
        <f t="shared" si="6"/>
        <v>PEDORE, s.r.o. kultura a sport, potraviny a napoje, krasa-zdravie-relax, reklama, &amp;#32vsetky kategorie  038 51 Turcianska Stiavnicka V nasej ponuke su: reklamne predmety s firemnym logom, kalendare, novorocne pozdravy, diare, darcekove kose, frote a textil, firemna potlac, firemna vysivka, tlac vizitiek, plagatov, propagacnych materialov, zakazkova vyroba a pod.
 Dalsou cinnostou nasho registrovaneho socialneho podniku su lymfodrenaze, masaze, zostihlujuce procedury, vazenie inbody, program na redukciu hmotnosti, predaj vyrobkov na chudnutie a vyzivove poradenstvo, ako i prevadzkovanie zariadeni sluziacich na regeneraciu a rekondiciu. 80% nasich zamestnancov je na trhu prace znevyhodnenych. Ich potreby a zdravotne obmedzenia akceptujeme, vytvarame im vhodne podmienky a pracovne prostredie, pomahame im uplatnovat sa na trhu prace. Relax Martin, Pedore sro - rsp Prevadzkovanie zariadeni sluziacich na regeneraciu a rekondiciu, masaze, lymfodrenaze, formovanie postavy, vyzivove poradenstvo, predaj produktov na chudnutie Ketodiet. masaze, lymfodrenaze, formovanie postavy, solarium, ketodiet, reklamne predmety, darcekove kose, firemna potlac, firemna vysivka Relax Martin, Pedore sro - rsp Prevadzkovanie zariadeni sluziacich na regeneraciu a rekondiciu, masaze, lymfodrenaze, formovanie postavy, vyzivove poradenstvo, predaj produktov na chudnutie Ketodiet. reklamne predmety, kalendare, diare, vizitky, prace na zakazku, tlac, reklamny textil Reklamna agentura Pedore Reklamne predmety s logom spolocnosti, kalendare, diare, vizitky, tlac propagacnych materialov, zakazkova vyroba.      Register partnerov VS</v>
      </c>
      <c r="AP233" s="69" t="s">
        <v>41</v>
      </c>
    </row>
    <row r="234" ht="15.75" customHeight="1">
      <c r="A234" s="45"/>
      <c r="B234" s="70">
        <v>232.0</v>
      </c>
      <c r="C234" s="116" t="s">
        <v>2611</v>
      </c>
      <c r="D234" s="71" t="s">
        <v>217</v>
      </c>
      <c r="E234" s="43" t="str">
        <f t="shared" si="1"/>
        <v>Košický kraj, &amp;#32celé Slovensko</v>
      </c>
      <c r="F234" s="44" t="s">
        <v>2612</v>
      </c>
      <c r="G234" s="43" t="str">
        <f t="shared" si="2"/>
        <v>čistiace a upratovacie služby, dom a záhrada, stavebníctvo, reklama, nábytok a bytové doplnky, bižutéria a darčekové predmety, &amp;#32všetky kategórie</v>
      </c>
      <c r="H234" s="44" t="s">
        <v>170</v>
      </c>
      <c r="I234" s="45" t="str">
        <f t="shared" si="3"/>
        <v>21 a viac, &amp;#32všetky možnosti</v>
      </c>
      <c r="J234" s="46" t="str">
        <f t="shared" si="4"/>
        <v>,Register partnerov VS</v>
      </c>
      <c r="K234" s="47">
        <f t="shared" si="5"/>
        <v>10054.04927</v>
      </c>
      <c r="L234" s="45"/>
      <c r="M234" s="49" t="str">
        <f>IFERROR(__xludf.DUMMYFUNCTION("SPLIT(O234,"","")"),"Remeselnícka 71")</f>
        <v>Remeselnícka 71</v>
      </c>
      <c r="N234" s="48" t="str">
        <f>IFERROR(__xludf.DUMMYFUNCTION("""COMPUTED_VALUE""")," 071 01 Michalovce")</f>
        <v> 071 01 Michalovce</v>
      </c>
      <c r="O234" s="122" t="s">
        <v>2613</v>
      </c>
      <c r="P234" s="50">
        <v>48.7605905</v>
      </c>
      <c r="Q234" s="109">
        <v>21.8933035</v>
      </c>
      <c r="R234" s="102" t="s">
        <v>2614</v>
      </c>
      <c r="S234" s="66" t="s">
        <v>2615</v>
      </c>
      <c r="T234" s="124" t="s">
        <v>2616</v>
      </c>
      <c r="U234" s="54" t="s">
        <v>2617</v>
      </c>
      <c r="V234" s="84" t="s">
        <v>2618</v>
      </c>
      <c r="W234" s="77" t="s">
        <v>2619</v>
      </c>
      <c r="X234" s="77" t="s">
        <v>2620</v>
      </c>
      <c r="Y234" s="121" t="s">
        <v>2621</v>
      </c>
      <c r="Z234" s="119" t="s">
        <v>2622</v>
      </c>
      <c r="AA234" s="125" t="s">
        <v>64</v>
      </c>
      <c r="AB234" s="64"/>
      <c r="AC234" s="64"/>
      <c r="AD234" s="64"/>
      <c r="AE234" s="64"/>
      <c r="AF234" s="65"/>
      <c r="AG234" s="65"/>
      <c r="AH234" s="65"/>
      <c r="AI234" s="65"/>
      <c r="AJ234" s="65"/>
      <c r="AK234" s="66"/>
      <c r="AL234" s="67"/>
      <c r="AM234" s="52"/>
      <c r="AN234" s="80" t="s">
        <v>39</v>
      </c>
      <c r="AO234" s="68" t="str">
        <f t="shared" si="6"/>
        <v>Nyos r.s.p. s.r.o. cistiace a upratovacie sluzby, dom a zahrada, stavebnictvo, reklama, nabytok a bytove doplnky, bizuteria a darcekove predmety, &amp;#32vsetky kategorie  071 01 Michalovce Nasa spolocnost realizuje baliace cinnosti, stavebnu cinnost, upratovacie prace a stolarsku vyrobu. Zamestnavame zranitelne a znevyhodnene osoby. NYOS r.s.p. s.r.o. Poskytujeme nasim obchodnym partnerom sluzby v baleni tovaru. zemne prace, stavebne prace, kosenie, upratovanie, drevovyroba,reklama           Register partnerov VS</v>
      </c>
      <c r="AP234" s="69" t="s">
        <v>41</v>
      </c>
    </row>
    <row r="235" ht="15.75" customHeight="1">
      <c r="A235" s="45"/>
      <c r="B235" s="70">
        <v>233.0</v>
      </c>
      <c r="C235" s="116" t="s">
        <v>2623</v>
      </c>
      <c r="D235" s="71" t="s">
        <v>66</v>
      </c>
      <c r="E235" s="43" t="str">
        <f t="shared" si="1"/>
        <v>Žilinský kraj, &amp;#32celé Slovensko</v>
      </c>
      <c r="F235" s="44" t="s">
        <v>2624</v>
      </c>
      <c r="G235" s="43" t="str">
        <f t="shared" si="2"/>
        <v>čistiace a upratovacie služby, účtovníctvo a poradenstvo, elektro, dom a záhrada, &amp;#32všetky kategórie</v>
      </c>
      <c r="H235" s="44" t="s">
        <v>53</v>
      </c>
      <c r="I235" s="45" t="str">
        <f t="shared" si="3"/>
        <v>1 - 5, &amp;#32všetky možnosti</v>
      </c>
      <c r="J235" s="46" t="str">
        <f t="shared" si="4"/>
        <v>,</v>
      </c>
      <c r="K235" s="47">
        <f t="shared" si="5"/>
        <v>38115.65245</v>
      </c>
      <c r="L235" s="45"/>
      <c r="M235" s="49" t="str">
        <f>IFERROR(__xludf.DUMMYFUNCTION("SPLIT(O235,"","")"),"Generála Fraňu 1122/1")</f>
        <v>Generála Fraňu 1122/1</v>
      </c>
      <c r="N235" s="48" t="str">
        <f>IFERROR(__xludf.DUMMYFUNCTION("""COMPUTED_VALUE""")," 038 53 Turany")</f>
        <v> 038 53 Turany</v>
      </c>
      <c r="O235" s="122" t="s">
        <v>2625</v>
      </c>
      <c r="P235" s="50">
        <v>49.1070153</v>
      </c>
      <c r="Q235" s="109">
        <v>19.0421726</v>
      </c>
      <c r="R235" s="123" t="s">
        <v>2626</v>
      </c>
      <c r="S235" s="66" t="s">
        <v>2627</v>
      </c>
      <c r="T235" s="124" t="s">
        <v>2628</v>
      </c>
      <c r="U235" s="54" t="s">
        <v>2629</v>
      </c>
      <c r="V235" s="84" t="s">
        <v>2630</v>
      </c>
      <c r="W235" s="77" t="s">
        <v>2631</v>
      </c>
      <c r="X235" s="77" t="s">
        <v>2632</v>
      </c>
      <c r="Y235" s="121" t="s">
        <v>2633</v>
      </c>
      <c r="Z235" s="119" t="s">
        <v>2634</v>
      </c>
      <c r="AA235" s="125" t="s">
        <v>64</v>
      </c>
      <c r="AB235" s="64"/>
      <c r="AC235" s="64"/>
      <c r="AD235" s="64"/>
      <c r="AE235" s="64"/>
      <c r="AF235" s="65"/>
      <c r="AG235" s="65"/>
      <c r="AH235" s="65"/>
      <c r="AI235" s="65"/>
      <c r="AJ235" s="65"/>
      <c r="AK235" s="66"/>
      <c r="AL235" s="67"/>
      <c r="AM235" s="36"/>
      <c r="AN235" s="65"/>
      <c r="AO235" s="68" t="str">
        <f t="shared" si="6"/>
        <v>P&amp;M house, s. r. o. cistiace a upratovacie sluzby, uctovnictvo a poradenstvo, elektro, dom a zahrada, &amp;#32vsetky kategorie  038 53 Turany P&amp;M house, s.r.o. ako integracny registrovany socialny podnik ma predovsetkym v zaujme vytvorit stabilne fungujucu spolocnost so zameranim na spektrum odbornych cinnosti, ktore garantuju vytvaranie pracovnych miest aj v pripade poklesu dopytu po niektorej z nich. 
 V sucasnosti sa spolocnost zameriava na tri okruhy poskytovania sluzieb, kazdu so zretelom na kvalitu a nalezite personalne obsadenie: 1. poradenska cinnost existujucim aj zacinajucim podnikatelom v oblasti personalneho manazmentu a v realitnej cinnosti,
 2. upratovacia cinnost,
 3. kompletna montaz elektroinstalacie v bytoch, domoch ci administrativnych budovach, inteligentne instalacie, kamerove systemy, revizie a i. Podmienku dosahovania pozitivneho socialneho vplyvu splname vyzvaranim pracovnych miest pre znevyhodnene osoby. P&amp;M house, s.r.o. RSP Ponukame poradensku cinnost pre zacinajucich aj existujucich podnikatelov, elektroinstalacne prace, upratovacie prace. poradenstvo, elektroinstalacia, upratovacia cinnost, podnikatelske poradenstvo, ekonomicke poradenstvo, personalne konzultacie, poradenstvo v realitnej cinnosti           </v>
      </c>
      <c r="AP235" s="82"/>
    </row>
    <row r="236" ht="15.75" customHeight="1">
      <c r="A236" s="45"/>
      <c r="B236" s="70">
        <v>234.0</v>
      </c>
      <c r="C236" s="116" t="s">
        <v>2635</v>
      </c>
      <c r="D236" s="71" t="s">
        <v>66</v>
      </c>
      <c r="E236" s="43" t="str">
        <f t="shared" si="1"/>
        <v>Žilinský kraj, &amp;#32celé Slovensko</v>
      </c>
      <c r="F236" s="44" t="s">
        <v>2636</v>
      </c>
      <c r="G236" s="43" t="str">
        <f t="shared" si="2"/>
        <v>odevy a obuv, galantéria, &amp;#32všetky kategórie</v>
      </c>
      <c r="H236" s="44" t="s">
        <v>170</v>
      </c>
      <c r="I236" s="45" t="str">
        <f t="shared" si="3"/>
        <v>21 a viac, &amp;#32všetky možnosti</v>
      </c>
      <c r="J236" s="46" t="str">
        <f t="shared" si="4"/>
        <v>,Register partnerov VS</v>
      </c>
      <c r="K236" s="47">
        <f t="shared" si="5"/>
        <v>19417.98398</v>
      </c>
      <c r="L236" s="45"/>
      <c r="M236" s="49" t="str">
        <f>IFERROR(__xludf.DUMMYFUNCTION("SPLIT(O236,"","")"),"Belanského 228")</f>
        <v>Belanského 228</v>
      </c>
      <c r="N236" s="48" t="str">
        <f>IFERROR(__xludf.DUMMYFUNCTION("""COMPUTED_VALUE""")," 024 01 Kysucké Nové Mesto")</f>
        <v> 024 01 Kysucké Nové Mesto</v>
      </c>
      <c r="O236" s="122" t="s">
        <v>2637</v>
      </c>
      <c r="P236" s="50">
        <v>49.3024942</v>
      </c>
      <c r="Q236" s="109">
        <v>18.7865201</v>
      </c>
      <c r="R236" s="102" t="s">
        <v>2638</v>
      </c>
      <c r="S236" s="66" t="s">
        <v>2639</v>
      </c>
      <c r="T236" s="124" t="s">
        <v>86</v>
      </c>
      <c r="U236" s="54" t="s">
        <v>2640</v>
      </c>
      <c r="V236" s="84" t="s">
        <v>2641</v>
      </c>
      <c r="W236" s="77" t="s">
        <v>2642</v>
      </c>
      <c r="X236" s="77" t="s">
        <v>2643</v>
      </c>
      <c r="Y236" s="51" t="s">
        <v>2644</v>
      </c>
      <c r="Z236" s="59" t="s">
        <v>2645</v>
      </c>
      <c r="AA236" s="126" t="s">
        <v>129</v>
      </c>
      <c r="AB236" s="77" t="s">
        <v>2646</v>
      </c>
      <c r="AC236" s="77" t="s">
        <v>2647</v>
      </c>
      <c r="AD236" s="77" t="s">
        <v>2648</v>
      </c>
      <c r="AE236" s="129" t="s">
        <v>129</v>
      </c>
      <c r="AF236" s="64" t="s">
        <v>2649</v>
      </c>
      <c r="AG236" s="77" t="s">
        <v>2650</v>
      </c>
      <c r="AH236" s="77" t="s">
        <v>2651</v>
      </c>
      <c r="AI236" s="130" t="s">
        <v>129</v>
      </c>
      <c r="AJ236" s="64" t="s">
        <v>2652</v>
      </c>
      <c r="AK236" s="64" t="s">
        <v>2647</v>
      </c>
      <c r="AL236" s="77" t="s">
        <v>2653</v>
      </c>
      <c r="AM236" s="52"/>
      <c r="AN236" s="80" t="s">
        <v>39</v>
      </c>
      <c r="AO236" s="68" t="str">
        <f t="shared" si="6"/>
        <v>LEAN EU, s.r.o. odevy a obuv, galanteria, &amp;#32vsetky kategorie  024 01 Kysucke Nove Mesto Sme obchodna spolocnost prevadzkujuca maloobchodne predajne s textilom a s obuvou. Vytvaranim pracovnych miest pre zdravotne znevyhodnene a zranitelne osoby. IKONNA Spodna Bielizen maloobchod s textilom a spodnou bieliznou pyzama, podprsenky, boxerky, zupany, plavky, domace oblecenie, tielka, spodky, nohavicky IKONNA Obuv Predajna s obuvou. znackova obuv, ponozky, opasky, penazenky, kabelky, galanteria IKONNA Predajna s textilom. teplaky, mikiny, bundy, svetre, tricka, rifle, capice, saly OBUV LEAN Predajna s obuvou. Obuv, kabelky, ponozky, pancusky, opasky, papuce, cistiace prostriedky, galanteria  Register partnerov VS</v>
      </c>
      <c r="AP236" s="82"/>
    </row>
    <row r="237" ht="15.75" customHeight="1">
      <c r="A237" s="45"/>
      <c r="B237" s="70">
        <v>235.0</v>
      </c>
      <c r="C237" s="116" t="s">
        <v>2654</v>
      </c>
      <c r="D237" s="71" t="s">
        <v>66</v>
      </c>
      <c r="E237" s="43" t="str">
        <f t="shared" si="1"/>
        <v>Žilinský kraj, &amp;#32celé Slovensko</v>
      </c>
      <c r="F237" s="44" t="s">
        <v>257</v>
      </c>
      <c r="G237" s="43" t="str">
        <f t="shared" si="2"/>
        <v>odevy a obuv, &amp;#32všetky kategórie</v>
      </c>
      <c r="H237" s="44" t="s">
        <v>96</v>
      </c>
      <c r="I237" s="45" t="str">
        <f t="shared" si="3"/>
        <v>6 - 10, &amp;#32všetky možnosti</v>
      </c>
      <c r="J237" s="46" t="str">
        <f t="shared" si="4"/>
        <v>,Register partnerov VS</v>
      </c>
      <c r="K237" s="47">
        <f t="shared" si="5"/>
        <v>14307.63757</v>
      </c>
      <c r="L237" s="45"/>
      <c r="M237" s="49" t="str">
        <f>IFERROR(__xludf.DUMMYFUNCTION("SPLIT(O237,"","")"),"Belanského 228")</f>
        <v>Belanského 228</v>
      </c>
      <c r="N237" s="48" t="str">
        <f>IFERROR(__xludf.DUMMYFUNCTION("""COMPUTED_VALUE""")," 024 01 Kysucké Nové Mesto")</f>
        <v> 024 01 Kysucké Nové Mesto</v>
      </c>
      <c r="O237" s="122" t="s">
        <v>2637</v>
      </c>
      <c r="P237" s="50">
        <v>49.3024942</v>
      </c>
      <c r="Q237" s="109">
        <v>18.7865201</v>
      </c>
      <c r="R237" s="102" t="s">
        <v>2655</v>
      </c>
      <c r="S237" s="66" t="s">
        <v>2656</v>
      </c>
      <c r="T237" s="124" t="s">
        <v>86</v>
      </c>
      <c r="U237" s="54" t="s">
        <v>2657</v>
      </c>
      <c r="V237" s="84" t="s">
        <v>2641</v>
      </c>
      <c r="W237" s="77" t="s">
        <v>2658</v>
      </c>
      <c r="X237" s="77" t="s">
        <v>2659</v>
      </c>
      <c r="Y237" s="121" t="s">
        <v>2655</v>
      </c>
      <c r="Z237" s="119" t="s">
        <v>2660</v>
      </c>
      <c r="AA237" s="125" t="s">
        <v>64</v>
      </c>
      <c r="AB237" s="64"/>
      <c r="AC237" s="64"/>
      <c r="AD237" s="64"/>
      <c r="AE237" s="64"/>
      <c r="AF237" s="65"/>
      <c r="AG237" s="65"/>
      <c r="AH237" s="65"/>
      <c r="AI237" s="65"/>
      <c r="AJ237" s="65"/>
      <c r="AK237" s="65"/>
      <c r="AL237" s="65"/>
      <c r="AM237" s="52"/>
      <c r="AN237" s="80" t="s">
        <v>39</v>
      </c>
      <c r="AO237" s="68" t="str">
        <f t="shared" si="6"/>
        <v>Obuv LEAN, s. r. o. odevy a obuv, &amp;#32vsetky kategorie  024 01 Kysucke Nove Mesto Velkoobchod s obuvou. Tym, ze vytvara pracovne miesta pre zdravotne znevyhodnene a zranitelne osoby. Obuv LEAN - velkoobchod Velkoobchod s obuvou. papuce, platenky, prezuvky           Register partnerov VS</v>
      </c>
      <c r="AP237" s="82"/>
    </row>
    <row r="238" ht="15.75" customHeight="1">
      <c r="A238" s="45"/>
      <c r="B238" s="70">
        <v>236.0</v>
      </c>
      <c r="C238" s="116" t="s">
        <v>2661</v>
      </c>
      <c r="D238" s="71" t="s">
        <v>134</v>
      </c>
      <c r="E238" s="43" t="str">
        <f t="shared" si="1"/>
        <v>Trenčiansky kraj, &amp;#32celé Slovensko</v>
      </c>
      <c r="F238" s="44" t="s">
        <v>2662</v>
      </c>
      <c r="G238" s="43" t="str">
        <f t="shared" si="2"/>
        <v>nábytok a bytové doplnky, dom a záhrada, pre deti, &amp;#32všetky kategórie</v>
      </c>
      <c r="H238" s="44" t="s">
        <v>96</v>
      </c>
      <c r="I238" s="45" t="str">
        <f t="shared" si="3"/>
        <v>6 - 10, &amp;#32všetky možnosti</v>
      </c>
      <c r="J238" s="46" t="str">
        <f t="shared" si="4"/>
        <v>,</v>
      </c>
      <c r="K238" s="47">
        <f t="shared" si="5"/>
        <v>39146.49059</v>
      </c>
      <c r="L238" s="45"/>
      <c r="M238" s="49" t="str">
        <f>IFERROR(__xludf.DUMMYFUNCTION("SPLIT(O238,"","")"),"Záriečie 108")</f>
        <v>Záriečie 108</v>
      </c>
      <c r="N238" s="48" t="str">
        <f>IFERROR(__xludf.DUMMYFUNCTION("""COMPUTED_VALUE""")," 020 52 Záriečie")</f>
        <v> 020 52 Záriečie</v>
      </c>
      <c r="O238" s="122" t="s">
        <v>2663</v>
      </c>
      <c r="P238" s="50">
        <v>49.1790703</v>
      </c>
      <c r="Q238" s="109">
        <v>18.253615</v>
      </c>
      <c r="R238" s="123" t="s">
        <v>2664</v>
      </c>
      <c r="S238" s="66" t="s">
        <v>2665</v>
      </c>
      <c r="T238" s="124" t="s">
        <v>2666</v>
      </c>
      <c r="U238" s="54" t="s">
        <v>2667</v>
      </c>
      <c r="V238" s="84" t="s">
        <v>2668</v>
      </c>
      <c r="W238" s="77" t="s">
        <v>2669</v>
      </c>
      <c r="X238" s="77" t="s">
        <v>2670</v>
      </c>
      <c r="Y238" s="121" t="s">
        <v>2671</v>
      </c>
      <c r="Z238" s="119" t="s">
        <v>2672</v>
      </c>
      <c r="AA238" s="125" t="s">
        <v>64</v>
      </c>
      <c r="AB238" s="64"/>
      <c r="AC238" s="64"/>
      <c r="AD238" s="64"/>
      <c r="AE238" s="64"/>
      <c r="AF238" s="65"/>
      <c r="AG238" s="65"/>
      <c r="AH238" s="65"/>
      <c r="AI238" s="65"/>
      <c r="AJ238" s="65"/>
      <c r="AK238" s="65"/>
      <c r="AL238" s="65"/>
      <c r="AM238" s="36"/>
      <c r="AN238" s="65"/>
      <c r="AO238" s="68" t="str">
        <f t="shared" si="6"/>
        <v>MonToy s. r. o. nabytok a bytove doplnky, dom a zahrada, pre deti, &amp;#32vsetky kategorie  020 52 Zariecie Podnik dnes stoji na niekolkych pilieroch. Posobime v oblasti drevovyroby, spracovavame masivne drevo aj drevotrieskove dosky. Venujeme sa vyrobe dreveneho nabytku na mieru do skol a skolok, kancelarii, aj pre fyzicke osoby do rodinnych domov. Sucastou nasho portfolia su tiez exterierove prvky ako altanky, pristresky, naucne tabule, drevene ihriska a ine. Okrem toho sa venujeme vyvoju a vyrobe drevenych ekologickych hraciek. Znacnu cast portfolia v tomto segmente tvoria zmyslove a pohybove pomocky pre deti na vyuzivanie v interieri. Radi ich odporucaju pre cielenu pracu s detmi samotni fyzioterapeuti. Okrem fyzickych osob nase hracky a pomocky oblubuju deti materskych skolok ci materskych centier. Hlavnym cielom podniku je prispievat k dosahovaniu meratelneho pozitivneho socialneho vplyvu v oblasti podpory zamestnanosti, a to zamestnavanim min. 30 % znevyhodnenych a/alebo zranitelnych osob. Tymto ludom je umoznene zaradit sa u nas do pracovneho kolektivu, cim dostavaju moznost budovat si nove vztahy, ziskat nove kontakty, priucia sa pracovnej moralke a pracovnym navykom, dostavaju moznost zvysit svoje zrucnosti, spolocensky sa uplatnit, sebarealizovat, ziskat pocit, ze su pre spolocnost uzitocni. Ich zamestnavanim napomahame zabranit ich vyluceniu na okraj spolocnosti. Naviac dostali sancu zvysit svoje prijmy, cim mozu viest kvalitnejsi a plnohodnotnejsi zivot. MonToy, s. r. o. Vyroba nabytku a ostatnych vyrobkov z dreva na mieru. Vyroba drevenych hraciek pre deti. drevarska vyroba, stolarstvo, vyroba nabytky na mieru, vyroba hraciek, zakazkova vyroba drevovyroba, stolar, ekologicke hracky, altanky, pristresky, naucne tabule           </v>
      </c>
      <c r="AP238" s="82"/>
    </row>
    <row r="239" ht="15.75" customHeight="1">
      <c r="A239" s="45"/>
      <c r="B239" s="70">
        <v>237.0</v>
      </c>
      <c r="C239" s="116" t="s">
        <v>2673</v>
      </c>
      <c r="D239" s="71" t="s">
        <v>51</v>
      </c>
      <c r="E239" s="43" t="str">
        <f t="shared" si="1"/>
        <v>Prešovský kraj, &amp;#32celé Slovensko</v>
      </c>
      <c r="F239" s="44" t="s">
        <v>2674</v>
      </c>
      <c r="G239" s="43" t="str">
        <f t="shared" si="2"/>
        <v>účtovníctvo a poradenstvo, reklama, &amp;#32všetky kategórie</v>
      </c>
      <c r="H239" s="44" t="s">
        <v>53</v>
      </c>
      <c r="I239" s="45" t="str">
        <f t="shared" si="3"/>
        <v>1 - 5, &amp;#32všetky možnosti</v>
      </c>
      <c r="J239" s="46" t="str">
        <f t="shared" si="4"/>
        <v>,</v>
      </c>
      <c r="K239" s="47">
        <f t="shared" si="5"/>
        <v>19849.70784</v>
      </c>
      <c r="L239" s="45"/>
      <c r="M239" s="49" t="str">
        <f>IFERROR(__xludf.DUMMYFUNCTION("SPLIT(O239,"","")"),"Levočská 412/20")</f>
        <v>Levočská 412/20</v>
      </c>
      <c r="N239" s="48" t="str">
        <f>IFERROR(__xludf.DUMMYFUNCTION("""COMPUTED_VALUE""")," 052 01 Spišská Nová Ves")</f>
        <v> 052 01 Spišská Nová Ves</v>
      </c>
      <c r="O239" s="122" t="s">
        <v>2675</v>
      </c>
      <c r="P239" s="50">
        <v>48.9481235</v>
      </c>
      <c r="Q239" s="109">
        <v>20.5699446</v>
      </c>
      <c r="R239" s="123" t="s">
        <v>2676</v>
      </c>
      <c r="S239" s="66" t="s">
        <v>2677</v>
      </c>
      <c r="T239" s="124" t="s">
        <v>2678</v>
      </c>
      <c r="U239" s="54" t="s">
        <v>2679</v>
      </c>
      <c r="V239" s="84" t="s">
        <v>2680</v>
      </c>
      <c r="W239" s="77" t="s">
        <v>2681</v>
      </c>
      <c r="X239" s="77" t="s">
        <v>2673</v>
      </c>
      <c r="Y239" s="121" t="s">
        <v>2682</v>
      </c>
      <c r="Z239" s="119" t="s">
        <v>2683</v>
      </c>
      <c r="AA239" s="125" t="s">
        <v>64</v>
      </c>
      <c r="AB239" s="64"/>
      <c r="AC239" s="64"/>
      <c r="AD239" s="64"/>
      <c r="AE239" s="64"/>
      <c r="AF239" s="65"/>
      <c r="AG239" s="65"/>
      <c r="AH239" s="65"/>
      <c r="AI239" s="65"/>
      <c r="AJ239" s="65"/>
      <c r="AK239" s="65"/>
      <c r="AL239" s="65"/>
      <c r="AM239" s="36"/>
      <c r="AN239" s="65"/>
      <c r="AO239" s="68" t="str">
        <f t="shared" si="6"/>
        <v>TrendyR, s. r. o. uctovnictvo a poradenstvo, reklama, &amp;#32vsetky kategorie  052 01 Spisska Nova Ves TrendyR, s. r. o. ponuka marketingove sluzby a poradensku cinnost pri spracovani projektov, spracovanie projektov na cerpanie financnych zdrojov z europskych, narodnych a sukromnych zdrojov. Sluzby na podporu regionalneho rozvoja a zamestnanosti (zamestnavanie zranitelnych a znevyhodnenych osob). TrendyR, s. r. o. Ponukame marketingove sluzby a poradensku cinnost pri spracovani projektov, spracovanie projektov na cerpanie financnych zdrojov z europskych, narodnych a sukromnych zdrojov. marketing, copywriting, editacia, korekcia textov, e-mail marketing, projekt, spracovanie projektov, priprava projektov, ESIF projekty, grantove ziadosti           </v>
      </c>
      <c r="AP239" s="82"/>
    </row>
    <row r="240" ht="15.75" customHeight="1">
      <c r="A240" s="45"/>
      <c r="B240" s="70">
        <v>238.0</v>
      </c>
      <c r="C240" s="116" t="s">
        <v>2684</v>
      </c>
      <c r="D240" s="71" t="s">
        <v>80</v>
      </c>
      <c r="E240" s="43" t="str">
        <f t="shared" si="1"/>
        <v>Trnavský kraj, &amp;#32celé Slovensko</v>
      </c>
      <c r="F240" s="44" t="s">
        <v>2685</v>
      </c>
      <c r="G240" s="43" t="str">
        <f t="shared" si="2"/>
        <v>čistiace a upratovacie služby, vzdelávanie, účtovníctvo a poradenstvo, krása-zdravie-relax, odevy a obuv, ochrana a bezpečnosť, doprava, &amp;#32všetky kategórie</v>
      </c>
      <c r="H240" s="44" t="s">
        <v>82</v>
      </c>
      <c r="I240" s="45" t="str">
        <f t="shared" si="3"/>
        <v>11 - 15, &amp;#32všetky možnosti</v>
      </c>
      <c r="J240" s="46" t="str">
        <f t="shared" si="4"/>
        <v>,Register partnerov VS</v>
      </c>
      <c r="K240" s="47">
        <f t="shared" si="5"/>
        <v>8274.440451</v>
      </c>
      <c r="L240" s="45"/>
      <c r="M240" s="49" t="str">
        <f>IFERROR(__xludf.DUMMYFUNCTION("SPLIT(O240,"","")"),"Nitrianska 1837/5")</f>
        <v>Nitrianska 1837/5</v>
      </c>
      <c r="N240" s="48" t="str">
        <f>IFERROR(__xludf.DUMMYFUNCTION("""COMPUTED_VALUE""")," 921 01 Piešťany")</f>
        <v> 921 01 Piešťany</v>
      </c>
      <c r="O240" s="122" t="s">
        <v>2686</v>
      </c>
      <c r="P240" s="50">
        <v>48.5885545</v>
      </c>
      <c r="Q240" s="109">
        <v>17.8338364</v>
      </c>
      <c r="R240" s="123" t="s">
        <v>2687</v>
      </c>
      <c r="S240" s="66" t="s">
        <v>2688</v>
      </c>
      <c r="T240" s="124" t="s">
        <v>86</v>
      </c>
      <c r="U240" s="54" t="s">
        <v>2689</v>
      </c>
      <c r="V240" s="84" t="s">
        <v>2690</v>
      </c>
      <c r="W240" s="77" t="s">
        <v>2691</v>
      </c>
      <c r="X240" s="77" t="s">
        <v>2692</v>
      </c>
      <c r="Y240" s="121" t="s">
        <v>2693</v>
      </c>
      <c r="Z240" s="119" t="s">
        <v>2694</v>
      </c>
      <c r="AA240" s="125" t="s">
        <v>64</v>
      </c>
      <c r="AB240" s="64"/>
      <c r="AC240" s="64"/>
      <c r="AD240" s="64"/>
      <c r="AE240" s="64"/>
      <c r="AF240" s="65"/>
      <c r="AG240" s="65"/>
      <c r="AH240" s="65"/>
      <c r="AI240" s="65"/>
      <c r="AJ240" s="65"/>
      <c r="AK240" s="65"/>
      <c r="AL240" s="65"/>
      <c r="AM240" s="52"/>
      <c r="AN240" s="80" t="s">
        <v>39</v>
      </c>
      <c r="AO240" s="68" t="str">
        <f t="shared" si="6"/>
        <v>Helpo. s. r. o. cistiace a upratovacie sluzby, vzdelavanie, uctovnictvo a poradenstvo, krasa-zdravie-relax, odevy a obuv, ochrana a bezpecnost, doprava, &amp;#32vsetky kategorie  921 01 Piestany Nasim klientom ponukame povinne sustavne vzdelavanie zdravotnickych pracovnikov (Neodkladna podpora zivotnych funkcii), akreditovane kurzy prvej pomoci zamerane pre laicku verejnost, ako aj kurzy BOZP a poziarnej ochrany. Je mozne si u nas objednat sluzby cistenia priestorov ozonom. Poskytujeme sluzby v oblasti uctovnictva, ktore vykonavaju vyhradne zdravotne znevyhodnene osoby. A v neposlednom rade prevadzkujeme e-shop https://prvapomoc.online/, kde je mozne zakupit si rozne pomocky a vybavenie pre zachranarov, zdravotnikov i laicku verejnost a pracovne odevy - www.pracovneodevy.online. Poskytujeme poradenstvo v oblasti zdravej vyzivy. Vzdelavame asistentov/opatrovatelov zdravotne znevyhodnenych osob, zamestnavame vyhradne zdravotne a socialne znevyhodnene osoby, ktorym pomahame uplatnit sa na trhu prace bez diskriminacie. Pre nasich zamestnancov a ich rodinnych prislusnikov, nasich zakaznikov, pre dobrovolnikov a zachranne zlozky vykonavame Antigenove a PCR testy na Covid-19. Helpo. s.r.o. Povinne vzdelavanie zdravotnickych pracovnikov, akreditovane kurzy prvej pomoci zamerane pre laicku verejnost, kurzy BOZP a PO. Je mozne si u nas objednat sluzby cistenia priestorov ozonom. Poskytujeme tiez sluzby v oblasti uctovnictva, ktore vykonavaju vyhradne zdravotne znevyhodnene osoby. Prevadzkujeme e-shop https://prvapomoc.online/, kde je mozne zakupit si rozne pomocky a vybavenie pre zachranarov, zdravotnikov i laicku verejnost a pracovne odevy - www.pracovneodevy.online. Poskytujeme poradenstvo v oblasti zdravej vyzivy. Vzdelavanie, Skolenie, Prva pomoc, Ozonovanie, Uctovanie, Poradenstvo, Dezinfekcia, Brasne, Batohy, Lekarnicky, Odev, Obuv, Rukavice, Defibrilator, Fonendoskop, Teplomer, Tlakomer, Odsavacka, Figurina, Dlaha, Noznice, Ihla, Striekacka, Kanyla, Obvaz, Rukavice, BOZP, socialny taxik, covid testy           Register partnerov VS</v>
      </c>
      <c r="AP240" s="69" t="s">
        <v>41</v>
      </c>
    </row>
    <row r="241" ht="15.75" customHeight="1">
      <c r="A241" s="45"/>
      <c r="B241" s="70">
        <v>239.0</v>
      </c>
      <c r="C241" s="116" t="s">
        <v>2695</v>
      </c>
      <c r="D241" s="71" t="s">
        <v>80</v>
      </c>
      <c r="E241" s="43" t="str">
        <f t="shared" si="1"/>
        <v>Trnavský kraj, &amp;#32celé Slovensko</v>
      </c>
      <c r="F241" s="44" t="s">
        <v>2696</v>
      </c>
      <c r="G241" s="43" t="str">
        <f t="shared" si="2"/>
        <v>vzdelávanie, reklama, obaly, iné (tovary a služby), &amp;#32všetky kategórie</v>
      </c>
      <c r="H241" s="44" t="s">
        <v>82</v>
      </c>
      <c r="I241" s="45" t="str">
        <f t="shared" si="3"/>
        <v>11 - 15, &amp;#32všetky možnosti</v>
      </c>
      <c r="J241" s="46" t="str">
        <f t="shared" si="4"/>
        <v>,Register partnerov VS</v>
      </c>
      <c r="K241" s="47">
        <f t="shared" si="5"/>
        <v>8375.377851</v>
      </c>
      <c r="L241" s="45"/>
      <c r="M241" s="49" t="str">
        <f>IFERROR(__xludf.DUMMYFUNCTION("SPLIT(O241,"","")"),"Štúrova 423/1")</f>
        <v>Štúrova 423/1</v>
      </c>
      <c r="N241" s="48" t="str">
        <f>IFERROR(__xludf.DUMMYFUNCTION("""COMPUTED_VALUE""")," 920 42 Červeník")</f>
        <v> 920 42 Červeník</v>
      </c>
      <c r="O241" s="122" t="s">
        <v>2697</v>
      </c>
      <c r="P241" s="50">
        <v>48.4610745</v>
      </c>
      <c r="Q241" s="109">
        <v>17.7594841</v>
      </c>
      <c r="R241" s="123" t="s">
        <v>2698</v>
      </c>
      <c r="S241" s="66" t="s">
        <v>2699</v>
      </c>
      <c r="T241" s="124" t="s">
        <v>2700</v>
      </c>
      <c r="U241" s="54" t="s">
        <v>2701</v>
      </c>
      <c r="V241" s="84" t="s">
        <v>2702</v>
      </c>
      <c r="W241" s="77" t="s">
        <v>2703</v>
      </c>
      <c r="X241" s="77" t="s">
        <v>2704</v>
      </c>
      <c r="Y241" s="121" t="s">
        <v>2705</v>
      </c>
      <c r="Z241" s="119" t="s">
        <v>2706</v>
      </c>
      <c r="AA241" s="125" t="s">
        <v>64</v>
      </c>
      <c r="AB241" s="64"/>
      <c r="AC241" s="64"/>
      <c r="AD241" s="64"/>
      <c r="AE241" s="64"/>
      <c r="AF241" s="65"/>
      <c r="AG241" s="65"/>
      <c r="AH241" s="65"/>
      <c r="AI241" s="65"/>
      <c r="AJ241" s="65"/>
      <c r="AK241" s="65"/>
      <c r="AL241" s="65"/>
      <c r="AM241" s="52"/>
      <c r="AN241" s="80" t="s">
        <v>39</v>
      </c>
      <c r="AO241" s="68" t="str">
        <f t="shared" si="6"/>
        <v>ALACARTE s. r. o. vzdelavanie, reklama, obaly, ine (tovary a sluzby), &amp;#32vsetky kategorie  920 42 Cervenik Spolocnost ALACARTE je digitalna agentura poskytujuca siroke spektrum sluzieb online a offline marketingu a reklam. Kompletne portfolio sluzieb:
 - PPC reklamy,
 - Goodle ADS,
 - kompletna sprava socialnych sieti,
 - tvorba web stranok a e-shopov (od jednoduchsich az po komplet custom riesenia),
 - graficke sluzby (tvorba grafik rozneho druhu, loga na mieru, uprava fotografii aj na reklamne ucely),
 - videotvorba (priprava reklamnych spotov, prezentacnych videi, strih, komentare),
 - poradenstvo ohladom marketingu, zakladania spolocnosti, r.s.p., spracovanie agendy,
 - tlacovy servis, digitalna tlac, razenie, frezovanie, laser, velkoformatova tlac, reklamne plachty, tabule, kamionove plachty, samolepiace folie (instalacia, lepenie), brozury, knizna vazba, laminovanie,
 - vyroba a sitie reklamnych odevov na zakazku (konfekcia aj pracovne odevy), sietotlac aj vysivky
 - tvorba aplikacii na mieru podla poziadaviek klienta, kompletna sprava, navrh, nastavenie mobilnych aj webovych aplikacii. Spolocnost si dala za hlavnu ulohu naplnanie socialneho charakteru v maximalnej moznej miere. Aktualny pocet zamestnancov so zdravotnym znevyhodnenim tvori viac ako 80%. ALACARTE s.r.o., r.s.p. Tlacovy servis, vyroba reklamnych triciek a odevov, kompletna ponuka sluzieb socialneho podniku. tlac, reklama, marketing, tvorba web stranok, sitie, polepy, socialne siete, reklamna tabula, aplikacie, poradenstvo, PPC, google ADS, digitalna agentura, online marketing, offline marketing, videotvorba, marketingove poradenstvo, graficke sluzby, reklamny textil           Register partnerov VS</v>
      </c>
      <c r="AP241" s="69" t="s">
        <v>41</v>
      </c>
    </row>
    <row r="242" ht="15.75" customHeight="1">
      <c r="A242" s="45"/>
      <c r="B242" s="70">
        <v>240.0</v>
      </c>
      <c r="C242" s="116" t="s">
        <v>2707</v>
      </c>
      <c r="D242" s="71" t="s">
        <v>80</v>
      </c>
      <c r="E242" s="43" t="str">
        <f t="shared" si="1"/>
        <v>Trnavský kraj, &amp;#32celé Slovensko</v>
      </c>
      <c r="F242" s="44" t="s">
        <v>756</v>
      </c>
      <c r="G242" s="43" t="str">
        <f t="shared" si="2"/>
        <v>čistiace a upratovacie služby, &amp;#32všetky kategórie</v>
      </c>
      <c r="H242" s="44" t="s">
        <v>53</v>
      </c>
      <c r="I242" s="45" t="str">
        <f t="shared" si="3"/>
        <v>1 - 5, &amp;#32všetky možnosti</v>
      </c>
      <c r="J242" s="46" t="str">
        <f t="shared" si="4"/>
        <v>,</v>
      </c>
      <c r="K242" s="47">
        <f t="shared" si="5"/>
        <v>21213.00215</v>
      </c>
      <c r="L242" s="45"/>
      <c r="M242" s="49" t="str">
        <f>IFERROR(__xludf.DUMMYFUNCTION("SPLIT(O242,"","")"),"SNP 289/8")</f>
        <v>SNP 289/8</v>
      </c>
      <c r="N242" s="48" t="str">
        <f>IFERROR(__xludf.DUMMYFUNCTION("""COMPUTED_VALUE""")," 922 03 Vrbové")</f>
        <v> 922 03 Vrbové</v>
      </c>
      <c r="O242" s="122" t="s">
        <v>2708</v>
      </c>
      <c r="P242" s="50">
        <v>48.6222985</v>
      </c>
      <c r="Q242" s="109">
        <v>17.7239971</v>
      </c>
      <c r="R242" s="123" t="s">
        <v>2709</v>
      </c>
      <c r="S242" s="66" t="s">
        <v>2710</v>
      </c>
      <c r="T242" s="124" t="s">
        <v>2711</v>
      </c>
      <c r="U242" s="54" t="s">
        <v>2712</v>
      </c>
      <c r="V242" s="84" t="s">
        <v>2713</v>
      </c>
      <c r="W242" s="77" t="s">
        <v>2714</v>
      </c>
      <c r="X242" s="77" t="s">
        <v>2715</v>
      </c>
      <c r="Y242" s="121" t="s">
        <v>2716</v>
      </c>
      <c r="Z242" s="119" t="s">
        <v>2717</v>
      </c>
      <c r="AA242" s="125" t="s">
        <v>64</v>
      </c>
      <c r="AB242" s="64"/>
      <c r="AC242" s="64"/>
      <c r="AD242" s="64"/>
      <c r="AE242" s="64"/>
      <c r="AF242" s="65"/>
      <c r="AG242" s="65"/>
      <c r="AH242" s="65"/>
      <c r="AI242" s="65"/>
      <c r="AJ242" s="65"/>
      <c r="AK242" s="65"/>
      <c r="AL242" s="65"/>
      <c r="AM242" s="36"/>
      <c r="AN242" s="65"/>
      <c r="AO242" s="68" t="str">
        <f t="shared" si="6"/>
        <v>DH facility services, s. r. o. cistiace a upratovacie sluzby, &amp;#32vsetky kategorie  922 03 Vrbove Socialny podnik DH facility services s.r.o. je spolahlivym partnerom, ktory poskytuje komplexne sluzby. S celoslovenskou posobnostou ponukame klientom roznorode upratovacie sluzby, medzi ktore patri napriklad upratovanie kancelarii, ci spolocnych priestorov administrativnych budov. Venujeme sa vsak i upratovaniu skladovych priestorov. Ak teda hladate spolocnost, ktora Vam zabezpeci upratovanie, ste tu spravne.
 S nasimi vysoko profesionalnymi sluzbami budete nadmieru spokojni, pretoze sa postarame o vsetko, co v ramci spravy budov a ich upratovania potrebujete. V pripade zaujmu o upratovacie sluzby nas nevahajte kontaktovat. Zamestnavame osoby znevyhodne na trhu prace. DH facility services, s.r.o. Cistiace a upratovacie sluzby. Cistiace a upratovacie sluzby           </v>
      </c>
      <c r="AP242" s="69" t="s">
        <v>41</v>
      </c>
    </row>
    <row r="243" ht="15.75" customHeight="1">
      <c r="A243" s="45"/>
      <c r="B243" s="70">
        <v>241.0</v>
      </c>
      <c r="C243" s="116" t="s">
        <v>2718</v>
      </c>
      <c r="D243" s="71" t="s">
        <v>94</v>
      </c>
      <c r="E243" s="43" t="str">
        <f t="shared" si="1"/>
        <v>Bratislavský kraj, &amp;#32celé Slovensko</v>
      </c>
      <c r="F243" s="44" t="s">
        <v>243</v>
      </c>
      <c r="G243" s="43" t="str">
        <f t="shared" si="2"/>
        <v>potraviny a nápoje, &amp;#32všetky kategórie</v>
      </c>
      <c r="H243" s="44" t="s">
        <v>53</v>
      </c>
      <c r="I243" s="45" t="str">
        <f t="shared" si="3"/>
        <v>1 - 5, &amp;#32všetky možnosti</v>
      </c>
      <c r="J243" s="46" t="str">
        <f t="shared" si="4"/>
        <v>,</v>
      </c>
      <c r="K243" s="47">
        <f t="shared" si="5"/>
        <v>37453.90082</v>
      </c>
      <c r="L243" s="45"/>
      <c r="M243" s="49" t="str">
        <f>IFERROR(__xludf.DUMMYFUNCTION("SPLIT(O243,"","")"),"Tallerova 4")</f>
        <v>Tallerova 4</v>
      </c>
      <c r="N243" s="48" t="str">
        <f>IFERROR(__xludf.DUMMYFUNCTION("""COMPUTED_VALUE""")," 811 02 Bratislava")</f>
        <v> 811 02 Bratislava</v>
      </c>
      <c r="O243" s="122" t="s">
        <v>2719</v>
      </c>
      <c r="P243" s="50">
        <v>48.1417685</v>
      </c>
      <c r="Q243" s="109">
        <v>17.1139128</v>
      </c>
      <c r="R243" s="102" t="s">
        <v>2720</v>
      </c>
      <c r="S243" s="66" t="s">
        <v>2721</v>
      </c>
      <c r="T243" s="124" t="s">
        <v>2722</v>
      </c>
      <c r="U243" s="54" t="s">
        <v>2723</v>
      </c>
      <c r="V243" s="84" t="s">
        <v>2724</v>
      </c>
      <c r="W243" s="77" t="s">
        <v>2725</v>
      </c>
      <c r="X243" s="77" t="s">
        <v>2726</v>
      </c>
      <c r="Y243" s="121" t="s">
        <v>2727</v>
      </c>
      <c r="Z243" s="119" t="s">
        <v>2728</v>
      </c>
      <c r="AA243" s="125" t="s">
        <v>64</v>
      </c>
      <c r="AB243" s="64"/>
      <c r="AC243" s="64"/>
      <c r="AD243" s="64"/>
      <c r="AE243" s="64"/>
      <c r="AF243" s="65"/>
      <c r="AG243" s="65"/>
      <c r="AH243" s="65"/>
      <c r="AI243" s="65"/>
      <c r="AJ243" s="65"/>
      <c r="AK243" s="65"/>
      <c r="AL243" s="65"/>
      <c r="AM243" s="36"/>
      <c r="AN243" s="65"/>
      <c r="AO243" s="68" t="str">
        <f t="shared" si="6"/>
        <v>SERIOUS COFFEE s.r.o. potraviny a napoje, &amp;#32vsetky kategorie  811 02 Bratislava Praziaren vyberovej kavy. Percentom zamestnanych znevyhodnenych a zranitelnych osob. Serious Coffee s.r.o. Praziaren kavy. kava, prazenie kavy           </v>
      </c>
      <c r="AP243" s="82"/>
    </row>
    <row r="244" ht="15.75" customHeight="1">
      <c r="A244" s="45"/>
      <c r="B244" s="70">
        <v>242.0</v>
      </c>
      <c r="C244" s="116" t="s">
        <v>2729</v>
      </c>
      <c r="D244" s="71" t="s">
        <v>181</v>
      </c>
      <c r="E244" s="43" t="str">
        <f t="shared" si="1"/>
        <v>Banskobystrický kraj, &amp;#32celé Slovensko</v>
      </c>
      <c r="F244" s="44" t="s">
        <v>2730</v>
      </c>
      <c r="G244" s="43" t="str">
        <f t="shared" si="2"/>
        <v>čistiace a upratovacie služby, ochrana a bezpečnosť, &amp;#32všetky kategórie</v>
      </c>
      <c r="H244" s="44" t="s">
        <v>170</v>
      </c>
      <c r="I244" s="45" t="str">
        <f t="shared" si="3"/>
        <v>21 a viac, &amp;#32všetky možnosti</v>
      </c>
      <c r="J244" s="46" t="str">
        <f t="shared" si="4"/>
        <v>,Register partnerov VS</v>
      </c>
      <c r="K244" s="47">
        <f t="shared" si="5"/>
        <v>22063.14248</v>
      </c>
      <c r="L244" s="45"/>
      <c r="M244" s="49" t="str">
        <f>IFERROR(__xludf.DUMMYFUNCTION("SPLIT(O244,"","")"),"Lieskovská cesta 6")</f>
        <v>Lieskovská cesta 6</v>
      </c>
      <c r="N244" s="48" t="str">
        <f>IFERROR(__xludf.DUMMYFUNCTION("""COMPUTED_VALUE""")," 960 01 Zvolen")</f>
        <v> 960 01 Zvolen</v>
      </c>
      <c r="O244" s="122" t="s">
        <v>2731</v>
      </c>
      <c r="P244" s="50">
        <v>48.5753458</v>
      </c>
      <c r="Q244" s="109">
        <v>19.1520412</v>
      </c>
      <c r="R244" s="102" t="s">
        <v>2732</v>
      </c>
      <c r="S244" s="66" t="s">
        <v>2733</v>
      </c>
      <c r="T244" s="124" t="s">
        <v>86</v>
      </c>
      <c r="U244" s="54" t="s">
        <v>2734</v>
      </c>
      <c r="V244" s="84" t="s">
        <v>2735</v>
      </c>
      <c r="W244" s="77" t="s">
        <v>2736</v>
      </c>
      <c r="X244" s="77" t="s">
        <v>2729</v>
      </c>
      <c r="Y244" s="121" t="s">
        <v>2732</v>
      </c>
      <c r="Z244" s="119" t="s">
        <v>2737</v>
      </c>
      <c r="AA244" s="125" t="s">
        <v>64</v>
      </c>
      <c r="AB244" s="64"/>
      <c r="AC244" s="64"/>
      <c r="AD244" s="64"/>
      <c r="AE244" s="64"/>
      <c r="AF244" s="65"/>
      <c r="AG244" s="65"/>
      <c r="AH244" s="65"/>
      <c r="AI244" s="65"/>
      <c r="AJ244" s="65"/>
      <c r="AK244" s="65"/>
      <c r="AL244" s="65"/>
      <c r="AM244" s="52"/>
      <c r="AN244" s="80" t="s">
        <v>39</v>
      </c>
      <c r="AO244" s="68" t="str">
        <f t="shared" si="6"/>
        <v>AMG Security s.r.o. cistiace a upratovacie sluzby, ochrana a bezpecnost, &amp;#32vsetky kategorie  960 01 Zvolen Bezpecnostne a upratovacie sluzby. Vytvarame pracovne podmienky pre zamestnavanie znevyhodnenych zamestnancov a ich plnohodnotne zaclenenie do pracovneho procesu. AMG Security s.r.o. Bezpecnostne a upratovacie sluzby. ochrana, bezpecnost, strazenie, SBS, strazna sluzba, upratovanie, cistenie, dezinfekcia, technicka sprava budov           Register partnerov VS</v>
      </c>
      <c r="AP244" s="69" t="s">
        <v>41</v>
      </c>
    </row>
    <row r="245" ht="15.75" customHeight="1">
      <c r="A245" s="45"/>
      <c r="B245" s="70">
        <v>243.0</v>
      </c>
      <c r="C245" s="116" t="s">
        <v>2738</v>
      </c>
      <c r="D245" s="71" t="s">
        <v>80</v>
      </c>
      <c r="E245" s="43" t="str">
        <f t="shared" si="1"/>
        <v>Trnavský kraj, &amp;#32celé Slovensko</v>
      </c>
      <c r="F245" s="44" t="s">
        <v>257</v>
      </c>
      <c r="G245" s="43" t="str">
        <f t="shared" si="2"/>
        <v>odevy a obuv, &amp;#32všetky kategórie</v>
      </c>
      <c r="H245" s="44" t="s">
        <v>53</v>
      </c>
      <c r="I245" s="45" t="str">
        <f t="shared" si="3"/>
        <v>1 - 5, &amp;#32všetky možnosti</v>
      </c>
      <c r="J245" s="46" t="str">
        <f t="shared" si="4"/>
        <v>,</v>
      </c>
      <c r="K245" s="47">
        <f t="shared" si="5"/>
        <v>24270.92298</v>
      </c>
      <c r="L245" s="45"/>
      <c r="M245" s="49" t="str">
        <f>IFERROR(__xludf.DUMMYFUNCTION("SPLIT(O245,"","")"),"Hospodárska 96")</f>
        <v>Hospodárska 96</v>
      </c>
      <c r="N245" s="48" t="str">
        <f>IFERROR(__xludf.DUMMYFUNCTION("""COMPUTED_VALUE""")," 917 01 Trnava")</f>
        <v> 917 01 Trnava</v>
      </c>
      <c r="O245" s="122" t="s">
        <v>2739</v>
      </c>
      <c r="P245" s="50">
        <v>48.3797936</v>
      </c>
      <c r="Q245" s="109">
        <v>17.5798899</v>
      </c>
      <c r="R245" s="102" t="s">
        <v>2740</v>
      </c>
      <c r="S245" s="66" t="s">
        <v>2741</v>
      </c>
      <c r="T245" s="124" t="s">
        <v>2742</v>
      </c>
      <c r="U245" s="54" t="s">
        <v>2743</v>
      </c>
      <c r="V245" s="84" t="s">
        <v>2744</v>
      </c>
      <c r="W245" s="77" t="s">
        <v>2745</v>
      </c>
      <c r="X245" s="77" t="s">
        <v>2746</v>
      </c>
      <c r="Y245" s="121" t="s">
        <v>2747</v>
      </c>
      <c r="Z245" s="119" t="s">
        <v>2748</v>
      </c>
      <c r="AA245" s="125" t="s">
        <v>64</v>
      </c>
      <c r="AB245" s="64"/>
      <c r="AC245" s="64"/>
      <c r="AD245" s="64"/>
      <c r="AE245" s="64"/>
      <c r="AF245" s="65"/>
      <c r="AG245" s="65"/>
      <c r="AH245" s="65"/>
      <c r="AI245" s="65"/>
      <c r="AJ245" s="65"/>
      <c r="AK245" s="65"/>
      <c r="AL245" s="65"/>
      <c r="AM245" s="36"/>
      <c r="AN245" s="65"/>
      <c r="AO245" s="68" t="str">
        <f t="shared" si="6"/>
        <v>Zandrea, s. r. o. odevy a obuv, &amp;#32vsetky kategorie  917 01 Trnava Siroka ponuka second hand textilu a obuvi. Zamestnavame zdravotne znevyhodnenych ludi. Good secatch Ponukame second hand textil a obuv pre damy i panov. Pansky a damsky textil, zimne a prechodne bundy, riflove bundy, rifle, damske a panske nohavice, flanelove kosele, saka, vesty, leginy, bluzky a sukne, letne a zimne saty i sukne, XXL tovar, zimlu, letnu a sportovu obuv, kabelky, prestieradla, navliecky, deky, spodne pradlo damske i panske, plysove hracky           </v>
      </c>
      <c r="AP245" s="82"/>
    </row>
    <row r="246" ht="15.75" customHeight="1">
      <c r="A246" s="45"/>
      <c r="B246" s="70">
        <v>244.0</v>
      </c>
      <c r="C246" s="116" t="s">
        <v>2749</v>
      </c>
      <c r="D246" s="71" t="s">
        <v>51</v>
      </c>
      <c r="E246" s="43" t="str">
        <f t="shared" si="1"/>
        <v>Prešovský kraj, &amp;#32celé Slovensko</v>
      </c>
      <c r="F246" s="44" t="s">
        <v>2750</v>
      </c>
      <c r="G246" s="43" t="str">
        <f t="shared" si="2"/>
        <v>krása-zdravie-relax, bižutéria a darčekové predmety, iné (tovary a služby), &amp;#32všetky kategórie</v>
      </c>
      <c r="H246" s="44" t="s">
        <v>53</v>
      </c>
      <c r="I246" s="45" t="str">
        <f t="shared" si="3"/>
        <v>1 - 5, &amp;#32všetky možnosti</v>
      </c>
      <c r="J246" s="46" t="str">
        <f t="shared" si="4"/>
        <v>,Register partnerov VS</v>
      </c>
      <c r="K246" s="47">
        <f t="shared" si="5"/>
        <v>13592.03461</v>
      </c>
      <c r="L246" s="45"/>
      <c r="M246" s="49" t="str">
        <f>IFERROR(__xludf.DUMMYFUNCTION("SPLIT(O246,"","")"),"Topoľa 102")</f>
        <v>Topoľa 102</v>
      </c>
      <c r="N246" s="48" t="str">
        <f>IFERROR(__xludf.DUMMYFUNCTION("""COMPUTED_VALUE""")," 067 65 Topoľa")</f>
        <v> 067 65 Topoľa</v>
      </c>
      <c r="O246" s="122" t="s">
        <v>2751</v>
      </c>
      <c r="P246" s="50">
        <v>49.0432309</v>
      </c>
      <c r="Q246" s="109">
        <v>22.3560876</v>
      </c>
      <c r="R246" s="102" t="s">
        <v>2752</v>
      </c>
      <c r="S246" s="66" t="s">
        <v>2753</v>
      </c>
      <c r="T246" s="124" t="s">
        <v>2754</v>
      </c>
      <c r="U246" s="54" t="s">
        <v>2755</v>
      </c>
      <c r="V246" s="84" t="s">
        <v>2756</v>
      </c>
      <c r="W246" s="77" t="s">
        <v>2757</v>
      </c>
      <c r="X246" s="77" t="s">
        <v>2758</v>
      </c>
      <c r="Y246" s="121" t="s">
        <v>2759</v>
      </c>
      <c r="Z246" s="119" t="s">
        <v>2760</v>
      </c>
      <c r="AA246" s="125" t="s">
        <v>64</v>
      </c>
      <c r="AB246" s="64"/>
      <c r="AC246" s="64"/>
      <c r="AD246" s="64"/>
      <c r="AE246" s="64"/>
      <c r="AF246" s="65"/>
      <c r="AG246" s="65"/>
      <c r="AH246" s="65"/>
      <c r="AI246" s="65"/>
      <c r="AJ246" s="65"/>
      <c r="AK246" s="65"/>
      <c r="AL246" s="65"/>
      <c r="AM246" s="52"/>
      <c r="AN246" s="80" t="s">
        <v>39</v>
      </c>
      <c r="AO246" s="68" t="str">
        <f t="shared" si="6"/>
        <v>KALUSO s.r.o. krasa-zdravie-relax, bizuteria a darcekove predmety, ine (tovary a sluzby), &amp;#32vsetky kategorie  067 65 Topola Podnik sa zaobera predajom zdravotnickych a kompenzacnych pomocok, vyrobou sviecok, darcekovych predmetov z vosku. Nase produkty, vyrobky a tovar si moze zadovazit ktokolvek, kto dba o svoje zdravie alebo chce prekvapit darcekom svoje okolie. Pozitivny socialny vplyv dosahujeme zamestnavanim osob so zdravotnym znevyhodnenim. VZP KA-MA V prevadzkarni je k dispozicii siroka ponuka rehabilitacnych pomocok. V pripade potreby nasi konzultanti dokazu predviest iste pomocky aj u zakaznika. Zdravotnicke pomocky, pridavne pohony, invalidne voziky, sviecky, darcekove balenia           Register partnerov VS</v>
      </c>
      <c r="AP246" s="69" t="s">
        <v>41</v>
      </c>
    </row>
    <row r="247" ht="15.75" customHeight="1">
      <c r="A247" s="45"/>
      <c r="B247" s="70">
        <v>245.0</v>
      </c>
      <c r="C247" s="116" t="s">
        <v>2761</v>
      </c>
      <c r="D247" s="71" t="s">
        <v>181</v>
      </c>
      <c r="E247" s="43" t="str">
        <f t="shared" si="1"/>
        <v>Banskobystrický kraj, &amp;#32celé Slovensko</v>
      </c>
      <c r="F247" s="44" t="s">
        <v>2762</v>
      </c>
      <c r="G247" s="43" t="str">
        <f t="shared" si="2"/>
        <v>účtovníctvo a poradenstvo, iné (tovary a služby), &amp;#32všetky kategórie</v>
      </c>
      <c r="H247" s="44" t="s">
        <v>53</v>
      </c>
      <c r="I247" s="45" t="str">
        <f t="shared" si="3"/>
        <v>1 - 5, &amp;#32všetky možnosti</v>
      </c>
      <c r="J247" s="46" t="str">
        <f t="shared" si="4"/>
        <v>,</v>
      </c>
      <c r="K247" s="47">
        <f t="shared" si="5"/>
        <v>35976.20867</v>
      </c>
      <c r="L247" s="45"/>
      <c r="M247" s="49" t="str">
        <f>IFERROR(__xludf.DUMMYFUNCTION("SPLIT(O247,"","")"),"Medený Hámor 15")</f>
        <v>Medený Hámor 15</v>
      </c>
      <c r="N247" s="48" t="str">
        <f>IFERROR(__xludf.DUMMYFUNCTION("""COMPUTED_VALUE""")," 974 01 Banská Bystrica")</f>
        <v> 974 01 Banská Bystrica</v>
      </c>
      <c r="O247" s="122" t="s">
        <v>2763</v>
      </c>
      <c r="P247" s="50">
        <v>48.7470392</v>
      </c>
      <c r="Q247" s="109">
        <v>19.1399767</v>
      </c>
      <c r="R247" s="123" t="s">
        <v>2764</v>
      </c>
      <c r="S247" s="66" t="s">
        <v>2765</v>
      </c>
      <c r="T247" s="124" t="s">
        <v>86</v>
      </c>
      <c r="U247" s="54" t="s">
        <v>2766</v>
      </c>
      <c r="V247" s="84" t="s">
        <v>2767</v>
      </c>
      <c r="W247" s="77" t="s">
        <v>2768</v>
      </c>
      <c r="X247" s="77" t="s">
        <v>2769</v>
      </c>
      <c r="Y247" s="121" t="s">
        <v>2770</v>
      </c>
      <c r="Z247" s="119" t="s">
        <v>2771</v>
      </c>
      <c r="AA247" s="125" t="s">
        <v>64</v>
      </c>
      <c r="AB247" s="64"/>
      <c r="AC247" s="64"/>
      <c r="AD247" s="64"/>
      <c r="AE247" s="64"/>
      <c r="AF247" s="65"/>
      <c r="AG247" s="65"/>
      <c r="AH247" s="65"/>
      <c r="AI247" s="65"/>
      <c r="AJ247" s="65"/>
      <c r="AK247" s="65"/>
      <c r="AL247" s="65"/>
      <c r="AM247" s="36"/>
      <c r="AN247" s="65"/>
      <c r="AO247" s="68" t="str">
        <f t="shared" si="6"/>
        <v>BPM AREA SK s. r. o. uctovnictvo a poradenstvo, ine (tovary a sluzby), &amp;#32vsetky kategorie  974 01 Banska Bystrica Spolocnost poskytuje pocitacove sluzby a sluzby suvisiace s pocitacovym spracovanim udajov. Pod touto cinnostou podnik realizuje vyvoj, prevadzku a poskytovanie sluzieb v oblasti informacnych technologii, spracovanie ekonomickych, obchodnych, logistickych a inych dat vratane vedenia a spracovania uctovnictva. Spolocnost zamestnava vysoky podiel znevyhodnenych pracovnikov. Ide najma o integraciu osob s istym zdravotnym znevyhodnenim, ale aj inak znevyhodnene osoby. BPM AREA SK s.r.o. Spolocnost poskytuje komplexne sluzby v oblasti informacnych technologii a spracovania dat. vyvoj, programovanie, data, software, SW, grafika, web, online, uctovnictvo a poradenstvo           </v>
      </c>
      <c r="AP247" s="82"/>
    </row>
    <row r="248" ht="15.75" customHeight="1">
      <c r="A248" s="45"/>
      <c r="B248" s="70">
        <v>246.0</v>
      </c>
      <c r="C248" s="116" t="s">
        <v>2772</v>
      </c>
      <c r="D248" s="71" t="s">
        <v>181</v>
      </c>
      <c r="E248" s="43" t="str">
        <f t="shared" si="1"/>
        <v>Banskobystrický kraj, &amp;#32celé Slovensko</v>
      </c>
      <c r="F248" s="44" t="s">
        <v>2773</v>
      </c>
      <c r="G248" s="43" t="str">
        <f t="shared" si="2"/>
        <v>vzdelávanie, pre deti, iné (tovary a služby), &amp;#32všetky kategórie</v>
      </c>
      <c r="H248" s="44" t="s">
        <v>82</v>
      </c>
      <c r="I248" s="45" t="str">
        <f t="shared" si="3"/>
        <v>11 - 15, &amp;#32všetky možnosti</v>
      </c>
      <c r="J248" s="46" t="str">
        <f t="shared" si="4"/>
        <v>,Register partnerov VS</v>
      </c>
      <c r="K248" s="47">
        <f t="shared" si="5"/>
        <v>29430.24053</v>
      </c>
      <c r="L248" s="45"/>
      <c r="M248" s="49" t="str">
        <f>IFERROR(__xludf.DUMMYFUNCTION("SPLIT(O248,"","")"),"Lazovná 1487/56")</f>
        <v>Lazovná 1487/56</v>
      </c>
      <c r="N248" s="48" t="str">
        <f>IFERROR(__xludf.DUMMYFUNCTION("""COMPUTED_VALUE""")," 974 01 Banská Bystrica")</f>
        <v> 974 01 Banská Bystrica</v>
      </c>
      <c r="O248" s="122" t="s">
        <v>2774</v>
      </c>
      <c r="P248" s="50">
        <v>48.7395163</v>
      </c>
      <c r="Q248" s="109">
        <v>19.1421887</v>
      </c>
      <c r="R248" s="51" t="s">
        <v>2775</v>
      </c>
      <c r="S248" s="66" t="s">
        <v>2776</v>
      </c>
      <c r="T248" s="124" t="s">
        <v>86</v>
      </c>
      <c r="U248" s="54" t="s">
        <v>2777</v>
      </c>
      <c r="V248" s="84" t="s">
        <v>2778</v>
      </c>
      <c r="W248" s="77" t="s">
        <v>2779</v>
      </c>
      <c r="X248" s="77" t="s">
        <v>2780</v>
      </c>
      <c r="Y248" s="121" t="s">
        <v>2781</v>
      </c>
      <c r="Z248" s="119" t="s">
        <v>2782</v>
      </c>
      <c r="AA248" s="125" t="s">
        <v>64</v>
      </c>
      <c r="AB248" s="64"/>
      <c r="AC248" s="64"/>
      <c r="AD248" s="64"/>
      <c r="AE248" s="64"/>
      <c r="AF248" s="65"/>
      <c r="AG248" s="65"/>
      <c r="AH248" s="65"/>
      <c r="AI248" s="65"/>
      <c r="AJ248" s="65"/>
      <c r="AK248" s="65"/>
      <c r="AL248" s="65"/>
      <c r="AM248" s="52"/>
      <c r="AN248" s="80" t="s">
        <v>39</v>
      </c>
      <c r="AO248" s="68" t="str">
        <f t="shared" si="6"/>
        <v>DC Sielnica, n.o. vzdelavanie, pre deti, ine (tovary a sluzby), &amp;#32vsetky kategorie  974 01 Banska Bystrica Ponukame: - mimoskolsku vzdelavaciu cinnost pre deti so specialnymi vychovno-vzdelavacimi potrebami,
 - vyrobu pomocok pre deti so specialnymi vychovno-vzdelavacimi potrebami,
 - upravu motorovych vozidiel pre osoby ZTP,
 - vyrobu a montaz zdvihacich zariadeni pre osoby ZTP,
 - vyrobu a montaz najazdovych plosin a ramp pre osoby ZTP,
 - starostlivost o zahradu a okolie domu osobam so socialnym znevyhodnenim (hlavne seniorom),
 - likvidaciu biologickeho odpadu - drevnej hmoty,
 - pocitacove sluzby - tvorbu web stranok,
 - pocitacove sluzby - marketing a SEO - optimalizaciu pre vyhladavace. Nas podnik je spolocensky prospesny tym, ze vytvara podmienky vzdelavania pre deti so specialnymi vychovnovzdelavacimi potrebami alebo inak znevyhodnene deti v predskolskom veku. Sekundarne tak umoznuje rodicom tychto deti uplatnit sa na trhu prace. Nasimi zamestnancami su aj osoby znevyhodnene a zranitelne. V buducnosti sa budeme snazit vytvarat pracovne miesta pre dalsie osoby so znevyhodnenim. Detske centrum Sielnica Vzdelavanie deti so specialnymi vychovno-vzdelavacimi potrebami. vzdelavanie, pocitacove sluzby, plosiny, zdvihacie zariadenia, uprava automobilu pre ZTP, zdravotnicke pomocky           Register partnerov VS</v>
      </c>
      <c r="AP248" s="69" t="s">
        <v>41</v>
      </c>
    </row>
    <row r="249" ht="15.75" customHeight="1">
      <c r="A249" s="45"/>
      <c r="B249" s="70">
        <v>247.0</v>
      </c>
      <c r="C249" s="116" t="s">
        <v>2783</v>
      </c>
      <c r="D249" s="71" t="s">
        <v>80</v>
      </c>
      <c r="E249" s="43" t="str">
        <f t="shared" si="1"/>
        <v>Trnavský kraj, &amp;#32celé Slovensko</v>
      </c>
      <c r="F249" s="44" t="s">
        <v>1811</v>
      </c>
      <c r="G249" s="43" t="str">
        <f t="shared" si="2"/>
        <v>poľnohospodárstvo a lesníctvo, zvieratá, &amp;#32všetky kategórie</v>
      </c>
      <c r="H249" s="44" t="s">
        <v>96</v>
      </c>
      <c r="I249" s="45" t="str">
        <f t="shared" si="3"/>
        <v>6 - 10, &amp;#32všetky možnosti</v>
      </c>
      <c r="J249" s="46" t="str">
        <f t="shared" si="4"/>
        <v>,Register partnerov VS</v>
      </c>
      <c r="K249" s="47">
        <f t="shared" si="5"/>
        <v>31849.68778</v>
      </c>
      <c r="L249" s="45"/>
      <c r="M249" s="49" t="str">
        <f>IFERROR(__xludf.DUMMYFUNCTION("SPLIT(O249,"","")"),"M.R. Štefánika 4280/30")</f>
        <v>M.R. Štefánika 4280/30</v>
      </c>
      <c r="N249" s="48" t="str">
        <f>IFERROR(__xludf.DUMMYFUNCTION("""COMPUTED_VALUE""")," 926 01 Sereď")</f>
        <v> 926 01 Sereď</v>
      </c>
      <c r="O249" s="122" t="s">
        <v>2784</v>
      </c>
      <c r="P249" s="50">
        <v>48.2860581</v>
      </c>
      <c r="Q249" s="109">
        <v>17.7391061</v>
      </c>
      <c r="R249" s="123" t="s">
        <v>2785</v>
      </c>
      <c r="S249" s="66" t="s">
        <v>2786</v>
      </c>
      <c r="T249" s="124" t="s">
        <v>86</v>
      </c>
      <c r="U249" s="54" t="s">
        <v>2787</v>
      </c>
      <c r="V249" s="84" t="s">
        <v>2788</v>
      </c>
      <c r="W249" s="77" t="s">
        <v>2789</v>
      </c>
      <c r="X249" s="77" t="s">
        <v>2783</v>
      </c>
      <c r="Y249" s="121" t="s">
        <v>2790</v>
      </c>
      <c r="Z249" s="119" t="s">
        <v>2791</v>
      </c>
      <c r="AA249" s="125" t="s">
        <v>64</v>
      </c>
      <c r="AB249" s="64"/>
      <c r="AC249" s="64"/>
      <c r="AD249" s="64"/>
      <c r="AE249" s="64"/>
      <c r="AF249" s="65"/>
      <c r="AG249" s="65"/>
      <c r="AH249" s="65"/>
      <c r="AI249" s="65"/>
      <c r="AJ249" s="65"/>
      <c r="AK249" s="65"/>
      <c r="AL249" s="65"/>
      <c r="AM249" s="52"/>
      <c r="AN249" s="80" t="s">
        <v>39</v>
      </c>
      <c r="AO249" s="68" t="str">
        <f t="shared" si="6"/>
        <v>Ramex trade, s.r.o. polnohospodarstvo a lesnictvo, zvierata, &amp;#32vsetky kategorie  926 01 Sered Nasa spolocnost Ramex trade, s.r.o. posobi na Slovenskom trhu od roku 2013. Hlavnym predmetom podnikania je nakup a predaj polnohospodarskych komodit s orientaciou na slovensky a europsky trh. V ramci nasej obchodnej cinnosti uzko spolupracujeme s renomovanymi zahranicnymi spolocnostami.
 Nasimi vyvoznymi komoditami su obilie, kukurica, olejniny, strukoviny, komponenty pre krmne zmesi pre vtakov a krmoviny. 
 Pri svojom posobeni kladieme maximalny doraz na zabezpecenie kvality, zdravotnej nezavadnosti produktov a potravinovej bezpecnosti polnohospodarskych komodit.
 Za dolezity moment vo vyvoji nasej spolocnosti povazujeme transformaciu Ramex trade, s.r.o. na registrovany socialny podnik v zmysle zakona c. 112/2018 Z. z. o socialnej ekonomike a socialnych podnikoch zamerany na podporu zamestnavania osob so zdravotnym postihnutim. Zamestnavame osoby so zdravotnym postihnutim. Ramex trade, s.r.o. Nakup a predaj polnohospodarskych a potravinarskych produktov. Nakup a predaj polnohospodarskych a potravinarskych produktov, krmne zmesi           Register partnerov VS</v>
      </c>
      <c r="AP249" s="82"/>
    </row>
    <row r="250" ht="15.75" customHeight="1">
      <c r="A250" s="45"/>
      <c r="B250" s="70">
        <v>248.0</v>
      </c>
      <c r="C250" s="116" t="s">
        <v>2792</v>
      </c>
      <c r="D250" s="71" t="s">
        <v>80</v>
      </c>
      <c r="E250" s="43" t="str">
        <f t="shared" si="1"/>
        <v>Trnavský kraj, &amp;#32celé Slovensko</v>
      </c>
      <c r="F250" s="44" t="s">
        <v>2793</v>
      </c>
      <c r="G250" s="43" t="str">
        <f t="shared" si="2"/>
        <v>účtovníctvo a poradenstvo, odpady a recyklácia, &amp;#32všetky kategórie</v>
      </c>
      <c r="H250" s="44" t="s">
        <v>96</v>
      </c>
      <c r="I250" s="45" t="str">
        <f t="shared" si="3"/>
        <v>6 - 10, &amp;#32všetky možnosti</v>
      </c>
      <c r="J250" s="46" t="str">
        <f t="shared" si="4"/>
        <v>,Register partnerov VS</v>
      </c>
      <c r="K250" s="47">
        <f t="shared" si="5"/>
        <v>20725.33836</v>
      </c>
      <c r="L250" s="45"/>
      <c r="M250" s="49" t="str">
        <f>IFERROR(__xludf.DUMMYFUNCTION("SPLIT(O250,"","")"),"Hlavná 106")</f>
        <v>Hlavná 106</v>
      </c>
      <c r="N250" s="48" t="str">
        <f>IFERROR(__xludf.DUMMYFUNCTION("""COMPUTED_VALUE""")," 919 26 Zavar")</f>
        <v> 919 26 Zavar</v>
      </c>
      <c r="O250" s="122" t="s">
        <v>2794</v>
      </c>
      <c r="P250" s="50">
        <v>48.3733452</v>
      </c>
      <c r="Q250" s="109">
        <v>17.5873141</v>
      </c>
      <c r="R250" s="102" t="s">
        <v>2795</v>
      </c>
      <c r="S250" s="66" t="s">
        <v>2796</v>
      </c>
      <c r="T250" s="124" t="s">
        <v>86</v>
      </c>
      <c r="U250" s="54" t="s">
        <v>2797</v>
      </c>
      <c r="V250" s="84" t="s">
        <v>2798</v>
      </c>
      <c r="W250" s="77" t="s">
        <v>2799</v>
      </c>
      <c r="X250" s="77" t="s">
        <v>2800</v>
      </c>
      <c r="Y250" s="121" t="s">
        <v>2801</v>
      </c>
      <c r="Z250" s="119" t="s">
        <v>2802</v>
      </c>
      <c r="AA250" s="125" t="s">
        <v>64</v>
      </c>
      <c r="AB250" s="64"/>
      <c r="AC250" s="64"/>
      <c r="AD250" s="64"/>
      <c r="AE250" s="64"/>
      <c r="AF250" s="65"/>
      <c r="AG250" s="65"/>
      <c r="AH250" s="65"/>
      <c r="AI250" s="65"/>
      <c r="AJ250" s="65"/>
      <c r="AK250" s="65"/>
      <c r="AL250" s="65"/>
      <c r="AM250" s="52"/>
      <c r="AN250" s="80" t="s">
        <v>39</v>
      </c>
      <c r="AO250" s="68" t="str">
        <f t="shared" si="6"/>
        <v>Novo Health s. r. o. uctovnictvo a poradenstvo, odpady a recyklacia, &amp;#32vsetky kategorie  919 26 Zavar Projektovy manazment. Zamestnavanie zdravotne znevyhodnenych osob. Kancelaria Poprad Predaj tovarov v oblasti odpadov a recyklacie. projekt, optimalizacia procesov, outsourcing procesov, personalna agenda, vyskum, vyvoj, inovacie           Register partnerov VS</v>
      </c>
      <c r="AP250" s="82"/>
    </row>
    <row r="251" ht="15.75" customHeight="1">
      <c r="A251" s="45"/>
      <c r="B251" s="70">
        <v>249.0</v>
      </c>
      <c r="C251" s="116" t="s">
        <v>2803</v>
      </c>
      <c r="D251" s="71" t="s">
        <v>66</v>
      </c>
      <c r="E251" s="43" t="str">
        <f t="shared" si="1"/>
        <v>Žilinský kraj, &amp;#32celé Slovensko</v>
      </c>
      <c r="F251" s="44" t="s">
        <v>2750</v>
      </c>
      <c r="G251" s="43" t="str">
        <f t="shared" si="2"/>
        <v>krása-zdravie-relax, bižutéria a darčekové predmety, iné (tovary a služby), &amp;#32všetky kategórie</v>
      </c>
      <c r="H251" s="44" t="s">
        <v>96</v>
      </c>
      <c r="I251" s="45" t="str">
        <f t="shared" si="3"/>
        <v>6 - 10, &amp;#32všetky možnosti</v>
      </c>
      <c r="J251" s="46" t="str">
        <f t="shared" si="4"/>
        <v>,</v>
      </c>
      <c r="K251" s="47">
        <f t="shared" si="5"/>
        <v>34684.29985</v>
      </c>
      <c r="L251" s="45"/>
      <c r="M251" s="49" t="str">
        <f>IFERROR(__xludf.DUMMYFUNCTION("SPLIT(O251,"","")"),"Veterná 1463/56")</f>
        <v>Veterná 1463/56</v>
      </c>
      <c r="N251" s="48" t="str">
        <f>IFERROR(__xludf.DUMMYFUNCTION("""COMPUTED_VALUE""")," 036 01 Martin")</f>
        <v> 036 01 Martin</v>
      </c>
      <c r="O251" s="122" t="s">
        <v>2804</v>
      </c>
      <c r="P251" s="50">
        <v>49.0840393</v>
      </c>
      <c r="Q251" s="109">
        <v>18.9124738</v>
      </c>
      <c r="R251" s="102" t="s">
        <v>2805</v>
      </c>
      <c r="S251" s="66" t="s">
        <v>2806</v>
      </c>
      <c r="T251" s="124" t="s">
        <v>2807</v>
      </c>
      <c r="U251" s="54" t="s">
        <v>2808</v>
      </c>
      <c r="V251" s="84" t="s">
        <v>2809</v>
      </c>
      <c r="W251" s="77" t="s">
        <v>2810</v>
      </c>
      <c r="X251" s="77" t="s">
        <v>2811</v>
      </c>
      <c r="Y251" s="121" t="s">
        <v>2812</v>
      </c>
      <c r="Z251" s="119" t="s">
        <v>2813</v>
      </c>
      <c r="AA251" s="125" t="s">
        <v>64</v>
      </c>
      <c r="AB251" s="64"/>
      <c r="AC251" s="64"/>
      <c r="AD251" s="64"/>
      <c r="AE251" s="64"/>
      <c r="AF251" s="65"/>
      <c r="AG251" s="65"/>
      <c r="AH251" s="65"/>
      <c r="AI251" s="65"/>
      <c r="AJ251" s="65"/>
      <c r="AK251" s="65"/>
      <c r="AL251" s="65"/>
      <c r="AM251" s="36"/>
      <c r="AN251" s="65"/>
      <c r="AO251" s="68" t="str">
        <f t="shared" si="6"/>
        <v>Gergis s.r.o. krasa-zdravie-relax, bizuteria a darcekove predmety, ine (tovary a sluzby), &amp;#32vsetky kategorie  036 01 Martin Nasa spolocnost je zamerana na vyrobu sviecok z parafinov, voskov a gelov. Vyrabame sviecky so zameranim na dekoracne, energeticke, prilezitostne, reklamne, ezotericke a dalsie druhy podla poziadaviek nasich zakaznikov a spolupracovnikov. Nasimi zakaznikmi su predajne s darcekovym sortimentom, kvetinarstva, zariadenia zaoberajuce sa starostlivostou o cloveka v celom rozsahu sluzieb. Zamestnavame zamestnacov ZTP, resp. s inym znevyhodnenim. Gergis s.r.o., r.s.p. - vyroba Sviecky, keramika, vyrobky z dreva, lyka, kovu, skla, mineraly a polodrahokamy. sviecky, sperky, rucne vyrabane vyrobky z dreva, lyka, skla, keramika...           </v>
      </c>
      <c r="AP251" s="69" t="s">
        <v>41</v>
      </c>
    </row>
    <row r="252" ht="15.75" customHeight="1">
      <c r="A252" s="45"/>
      <c r="B252" s="70">
        <v>250.0</v>
      </c>
      <c r="C252" s="116" t="s">
        <v>2814</v>
      </c>
      <c r="D252" s="71" t="s">
        <v>134</v>
      </c>
      <c r="E252" s="43" t="str">
        <f t="shared" si="1"/>
        <v>Trenčiansky kraj, &amp;#32celé Slovensko</v>
      </c>
      <c r="F252" s="44" t="s">
        <v>2815</v>
      </c>
      <c r="G252" s="43" t="str">
        <f t="shared" si="2"/>
        <v>cestovný ruch, stavebníctvo, &amp;#32všetky kategórie</v>
      </c>
      <c r="H252" s="44" t="s">
        <v>96</v>
      </c>
      <c r="I252" s="45" t="str">
        <f t="shared" si="3"/>
        <v>6 - 10, &amp;#32všetky možnosti</v>
      </c>
      <c r="J252" s="46" t="str">
        <f t="shared" si="4"/>
        <v>,Register partnerov VS</v>
      </c>
      <c r="K252" s="47">
        <f t="shared" si="5"/>
        <v>27721.52559</v>
      </c>
      <c r="L252" s="45"/>
      <c r="M252" s="49" t="str">
        <f>IFERROR(__xludf.DUMMYFUNCTION("SPLIT(O252,"","")"),"Centrum 2304")</f>
        <v>Centrum 2304</v>
      </c>
      <c r="N252" s="48" t="str">
        <f>IFERROR(__xludf.DUMMYFUNCTION("""COMPUTED_VALUE""")," 017 01 Považská Bystrica")</f>
        <v> 017 01 Považská Bystrica</v>
      </c>
      <c r="O252" s="122" t="s">
        <v>2816</v>
      </c>
      <c r="P252" s="50">
        <v>49.1154485</v>
      </c>
      <c r="Q252" s="109">
        <v>18.4469397</v>
      </c>
      <c r="R252" s="123" t="s">
        <v>2817</v>
      </c>
      <c r="S252" s="66" t="s">
        <v>2818</v>
      </c>
      <c r="T252" s="124" t="s">
        <v>86</v>
      </c>
      <c r="U252" s="54" t="s">
        <v>2819</v>
      </c>
      <c r="V252" s="84" t="s">
        <v>2820</v>
      </c>
      <c r="W252" s="77" t="s">
        <v>2821</v>
      </c>
      <c r="X252" s="77" t="s">
        <v>2822</v>
      </c>
      <c r="Y252" s="121" t="s">
        <v>2823</v>
      </c>
      <c r="Z252" s="119" t="s">
        <v>2824</v>
      </c>
      <c r="AA252" s="125" t="s">
        <v>64</v>
      </c>
      <c r="AB252" s="64"/>
      <c r="AC252" s="64"/>
      <c r="AD252" s="64"/>
      <c r="AE252" s="64"/>
      <c r="AF252" s="65"/>
      <c r="AG252" s="65"/>
      <c r="AH252" s="65"/>
      <c r="AI252" s="65"/>
      <c r="AJ252" s="65"/>
      <c r="AK252" s="65"/>
      <c r="AL252" s="65"/>
      <c r="AM252" s="52"/>
      <c r="AN252" s="80" t="s">
        <v>39</v>
      </c>
      <c r="AO252" s="68" t="str">
        <f t="shared" si="6"/>
        <v>Inziniering MH, s. r. o. cestovny ruch, stavebnictvo, &amp;#32vsetky kategorie  017 01 Povazska Bystrica Stavebne prace, vykon stavebneho dozoru, ubytovanie v ubytovacom zariadeni Camping Maninska tiesnava. Zamestnavanie zdravotne znevyhodnenych. Camping Maninska tiesnava Ubytovanie v chatkach, stanoch a karavanoch, sluzby bufetu. ubytovanie, chatova osada, stanovanie, karavany, stavebny dozor, stavebne prace           Register partnerov VS</v>
      </c>
      <c r="AP252" s="82"/>
    </row>
    <row r="253" ht="15.75" customHeight="1">
      <c r="A253" s="45"/>
      <c r="B253" s="70">
        <v>251.0</v>
      </c>
      <c r="C253" s="116" t="s">
        <v>2825</v>
      </c>
      <c r="D253" s="71" t="s">
        <v>228</v>
      </c>
      <c r="E253" s="43" t="str">
        <f t="shared" si="1"/>
        <v>Nitriansky kraj, &amp;#32celé Slovensko</v>
      </c>
      <c r="F253" s="44" t="s">
        <v>2826</v>
      </c>
      <c r="G253" s="43" t="str">
        <f t="shared" si="2"/>
        <v>poľnohospodárstvo a lesníctvo, dom a záhrada, stavebníctvo, doprava, ubytovacie a stravovacie služby, cestovný ruch, &amp;#32všetky kategórie</v>
      </c>
      <c r="H253" s="44" t="s">
        <v>96</v>
      </c>
      <c r="I253" s="45" t="str">
        <f t="shared" si="3"/>
        <v>6 - 10, &amp;#32všetky možnosti</v>
      </c>
      <c r="J253" s="46" t="str">
        <f t="shared" si="4"/>
        <v>,Register partnerov VS</v>
      </c>
      <c r="K253" s="47">
        <f t="shared" si="5"/>
        <v>771.9299698</v>
      </c>
      <c r="L253" s="45"/>
      <c r="M253" s="49" t="str">
        <f>IFERROR(__xludf.DUMMYFUNCTION("SPLIT(O253,"","")"),"Jelenec 701")</f>
        <v>Jelenec 701</v>
      </c>
      <c r="N253" s="48" t="str">
        <f>IFERROR(__xludf.DUMMYFUNCTION("""COMPUTED_VALUE""")," 951 73 Jelenec")</f>
        <v> 951 73 Jelenec</v>
      </c>
      <c r="O253" s="122" t="s">
        <v>2827</v>
      </c>
      <c r="P253" s="50">
        <v>48.37643</v>
      </c>
      <c r="Q253" s="109">
        <v>18.2285161</v>
      </c>
      <c r="R253" s="123" t="s">
        <v>2828</v>
      </c>
      <c r="S253" s="66" t="s">
        <v>2829</v>
      </c>
      <c r="T253" s="124" t="s">
        <v>2830</v>
      </c>
      <c r="U253" s="54" t="s">
        <v>2831</v>
      </c>
      <c r="V253" s="55" t="s">
        <v>2832</v>
      </c>
      <c r="W253" s="77" t="s">
        <v>2833</v>
      </c>
      <c r="X253" s="77" t="s">
        <v>2825</v>
      </c>
      <c r="Y253" s="121" t="s">
        <v>2834</v>
      </c>
      <c r="Z253" s="119" t="s">
        <v>2835</v>
      </c>
      <c r="AA253" s="125" t="s">
        <v>64</v>
      </c>
      <c r="AB253" s="64"/>
      <c r="AC253" s="64"/>
      <c r="AD253" s="64"/>
      <c r="AE253" s="64"/>
      <c r="AF253" s="65"/>
      <c r="AG253" s="65"/>
      <c r="AH253" s="65"/>
      <c r="AI253" s="65"/>
      <c r="AJ253" s="65"/>
      <c r="AK253" s="65"/>
      <c r="AL253" s="65"/>
      <c r="AM253" s="52"/>
      <c r="AN253" s="80" t="s">
        <v>39</v>
      </c>
      <c r="AO253" s="68" t="str">
        <f t="shared" si="6"/>
        <v>SP Jelenec, s.r.o. polnohospodarstvo a lesnictvo, dom a zahrada, stavebnictvo, doprava, ubytovacie a stravovacie sluzby, cestovny ruch, &amp;#32vsetky kategorie  951 73 Jelenec Prevadzka turistickeho zariadenia Ubytovanie u Forgacha s doplnkovymi sluzbami, komunalne sluzby, traktorove sluzby, stavebne prace. Podpora zamestnanosti miestnych obyvatelov i z radov znevyhodnenych, podpora miestnej komunity a ekonomiky. SP Jelenec, s.r.o. Ubytovanie, organizacia podujati, vydajna jedal, traktorove sluzby, stavebne prace. ubytovanie, kosenie, orba, mulcovanie, stavebne prace, rekonstrukcie, stravovanie           Register partnerov VS</v>
      </c>
      <c r="AP253" s="82"/>
    </row>
    <row r="254" ht="15.75" customHeight="1">
      <c r="A254" s="45"/>
      <c r="B254" s="70">
        <v>252.0</v>
      </c>
      <c r="C254" s="116" t="s">
        <v>2836</v>
      </c>
      <c r="D254" s="71" t="s">
        <v>217</v>
      </c>
      <c r="E254" s="43" t="str">
        <f t="shared" si="1"/>
        <v>Košický kraj, &amp;#32celé Slovensko</v>
      </c>
      <c r="F254" s="44" t="s">
        <v>2837</v>
      </c>
      <c r="G254" s="43" t="str">
        <f t="shared" si="2"/>
        <v>ubytovacie a stravovacie služby, cestovný ruch, poľnohospodárstvo a lesníctvo, zvieratá, kultúra a šport, pre deti, &amp;#32všetky kategórie</v>
      </c>
      <c r="H254" s="44" t="s">
        <v>96</v>
      </c>
      <c r="I254" s="45" t="str">
        <f t="shared" si="3"/>
        <v>6 - 10, &amp;#32všetky možnosti</v>
      </c>
      <c r="J254" s="46" t="str">
        <f t="shared" si="4"/>
        <v>,</v>
      </c>
      <c r="K254" s="47">
        <f t="shared" si="5"/>
        <v>5261.503143</v>
      </c>
      <c r="L254" s="45"/>
      <c r="M254" s="49" t="str">
        <f>IFERROR(__xludf.DUMMYFUNCTION("SPLIT(O254,"","")"),"Kružnianska 513")</f>
        <v>Kružnianska 513</v>
      </c>
      <c r="N254" s="48" t="str">
        <f>IFERROR(__xludf.DUMMYFUNCTION("""COMPUTED_VALUE""")," 049 51 Brzotín")</f>
        <v> 049 51 Brzotín</v>
      </c>
      <c r="O254" s="122" t="s">
        <v>2838</v>
      </c>
      <c r="P254" s="50">
        <v>48.6302631</v>
      </c>
      <c r="Q254" s="109">
        <v>20.4973517</v>
      </c>
      <c r="R254" s="102" t="s">
        <v>2839</v>
      </c>
      <c r="S254" s="66" t="s">
        <v>2840</v>
      </c>
      <c r="T254" s="124" t="s">
        <v>86</v>
      </c>
      <c r="U254" s="54" t="s">
        <v>2841</v>
      </c>
      <c r="V254" s="84" t="s">
        <v>2842</v>
      </c>
      <c r="W254" s="77" t="s">
        <v>2843</v>
      </c>
      <c r="X254" s="77" t="s">
        <v>2844</v>
      </c>
      <c r="Y254" s="121" t="s">
        <v>2845</v>
      </c>
      <c r="Z254" s="119" t="s">
        <v>2846</v>
      </c>
      <c r="AA254" s="125" t="s">
        <v>64</v>
      </c>
      <c r="AB254" s="64"/>
      <c r="AC254" s="64"/>
      <c r="AD254" s="64"/>
      <c r="AE254" s="64"/>
      <c r="AF254" s="65"/>
      <c r="AG254" s="65"/>
      <c r="AH254" s="65"/>
      <c r="AI254" s="65"/>
      <c r="AJ254" s="65"/>
      <c r="AK254" s="65"/>
      <c r="AL254" s="65"/>
      <c r="AM254" s="36"/>
      <c r="AN254" s="65"/>
      <c r="AO254" s="68" t="str">
        <f t="shared" si="6"/>
        <v>GEMGAL s.r.o. Roznava r.s.p. ubytovacie a stravovacie sluzby, cestovny ruch, polnohospodarstvo a lesnictvo, zvierata, kultura a sport, pre deti, &amp;#32vsetky kategorie  049 51 Brzotin Nasa spolocnost sa zaobera chovom nosniciek, chovom koni. Dopestujeme si vlastne krmoviny. Prevadzkujeme wellnes a bazen, jazdecky klub pre deti a mladez. Dosahujeme ho percentom zamestnanych znevyhodnenych a zranitelnych osob. Gemgal s.r.o. Roznava r.s.p Polnohospodarka cinnost - chov koni a nosniciek. wellnes, vnutorny relaxacno-plavecky bazen, jazdecke sluzby, kosenie, jazda na koni, chov koni           </v>
      </c>
      <c r="AP254" s="82"/>
    </row>
    <row r="255" ht="15.75" customHeight="1">
      <c r="A255" s="45"/>
      <c r="B255" s="70">
        <v>253.0</v>
      </c>
      <c r="C255" s="116" t="s">
        <v>2847</v>
      </c>
      <c r="D255" s="71" t="s">
        <v>217</v>
      </c>
      <c r="E255" s="43" t="str">
        <f t="shared" si="1"/>
        <v>Košický kraj, &amp;#32celé Slovensko</v>
      </c>
      <c r="F255" s="44" t="s">
        <v>2848</v>
      </c>
      <c r="G255" s="43" t="str">
        <f t="shared" si="2"/>
        <v>ubytovacie a stravovacie služby, cestovný ruch, kultúra a šport, pre deti, &amp;#32všetky kategórie</v>
      </c>
      <c r="H255" s="44" t="s">
        <v>53</v>
      </c>
      <c r="I255" s="45" t="str">
        <f t="shared" si="3"/>
        <v>1 - 5, &amp;#32všetky možnosti</v>
      </c>
      <c r="J255" s="46" t="str">
        <f t="shared" si="4"/>
        <v>,</v>
      </c>
      <c r="K255" s="47">
        <f t="shared" si="5"/>
        <v>38651.56438</v>
      </c>
      <c r="L255" s="45"/>
      <c r="M255" s="49" t="str">
        <f>IFERROR(__xludf.DUMMYFUNCTION("SPLIT(O255,"","")"),"Kružnianska 763")</f>
        <v>Kružnianska 763</v>
      </c>
      <c r="N255" s="48" t="str">
        <f>IFERROR(__xludf.DUMMYFUNCTION("""COMPUTED_VALUE""")," 049 51 Brzotín")</f>
        <v> 049 51 Brzotín</v>
      </c>
      <c r="O255" s="122" t="s">
        <v>2849</v>
      </c>
      <c r="P255" s="50">
        <v>48.6347588</v>
      </c>
      <c r="Q255" s="109">
        <v>20.495335</v>
      </c>
      <c r="R255" s="102" t="s">
        <v>2850</v>
      </c>
      <c r="S255" s="66" t="s">
        <v>2721</v>
      </c>
      <c r="T255" s="124" t="s">
        <v>86</v>
      </c>
      <c r="U255" s="54" t="s">
        <v>2851</v>
      </c>
      <c r="V255" s="84" t="s">
        <v>2852</v>
      </c>
      <c r="W255" s="77" t="s">
        <v>2843</v>
      </c>
      <c r="X255" s="77" t="s">
        <v>2853</v>
      </c>
      <c r="Y255" s="121" t="s">
        <v>2854</v>
      </c>
      <c r="Z255" s="119" t="s">
        <v>2855</v>
      </c>
      <c r="AA255" s="125" t="s">
        <v>64</v>
      </c>
      <c r="AB255" s="64"/>
      <c r="AC255" s="64"/>
      <c r="AD255" s="64"/>
      <c r="AE255" s="64"/>
      <c r="AF255" s="65"/>
      <c r="AG255" s="65"/>
      <c r="AH255" s="65"/>
      <c r="AI255" s="65"/>
      <c r="AJ255" s="65"/>
      <c r="AK255" s="65"/>
      <c r="AL255" s="65"/>
      <c r="AM255" s="36"/>
      <c r="AN255" s="65"/>
      <c r="AO255" s="68" t="str">
        <f t="shared" si="6"/>
        <v>TK HORSE SPORT s. r. o. r. s. p. ubytovacie a stravovacie sluzby, cestovny ruch, kultura a sport, pre deti, &amp;#32vsetky kategorie  049 51 Brzotin Nas podnik poskytuje sluzby v oblasti ubytovania, organizuje jazdecke detske tabory, ponuka jazdy na koni, jazdecku skolu. Percentom zamestnanych znevyhodnenych a zranitelnych osob. TK Horse sport s.r.o.r.s.p. Ubytovanie, jazdenie na koni, detske tabory. penzion, jazdenie na koni. detske tabory, jazdecka skola           </v>
      </c>
      <c r="AP255" s="69" t="s">
        <v>41</v>
      </c>
    </row>
    <row r="256" ht="15.75" customHeight="1">
      <c r="A256" s="45"/>
      <c r="B256" s="70">
        <v>254.0</v>
      </c>
      <c r="C256" s="116" t="s">
        <v>2856</v>
      </c>
      <c r="D256" s="71" t="s">
        <v>80</v>
      </c>
      <c r="E256" s="43" t="str">
        <f t="shared" si="1"/>
        <v>Trnavský kraj, &amp;#32celé Slovensko</v>
      </c>
      <c r="F256" s="44" t="s">
        <v>2857</v>
      </c>
      <c r="G256" s="43" t="str">
        <f t="shared" si="2"/>
        <v>nábytok a bytové doplnky, bižutéria a darčekové predmety, &amp;#32všetky kategórie</v>
      </c>
      <c r="H256" s="44" t="s">
        <v>53</v>
      </c>
      <c r="I256" s="45" t="str">
        <f t="shared" si="3"/>
        <v>1 - 5, &amp;#32všetky možnosti</v>
      </c>
      <c r="J256" s="46" t="str">
        <f t="shared" si="4"/>
        <v>,</v>
      </c>
      <c r="K256" s="47">
        <f t="shared" si="5"/>
        <v>16487.00308</v>
      </c>
      <c r="L256" s="45"/>
      <c r="M256" s="49" t="str">
        <f>IFERROR(__xludf.DUMMYFUNCTION("SPLIT(O256,"","")"),"Dolné Saliby 560")</f>
        <v>Dolné Saliby 560</v>
      </c>
      <c r="N256" s="48" t="str">
        <f>IFERROR(__xludf.DUMMYFUNCTION("""COMPUTED_VALUE""")," 925 02 Dolné Saliby")</f>
        <v> 925 02 Dolné Saliby</v>
      </c>
      <c r="O256" s="122" t="s">
        <v>2858</v>
      </c>
      <c r="P256" s="50">
        <v>48.1104171</v>
      </c>
      <c r="Q256" s="109">
        <v>17.7855883</v>
      </c>
      <c r="R256" s="102" t="s">
        <v>2859</v>
      </c>
      <c r="S256" s="66" t="s">
        <v>2860</v>
      </c>
      <c r="T256" s="124" t="s">
        <v>86</v>
      </c>
      <c r="U256" s="54" t="s">
        <v>2861</v>
      </c>
      <c r="V256" s="84" t="s">
        <v>2862</v>
      </c>
      <c r="W256" s="77" t="s">
        <v>2863</v>
      </c>
      <c r="X256" s="77" t="s">
        <v>2864</v>
      </c>
      <c r="Y256" s="121" t="s">
        <v>2865</v>
      </c>
      <c r="Z256" s="119" t="s">
        <v>2866</v>
      </c>
      <c r="AA256" s="125" t="s">
        <v>64</v>
      </c>
      <c r="AB256" s="64"/>
      <c r="AC256" s="64"/>
      <c r="AD256" s="64"/>
      <c r="AE256" s="64"/>
      <c r="AF256" s="65"/>
      <c r="AG256" s="65"/>
      <c r="AH256" s="65"/>
      <c r="AI256" s="65"/>
      <c r="AJ256" s="65"/>
      <c r="AK256" s="65"/>
      <c r="AL256" s="65"/>
      <c r="AM256" s="36"/>
      <c r="AN256" s="65"/>
      <c r="AO256" s="68" t="str">
        <f t="shared" si="6"/>
        <v>Edukrea, s.r.o., registrovany socialny podnik nabytok a bytove doplnky, bizuteria a darcekove predmety, &amp;#32vsetky kategorie  925 02 Dolne Saliby Nas socialny podnik vyraba a predava drobne darcekove predmety, bizuteriu a drobne predmety do bytu. Organizujeme aj rozne zaujmove aktivity pre deti, aby sme rozvijali ich kreativitu a zrucnosti. Pripravujeme aj vzdelavacie a vychovne, edukacne stretnutia pre socialne slabsie skupiny obyvatelstva, hlavne pre prislusnikov romskej mensiny. Edukrea s.r.o. ako socialny podnik realizuje spolocensky prospesne cinnosti v oblasti sluzieb na podporu regionalneho rozvoja a zamestnanosti. Pozitivny socialny vplyv je meratelny percentom zamestnanych znevyhodnenych osob z celkoveho poctu zamestnancov. Edukrea s.r.o., registrovany socialny podnik Nasa firma vyraba a predava drobne darcekove predmety, doplnky do bytu a bizuteriu. remeselnicke vyrobky, textilna bizuteria, obrazy           </v>
      </c>
      <c r="AP256" s="82"/>
    </row>
    <row r="257" ht="15.75" customHeight="1">
      <c r="A257" s="45"/>
      <c r="B257" s="70">
        <v>255.0</v>
      </c>
      <c r="C257" s="116" t="s">
        <v>2867</v>
      </c>
      <c r="D257" s="71" t="s">
        <v>228</v>
      </c>
      <c r="E257" s="43" t="str">
        <f t="shared" si="1"/>
        <v>Nitriansky kraj, &amp;#32celé Slovensko</v>
      </c>
      <c r="F257" s="44" t="s">
        <v>2868</v>
      </c>
      <c r="G257" s="43" t="str">
        <f t="shared" si="2"/>
        <v>potraviny a nápoje, bižutéria a darčekové predmety, &amp;#32všetky kategórie</v>
      </c>
      <c r="H257" s="44" t="s">
        <v>96</v>
      </c>
      <c r="I257" s="45" t="str">
        <f t="shared" si="3"/>
        <v>6 - 10, &amp;#32všetky možnosti</v>
      </c>
      <c r="J257" s="46" t="str">
        <f t="shared" si="4"/>
        <v>,Register partnerov VS</v>
      </c>
      <c r="K257" s="47">
        <f t="shared" si="5"/>
        <v>9758.437362</v>
      </c>
      <c r="L257" s="45"/>
      <c r="M257" s="49" t="str">
        <f>IFERROR(__xludf.DUMMYFUNCTION("SPLIT(O257,"","")"),"Vážskeho brehu 152/17")</f>
        <v>Vážskeho brehu 152/17</v>
      </c>
      <c r="N257" s="48" t="str">
        <f>IFERROR(__xludf.DUMMYFUNCTION("""COMPUTED_VALUE""")," 945 01 Komárno")</f>
        <v> 945 01 Komárno</v>
      </c>
      <c r="O257" s="122" t="s">
        <v>2869</v>
      </c>
      <c r="P257" s="50">
        <v>47.8175953</v>
      </c>
      <c r="Q257" s="109">
        <v>18.0636382</v>
      </c>
      <c r="R257" s="123" t="s">
        <v>2870</v>
      </c>
      <c r="S257" s="66" t="s">
        <v>2871</v>
      </c>
      <c r="T257" s="124" t="s">
        <v>2872</v>
      </c>
      <c r="U257" s="54" t="s">
        <v>2873</v>
      </c>
      <c r="V257" s="84" t="s">
        <v>2874</v>
      </c>
      <c r="W257" s="77" t="s">
        <v>2875</v>
      </c>
      <c r="X257" s="77" t="s">
        <v>2867</v>
      </c>
      <c r="Y257" s="121" t="s">
        <v>2876</v>
      </c>
      <c r="Z257" s="119" t="s">
        <v>2877</v>
      </c>
      <c r="AA257" s="125" t="s">
        <v>64</v>
      </c>
      <c r="AB257" s="64"/>
      <c r="AC257" s="64"/>
      <c r="AD257" s="64"/>
      <c r="AE257" s="64"/>
      <c r="AF257" s="65"/>
      <c r="AG257" s="65"/>
      <c r="AH257" s="65"/>
      <c r="AI257" s="65"/>
      <c r="AJ257" s="65"/>
      <c r="AK257" s="65"/>
      <c r="AL257" s="65"/>
      <c r="AM257" s="52"/>
      <c r="AN257" s="80" t="s">
        <v>39</v>
      </c>
      <c r="AO257" s="68" t="str">
        <f t="shared" si="6"/>
        <v>SLUNCE s. r. o. potraviny a napoje, bizuteria a darcekove predmety, &amp;#32vsetky kategorie  945 01 Komarno Nas podnik sa venuje vyrobe tradicnych vyrobkov, napriklad zo susenych kvetin, keramiku, robime vyrobky pre firmu Ferplad Taliansko. Transformovali sme sa z chranenej dielne, ktora uspesne fungovala 11 rokov. Nase vyrobky su zname i v zahranici, ziskali sme niekolko oceneni za keramicke vyrobky. Prevadzkujeme Cajovnu U dobrej vily, kde ponukame domace zakusky, sirupy, dzemy a caje - vsetko si vyrabame sami. Dolezita je pre nas socialna a humanitarna pomoc. Prevadzkujeme socialnu vydajnu pre seniorov a matky samozivitelky; kazdy tyzden rozdame cca 6 ton potravin. SLUNCE s. r. o. Keramika, sirupy, dzemy. Keramika,caje,sirupy, zakusky, dzemy, sviecky,kozmetika, keramika, susene kvety           Register partnerov VS</v>
      </c>
      <c r="AP257" s="69" t="s">
        <v>41</v>
      </c>
    </row>
    <row r="258" ht="15.75" customHeight="1">
      <c r="A258" s="45"/>
      <c r="B258" s="70">
        <v>256.0</v>
      </c>
      <c r="C258" s="116" t="s">
        <v>2878</v>
      </c>
      <c r="D258" s="71" t="s">
        <v>66</v>
      </c>
      <c r="E258" s="43" t="str">
        <f t="shared" si="1"/>
        <v>Žilinský kraj, &amp;#32celé Slovensko</v>
      </c>
      <c r="F258" s="44" t="s">
        <v>2879</v>
      </c>
      <c r="G258" s="43" t="str">
        <f t="shared" si="2"/>
        <v>vzdelávanie, účtovníctvo a poradenstvo, odevy a obuv, iné (tovary a služby), &amp;#32všetky kategórie</v>
      </c>
      <c r="H258" s="44" t="s">
        <v>68</v>
      </c>
      <c r="I258" s="45" t="str">
        <f t="shared" si="3"/>
        <v>16 - 20, &amp;#32všetky možnosti</v>
      </c>
      <c r="J258" s="46" t="str">
        <f t="shared" si="4"/>
        <v>,Register partnerov VS</v>
      </c>
      <c r="K258" s="47">
        <f t="shared" si="5"/>
        <v>38015.0428</v>
      </c>
      <c r="L258" s="45"/>
      <c r="M258" s="49" t="str">
        <f>IFERROR(__xludf.DUMMYFUNCTION("SPLIT(O258,"","")"),"Kukučínova 2599")</f>
        <v>Kukučínova 2599</v>
      </c>
      <c r="N258" s="48" t="str">
        <f>IFERROR(__xludf.DUMMYFUNCTION("""COMPUTED_VALUE""")," 024 01 Kysucké Nové Mesto")</f>
        <v> 024 01 Kysucké Nové Mesto</v>
      </c>
      <c r="O258" s="122" t="s">
        <v>2880</v>
      </c>
      <c r="P258" s="50">
        <v>49.3051868</v>
      </c>
      <c r="Q258" s="109">
        <v>18.7783864</v>
      </c>
      <c r="R258" s="123" t="s">
        <v>2881</v>
      </c>
      <c r="S258" s="66" t="s">
        <v>1759</v>
      </c>
      <c r="T258" s="124" t="s">
        <v>2882</v>
      </c>
      <c r="U258" s="54" t="s">
        <v>2883</v>
      </c>
      <c r="V258" s="84" t="s">
        <v>2884</v>
      </c>
      <c r="W258" s="77" t="s">
        <v>2885</v>
      </c>
      <c r="X258" s="77" t="s">
        <v>2886</v>
      </c>
      <c r="Y258" s="121" t="s">
        <v>2887</v>
      </c>
      <c r="Z258" s="119" t="s">
        <v>2888</v>
      </c>
      <c r="AA258" s="125" t="s">
        <v>64</v>
      </c>
      <c r="AB258" s="64"/>
      <c r="AC258" s="64"/>
      <c r="AD258" s="64"/>
      <c r="AE258" s="64"/>
      <c r="AF258" s="65"/>
      <c r="AG258" s="65"/>
      <c r="AH258" s="65"/>
      <c r="AI258" s="65"/>
      <c r="AJ258" s="65"/>
      <c r="AK258" s="65"/>
      <c r="AL258" s="65"/>
      <c r="AM258" s="52"/>
      <c r="AN258" s="80" t="s">
        <v>39</v>
      </c>
      <c r="AO258" s="68" t="str">
        <f t="shared" si="6"/>
        <v>M-PROMEX, s.r.o. vzdelavanie, uctovnictvo a poradenstvo, odevy a obuv, ine (tovary a sluzby), &amp;#32vsetky kategorie  024 01 Kysucke Nove Mesto Nasimi zakaznikmi su pravnicke a fyzicke osoby, podnikatelia.
 Nasa ponuka:
 - textilna vyroba, poskytujeme sluzby vyroby textilnych produktov na objednavku,
 - pocitacove spracovanie udajov,
 - vzdelavanie dospelych a poradenstvo (podnikatelske, personalne, oblast ochrany osobnych udajov a i.) Zamestnavanie znevyhodnenych a zranitelnych osob. M-PROMEX, s.r.o., r.s.p. Nasa ponuka:
 - textilna vyroba, poskytujeme sluzby vyroby textilnych produktov na objednavku,
 - pocitacove spracovanie udajov,
 - vzdelavanie dospelych a poradenstvo (podnikatelske, personalne, oblast ochrany osobnych udajov a i.) Nemame prevadzku. Totozne s uvedenym na predchadzajucej strane:
 Nasimi zakaznikmi su pravnicke a fyzicke osoby, podnikatelia.
 Nasa ponuka:
 Textilna vyroba, poskytujeme sluzby vyroby textilnych produktov na objednavku.
 Pocitacove spracovanie udajov.
 Vzdelavanie dospelych a poradenstvo (podnikatelske, personalne, oblast ochrany osobnych udajov ...), sitie na zakazku, odevy, tasky, vaky           Register partnerov VS</v>
      </c>
      <c r="AP258" s="69" t="s">
        <v>41</v>
      </c>
    </row>
    <row r="259" ht="15.75" customHeight="1">
      <c r="A259" s="45"/>
      <c r="B259" s="70">
        <v>257.0</v>
      </c>
      <c r="C259" s="116" t="s">
        <v>2889</v>
      </c>
      <c r="D259" s="71" t="s">
        <v>181</v>
      </c>
      <c r="E259" s="43" t="str">
        <f t="shared" si="1"/>
        <v>Banskobystrický kraj, &amp;#32celé Slovensko</v>
      </c>
      <c r="F259" s="44" t="s">
        <v>2890</v>
      </c>
      <c r="G259" s="43" t="str">
        <f t="shared" si="2"/>
        <v>nábytok a bytové doplnky, cestovný ruch, kultúra a šport, &amp;#32všetky kategórie</v>
      </c>
      <c r="H259" s="44" t="s">
        <v>53</v>
      </c>
      <c r="I259" s="45" t="str">
        <f t="shared" si="3"/>
        <v>1 - 5, &amp;#32všetky možnosti</v>
      </c>
      <c r="J259" s="46" t="str">
        <f t="shared" si="4"/>
        <v>,</v>
      </c>
      <c r="K259" s="47">
        <f t="shared" si="5"/>
        <v>5952.432106</v>
      </c>
      <c r="L259" s="45"/>
      <c r="M259" s="49" t="str">
        <f>IFERROR(__xludf.DUMMYFUNCTION("SPLIT(O259,"","")"),"Bátorová 39")</f>
        <v>Bátorová 39</v>
      </c>
      <c r="N259" s="48" t="str">
        <f>IFERROR(__xludf.DUMMYFUNCTION("""COMPUTED_VALUE""")," 991 26 Bátorová")</f>
        <v> 991 26 Bátorová</v>
      </c>
      <c r="O259" s="122" t="s">
        <v>2891</v>
      </c>
      <c r="P259" s="50">
        <v>48.1323876</v>
      </c>
      <c r="Q259" s="109">
        <v>19.2726333</v>
      </c>
      <c r="R259" s="102" t="s">
        <v>2892</v>
      </c>
      <c r="S259" s="66" t="s">
        <v>2893</v>
      </c>
      <c r="T259" s="124" t="s">
        <v>2894</v>
      </c>
      <c r="U259" s="54" t="s">
        <v>2895</v>
      </c>
      <c r="V259" s="84" t="s">
        <v>2896</v>
      </c>
      <c r="W259" s="77" t="s">
        <v>2897</v>
      </c>
      <c r="X259" s="77" t="s">
        <v>2889</v>
      </c>
      <c r="Y259" s="121" t="s">
        <v>2898</v>
      </c>
      <c r="Z259" s="119" t="s">
        <v>2899</v>
      </c>
      <c r="AA259" s="125" t="s">
        <v>64</v>
      </c>
      <c r="AB259" s="64"/>
      <c r="AC259" s="64"/>
      <c r="AD259" s="64"/>
      <c r="AE259" s="64"/>
      <c r="AF259" s="65"/>
      <c r="AG259" s="65"/>
      <c r="AH259" s="65"/>
      <c r="AI259" s="65"/>
      <c r="AJ259" s="65"/>
      <c r="AK259" s="65"/>
      <c r="AL259" s="65"/>
      <c r="AM259" s="36"/>
      <c r="AN259" s="65"/>
      <c r="AO259" s="68" t="str">
        <f t="shared" si="6"/>
        <v>Kukurienka r.s.p. nabytok a bytove doplnky, cestovny ruch, kultura a sport, &amp;#32vsetky kategorie  991 26 Batorova o.z. Kukurienka bolo zalozene s cielom zachranit kulturu, tradicie a remesla. Od 1.1.2020 sme ziskali statut socialneho podniku a vyrabame tkane koberce z tzv. odrezkov z textilnych zavodov, ktore su zo 100 % bavlny. T.j. "znovu-uzitkujeme" textil. Vyrabame na krosnach tradicnym sposobom moderne hunate koberce s dlhou zivotnostou. Medzi produktami nasej dielne najdete tiez klasicke behune z textilii. Kraje su spevnene a velmi esteticky ukoncene. Mame k dispozicii viac tkacskych stavov, preto si mozete vybrat zo sirokej skaly rozmerov. Nase vyrobky sa vyznacuju jedinecnostou na Slovensku. Tkane koberce su vhodne do domacnosti, na chatu, letnu zahradu, do penzionov a pod. 
 Dalsou aktivitou, ktorej sa venujeme, je zachrana a oprava tradicneho domu, ktory sluzi pre siroku verejnost so zamerom usporiadania kulturnych podujati, remeselnickych kurzov, teambuildingov a oslav. Mame za sebou vela uspechov a krasnych chvil, ktore nas kazdodenne posilnuju nadalej pokracovat v tejto cinnosti a venovat sa zranitelnym a znevyhodnenym osobam. Robime vsetko preto, aby sme mohli vytvorit pracovne miesta pre kazdeho zaujemcu. Ako socialny podnik podnikame od 1.1.2020 s 3 ZTP pracovnickami. Zaujem je velky, dufame, ze v buducnosti budeme moct zvysit pocet pracovnych miest. Kukurienka r.s.p. Vyroba a predaj rucne tkanych kobercov. spracovanie textilii a tkanie kobercov. Tkane koberce v roznych rozmeroch od 0,50m do 1,5m s, dlzka az do 10 m, ponuka oslav, podujati v tradicnom dome           </v>
      </c>
      <c r="AP259" s="82"/>
    </row>
    <row r="260" ht="15.75" customHeight="1">
      <c r="A260" s="45"/>
      <c r="B260" s="70">
        <v>258.0</v>
      </c>
      <c r="C260" s="116" t="s">
        <v>2900</v>
      </c>
      <c r="D260" s="71" t="s">
        <v>51</v>
      </c>
      <c r="E260" s="43" t="str">
        <f t="shared" si="1"/>
        <v>Prešovský kraj, &amp;#32celé Slovensko</v>
      </c>
      <c r="F260" s="44" t="s">
        <v>2013</v>
      </c>
      <c r="G260" s="43" t="str">
        <f t="shared" si="2"/>
        <v>ubytovacie a stravovacie služby, &amp;#32všetky kategórie</v>
      </c>
      <c r="H260" s="44" t="s">
        <v>53</v>
      </c>
      <c r="I260" s="45" t="str">
        <f t="shared" si="3"/>
        <v>1 - 5, &amp;#32všetky možnosti</v>
      </c>
      <c r="J260" s="46" t="str">
        <f t="shared" si="4"/>
        <v>,</v>
      </c>
      <c r="K260" s="47">
        <f t="shared" si="5"/>
        <v>10809.61417</v>
      </c>
      <c r="L260" s="45"/>
      <c r="M260" s="49" t="str">
        <f>IFERROR(__xludf.DUMMYFUNCTION("SPLIT(O260,"","")"),"Švábovce 535")</f>
        <v>Švábovce 535</v>
      </c>
      <c r="N260" s="48" t="str">
        <f>IFERROR(__xludf.DUMMYFUNCTION("""COMPUTED_VALUE""")," 059 12 Švábovce")</f>
        <v> 059 12 Švábovce</v>
      </c>
      <c r="O260" s="122" t="s">
        <v>2901</v>
      </c>
      <c r="P260" s="50">
        <v>49.0269564</v>
      </c>
      <c r="Q260" s="109">
        <v>20.3562825</v>
      </c>
      <c r="R260" s="123" t="s">
        <v>2902</v>
      </c>
      <c r="S260" s="66" t="s">
        <v>2903</v>
      </c>
      <c r="T260" s="124" t="s">
        <v>2904</v>
      </c>
      <c r="U260" s="54" t="s">
        <v>2905</v>
      </c>
      <c r="V260" s="84" t="s">
        <v>2906</v>
      </c>
      <c r="W260" s="77" t="s">
        <v>2907</v>
      </c>
      <c r="X260" s="77" t="s">
        <v>2900</v>
      </c>
      <c r="Y260" s="121" t="s">
        <v>2908</v>
      </c>
      <c r="Z260" s="119" t="s">
        <v>2909</v>
      </c>
      <c r="AA260" s="125" t="s">
        <v>64</v>
      </c>
      <c r="AB260" s="64"/>
      <c r="AC260" s="64"/>
      <c r="AD260" s="64"/>
      <c r="AE260" s="64"/>
      <c r="AF260" s="65"/>
      <c r="AG260" s="65"/>
      <c r="AH260" s="65"/>
      <c r="AI260" s="65"/>
      <c r="AJ260" s="65"/>
      <c r="AK260" s="65"/>
      <c r="AL260" s="65"/>
      <c r="AM260" s="36"/>
      <c r="AN260" s="65"/>
      <c r="AO260" s="68" t="str">
        <f t="shared" si="6"/>
        <v>VARTOTH s.r.o. ubytovacie a stravovacie sluzby, &amp;#32vsetky kategorie  059 12 Svabovce Spolocnost VARTOTH s.r.o. vytvorila podmienky pre realizaciu opatreni socialnej politiky a vyuziva nastroje, ktore umoznuju vytvarat podmienky pre zamestnavanie najma dlhodobo nezamestnanych a inak znevyhodnenych obyvatelov. 
 Predmetna poskytovana sluzba pozostava z pripravy jedla a jeho nasledneho rozvozu priamo na adresu zakaznika. 
 Spolocnost prevadzkuje vydajnu jedla v Spisskom Stvrtku a v ramci svojej cinnosti vykonava aj rozvoz jedla. Predmetom cinnosti spolocnosti je pohostinska cinnost a vyroba hotovych jedal urcenych na priamu spotrebu mimo prevadzkovych priestorov. Primarnou cielovou skupinou pri poskytovani sluzieb su seniori, odkazane skupiny a inak znevyhodneni obyvatelia prevazne v okruhu 20 km od prevadzky. Sekundarnou cielovou skupinou je ostatne obyvatelstvo a v case koronakrizy aj zamestnanci, ktori sa za beznych podmienok chodili stravovat do uzavretych stravovacich zariadeni. Spolocnost momentalne zamestnava iba znevyhodnene osoby v zmysle prislusnych ustanoveni zakona c. 112/2018 Z. z.. VARTOTH s.r.o. Spolocnost VARTOTH s.r.o. v prevadzke v Spisskom Stvrtku poskytuje hotovu hermeticky balenu stravu a rozvaza ju priamo na adresu spotrebitela. rozvoj jedal, priprava hotovych jedal, vydajna jedla, donaska stravy           </v>
      </c>
      <c r="AP260" s="82"/>
    </row>
    <row r="261" ht="15.75" customHeight="1">
      <c r="A261" s="45"/>
      <c r="B261" s="70">
        <v>259.0</v>
      </c>
      <c r="C261" s="116" t="s">
        <v>2910</v>
      </c>
      <c r="D261" s="71" t="s">
        <v>80</v>
      </c>
      <c r="E261" s="43" t="str">
        <f t="shared" si="1"/>
        <v>Trnavský kraj, &amp;#32celé Slovensko</v>
      </c>
      <c r="F261" s="44" t="s">
        <v>2911</v>
      </c>
      <c r="G261" s="43" t="str">
        <f t="shared" si="2"/>
        <v>vzdelávanie, kultúra a šport, reklama, pre deti, &amp;#32všetky kategórie</v>
      </c>
      <c r="H261" s="44" t="s">
        <v>53</v>
      </c>
      <c r="I261" s="45" t="str">
        <f t="shared" si="3"/>
        <v>1 - 5, &amp;#32všetky možnosti</v>
      </c>
      <c r="J261" s="46" t="str">
        <f t="shared" si="4"/>
        <v>,</v>
      </c>
      <c r="K261" s="47">
        <f t="shared" si="5"/>
        <v>807.3298276</v>
      </c>
      <c r="L261" s="45"/>
      <c r="M261" s="49" t="str">
        <f>IFERROR(__xludf.DUMMYFUNCTION("SPLIT(O261,"","")"),"Budovateľská 1068")</f>
        <v>Budovateľská 1068</v>
      </c>
      <c r="N261" s="48" t="str">
        <f>IFERROR(__xludf.DUMMYFUNCTION("""COMPUTED_VALUE""")," 925 52 Šoporňa")</f>
        <v> 925 52 Šoporňa</v>
      </c>
      <c r="O261" s="122" t="s">
        <v>2912</v>
      </c>
      <c r="P261" s="50">
        <v>48.2513817</v>
      </c>
      <c r="Q261" s="109">
        <v>17.826675</v>
      </c>
      <c r="R261" s="123" t="s">
        <v>2913</v>
      </c>
      <c r="S261" s="66" t="s">
        <v>2914</v>
      </c>
      <c r="T261" s="124" t="s">
        <v>86</v>
      </c>
      <c r="U261" s="54" t="s">
        <v>2915</v>
      </c>
      <c r="V261" s="84" t="s">
        <v>2916</v>
      </c>
      <c r="W261" s="77" t="s">
        <v>2917</v>
      </c>
      <c r="X261" s="77" t="s">
        <v>2918</v>
      </c>
      <c r="Y261" s="121" t="s">
        <v>2919</v>
      </c>
      <c r="Z261" s="119" t="s">
        <v>2920</v>
      </c>
      <c r="AA261" s="125" t="s">
        <v>64</v>
      </c>
      <c r="AB261" s="64"/>
      <c r="AC261" s="64"/>
      <c r="AD261" s="64"/>
      <c r="AE261" s="64"/>
      <c r="AF261" s="65"/>
      <c r="AG261" s="65"/>
      <c r="AH261" s="65"/>
      <c r="AI261" s="65"/>
      <c r="AJ261" s="65"/>
      <c r="AK261" s="65"/>
      <c r="AL261" s="65"/>
      <c r="AM261" s="36"/>
      <c r="AN261" s="65"/>
      <c r="AO261" s="68" t="str">
        <f t="shared" si="6"/>
        <v>Fandime Slovensku, obcianske zdruzenie vzdelavanie, kultura a sport, reklama, pre deti, &amp;#32vsetky kategorie  925 52 Soporna Nase obcianske zdruzenie chce spolupracovat so sportovcami a fanusikmi. Nasim prvym produktom su tlieskacie rukavice, ktore su jedinecne a ktore mame zaroven patentovane. Pripravujeme spolupracu aj i externymi firmami na tvorbe produktov urcenych pre fanusikov a sportovcov. Ponukame tiez produkty tykajuce sa zdraveho zivotneho stylu, marketingu a brandingu pre sportove kluby. Mame ZTP a zdravotne znevyhodnenych zamestnancov, primarne obchodnych zastupcov. Mame tiez pripraveny projekt na financovanie sportovych trenerov a ine podobne projekty pre vsetky deti ci dorast. Fandime Slovensku Momentalne pracujeme na dotvoreni obsahu webovej stranky, priprave blogu, sutazi pre fanusikov. Taktiez planujeme zamestnat obchodnych zastupcov pre predaj nasich produktov a pripravujeme vyrobu vlastnych produktov. tlieskacie rukavice           </v>
      </c>
      <c r="AP261" s="69" t="s">
        <v>41</v>
      </c>
    </row>
    <row r="262" ht="15.75" customHeight="1">
      <c r="A262" s="45"/>
      <c r="B262" s="70">
        <v>260.0</v>
      </c>
      <c r="C262" s="116" t="s">
        <v>2921</v>
      </c>
      <c r="D262" s="71" t="s">
        <v>66</v>
      </c>
      <c r="E262" s="43" t="str">
        <f t="shared" si="1"/>
        <v>Žilinský kraj, &amp;#32celé Slovensko</v>
      </c>
      <c r="F262" s="44" t="s">
        <v>1822</v>
      </c>
      <c r="G262" s="43" t="str">
        <f t="shared" si="2"/>
        <v>reklama, &amp;#32všetky kategórie</v>
      </c>
      <c r="H262" s="44" t="s">
        <v>53</v>
      </c>
      <c r="I262" s="45" t="str">
        <f t="shared" si="3"/>
        <v>1 - 5, &amp;#32všetky možnosti</v>
      </c>
      <c r="J262" s="46" t="str">
        <f t="shared" si="4"/>
        <v>,</v>
      </c>
      <c r="K262" s="47">
        <f t="shared" si="5"/>
        <v>24477.7944</v>
      </c>
      <c r="L262" s="45"/>
      <c r="M262" s="49" t="str">
        <f>IFERROR(__xludf.DUMMYFUNCTION("SPLIT(O262,"","")"),"Hrabinská 591/15")</f>
        <v>Hrabinská 591/15</v>
      </c>
      <c r="N262" s="48" t="str">
        <f>IFERROR(__xludf.DUMMYFUNCTION("""COMPUTED_VALUE""")," 038 52 Sučany")</f>
        <v> 038 52 Sučany</v>
      </c>
      <c r="O262" s="122" t="s">
        <v>2922</v>
      </c>
      <c r="P262" s="50">
        <v>49.11102</v>
      </c>
      <c r="Q262" s="109">
        <v>19.0005442</v>
      </c>
      <c r="R262" s="123" t="s">
        <v>2923</v>
      </c>
      <c r="S262" s="66" t="s">
        <v>2924</v>
      </c>
      <c r="T262" s="124" t="s">
        <v>86</v>
      </c>
      <c r="U262" s="54" t="s">
        <v>2925</v>
      </c>
      <c r="V262" s="84" t="s">
        <v>2926</v>
      </c>
      <c r="W262" s="77" t="s">
        <v>2927</v>
      </c>
      <c r="X262" s="77" t="s">
        <v>2921</v>
      </c>
      <c r="Y262" s="121" t="s">
        <v>2928</v>
      </c>
      <c r="Z262" s="119" t="s">
        <v>2929</v>
      </c>
      <c r="AA262" s="125" t="s">
        <v>64</v>
      </c>
      <c r="AB262" s="64"/>
      <c r="AC262" s="64"/>
      <c r="AD262" s="64"/>
      <c r="AE262" s="64"/>
      <c r="AF262" s="65"/>
      <c r="AG262" s="65"/>
      <c r="AH262" s="65"/>
      <c r="AI262" s="65"/>
      <c r="AJ262" s="65"/>
      <c r="AK262" s="65"/>
      <c r="AL262" s="65"/>
      <c r="AM262" s="36"/>
      <c r="AN262" s="65"/>
      <c r="AO262" s="68" t="str">
        <f t="shared" si="6"/>
        <v>RA design, s. r. o. reklama, &amp;#32vsetky kategorie  038 52 Sucany Sme mala, ale rychlo sa rozvijajuca firma, zaoberajuca sa reklamou. Okrem zabezpecenia tlace reklamnych letakov, vizitiek, pozvanok a ostatnych tlacovin, vam vieme zhotovit aj graficke navrhy. Dalej sa zameriavame na potlac/vysivanie textilii a inych predmetov, gravirovanie ci vyrobu etikiet. Nasou prioritou je pristupovat k zakaznikom individualne a s dorazom na kvalitu. Poskytovanim spolocensky prospesnej sluzby v oblasti podpory regionalneho rozvoja a zamestnanosti. RA design, s. r. o. Zabezpecime vyrobu reklamnych letakov, tlac vizitiek, pozvanok a ostatnych tlacovin vratane grafickych navrhov. Robime potlac/vysivanie textilii a inych predmetov, gravirovanie, vyrobu etikiet. tlac, reklama, graficke prace, potlac, vysivanie, gravirovanie, tlac etikiet, vizitky           </v>
      </c>
      <c r="AP262" s="69" t="s">
        <v>41</v>
      </c>
    </row>
    <row r="263" ht="15.75" customHeight="1">
      <c r="A263" s="45"/>
      <c r="B263" s="70">
        <v>261.0</v>
      </c>
      <c r="C263" s="116" t="s">
        <v>2930</v>
      </c>
      <c r="D263" s="71" t="s">
        <v>134</v>
      </c>
      <c r="E263" s="43" t="str">
        <f t="shared" si="1"/>
        <v>Trenčiansky kraj, &amp;#32celé Slovensko</v>
      </c>
      <c r="F263" s="44" t="s">
        <v>2142</v>
      </c>
      <c r="G263" s="43" t="str">
        <f t="shared" si="2"/>
        <v>účtovníctvo a poradenstvo, &amp;#32všetky kategórie</v>
      </c>
      <c r="H263" s="44" t="s">
        <v>96</v>
      </c>
      <c r="I263" s="45" t="str">
        <f t="shared" si="3"/>
        <v>6 - 10, &amp;#32všetky možnosti</v>
      </c>
      <c r="J263" s="46" t="str">
        <f t="shared" si="4"/>
        <v>,</v>
      </c>
      <c r="K263" s="47">
        <f t="shared" si="5"/>
        <v>20154.31669</v>
      </c>
      <c r="L263" s="45"/>
      <c r="M263" s="49" t="str">
        <f>IFERROR(__xludf.DUMMYFUNCTION("SPLIT(O263,"","")"),"M. Falešníka 10")</f>
        <v>M. Falešníka 10</v>
      </c>
      <c r="N263" s="48" t="str">
        <f>IFERROR(__xludf.DUMMYFUNCTION("""COMPUTED_VALUE""")," 971 01 Prievidza")</f>
        <v> 971 01 Prievidza</v>
      </c>
      <c r="O263" s="122" t="s">
        <v>2931</v>
      </c>
      <c r="P263" s="50">
        <v>48.7770392</v>
      </c>
      <c r="Q263" s="109">
        <v>18.608783</v>
      </c>
      <c r="R263" s="102" t="s">
        <v>2932</v>
      </c>
      <c r="S263" s="66" t="s">
        <v>2933</v>
      </c>
      <c r="T263" s="124" t="s">
        <v>2934</v>
      </c>
      <c r="U263" s="54" t="s">
        <v>2935</v>
      </c>
      <c r="V263" s="84" t="s">
        <v>2936</v>
      </c>
      <c r="W263" s="77" t="s">
        <v>2937</v>
      </c>
      <c r="X263" s="77" t="s">
        <v>2938</v>
      </c>
      <c r="Y263" s="121" t="s">
        <v>2939</v>
      </c>
      <c r="Z263" s="119" t="s">
        <v>2940</v>
      </c>
      <c r="AA263" s="125" t="s">
        <v>64</v>
      </c>
      <c r="AB263" s="64"/>
      <c r="AC263" s="64"/>
      <c r="AD263" s="64"/>
      <c r="AE263" s="64"/>
      <c r="AF263" s="65"/>
      <c r="AG263" s="65"/>
      <c r="AH263" s="65"/>
      <c r="AI263" s="65"/>
      <c r="AJ263" s="65"/>
      <c r="AK263" s="65"/>
      <c r="AL263" s="65"/>
      <c r="AM263" s="36"/>
      <c r="AN263" s="65"/>
      <c r="AO263" s="68" t="str">
        <f t="shared" si="6"/>
        <v>Ekopom s. r. o. uctovnictvo a poradenstvo, &amp;#32vsetky kategorie  971 01 Prievidza Spolocnost Ekopom s.r.o., vznikla 20.05.2010. Od svojho zalozenia sa venujeme hlavne vedeniu uctovnictva v programe Money, spracovaniu danovych priznani, evidencii majetku, zakladaniu spolocnosti, administrativnej cinnosti, vedeniu mzdovej a personalnej agendy, pocitacovej cinnosti, cinnosti podnikatelskych, organizacnych a ekonomickych poradcov, prenajmu hnutelnych veci, vzdelavacej cinnosti, atd. Dna 27.01.2021 nam bol priznany statut registrovaneho integracneho socialneho podniku. Zakladnym predpokladom pre bezproblemovy chod kazdeho podnikania je spravne a nacas spracovane uctovnictvo a administrativa pod kontrolou, poskytovanim nasich sluzieb pomahame, aby tento ciel dokazali splnit vsetci nasi aktualni, ako aj buduci klienti. Nas slogan je: "Administrativu nechajte na nas, VY OBCHODUJTE!" Zamestnavanim znevyhodnenych a/alebo zranitelnych osob. Ekopom s. r. o., r. s. p. Venujeme sa hlavne vedeniu uctovnictva, mzdovej a personalnej agendy, spracovaniu danovych priznani, evidencii majetku, zalozeniu spolocnosti a nasledne ich zaniku, poskytujeme podnikatelske, organizacne a ekonomicke poradenstvo, spracovavame vykazy a statistiky, poskytujeme ostatne administrativne sluzby, pocitacove sluzby, prenajimame hnutelne veci, atd. Uctovnictvo spracovavame aj online, v programe Money s moznostou vyuzitia zdielania dat. Vedenie uctovnictva, danove priznania, poradenstvo, administrativa, mzdova agenda, personalna agenda, evidencia majetku, vykazy, statistiky, konzultacie           </v>
      </c>
      <c r="AP263" s="82"/>
    </row>
    <row r="264" ht="15.75" customHeight="1">
      <c r="A264" s="45"/>
      <c r="B264" s="70">
        <v>262.0</v>
      </c>
      <c r="C264" s="116" t="s">
        <v>2941</v>
      </c>
      <c r="D264" s="71" t="s">
        <v>217</v>
      </c>
      <c r="E264" s="43" t="str">
        <f t="shared" si="1"/>
        <v>Košický kraj, &amp;#32celé Slovensko</v>
      </c>
      <c r="F264" s="44" t="s">
        <v>2942</v>
      </c>
      <c r="G264" s="43" t="str">
        <f t="shared" si="2"/>
        <v>odpady a recyklácia, nábytok a bytové doplnky, galantéria, bižutéria a darčekové predmety, zvieratá, &amp;#32všetky kategórie</v>
      </c>
      <c r="H264" s="44" t="s">
        <v>82</v>
      </c>
      <c r="I264" s="45" t="str">
        <f t="shared" si="3"/>
        <v>11 - 15, &amp;#32všetky možnosti</v>
      </c>
      <c r="J264" s="46" t="str">
        <f t="shared" si="4"/>
        <v>,</v>
      </c>
      <c r="K264" s="47">
        <f t="shared" si="5"/>
        <v>11696.44202</v>
      </c>
      <c r="L264" s="45"/>
      <c r="M264" s="49" t="str">
        <f>IFERROR(__xludf.DUMMYFUNCTION("SPLIT(O264,"","")"),"Tajovského 1")</f>
        <v>Tajovského 1</v>
      </c>
      <c r="N264" s="48" t="str">
        <f>IFERROR(__xludf.DUMMYFUNCTION("""COMPUTED_VALUE""")," 040 01 Košice")</f>
        <v> 040 01 Košice</v>
      </c>
      <c r="O264" s="122" t="s">
        <v>2943</v>
      </c>
      <c r="P264" s="50">
        <v>48.7188776</v>
      </c>
      <c r="Q264" s="109">
        <v>21.2538374</v>
      </c>
      <c r="R264" s="102" t="s">
        <v>2944</v>
      </c>
      <c r="S264" s="66" t="s">
        <v>2945</v>
      </c>
      <c r="T264" s="124" t="s">
        <v>2946</v>
      </c>
      <c r="U264" s="54" t="s">
        <v>2947</v>
      </c>
      <c r="V264" s="84" t="s">
        <v>2948</v>
      </c>
      <c r="W264" s="77" t="s">
        <v>2949</v>
      </c>
      <c r="X264" s="77" t="s">
        <v>2950</v>
      </c>
      <c r="Y264" s="121" t="s">
        <v>2951</v>
      </c>
      <c r="Z264" s="119" t="s">
        <v>2952</v>
      </c>
      <c r="AA264" s="125" t="s">
        <v>64</v>
      </c>
      <c r="AB264" s="64"/>
      <c r="AC264" s="64"/>
      <c r="AD264" s="64"/>
      <c r="AE264" s="64"/>
      <c r="AF264" s="65"/>
      <c r="AG264" s="65"/>
      <c r="AH264" s="65"/>
      <c r="AI264" s="65"/>
      <c r="AJ264" s="65"/>
      <c r="AK264" s="65"/>
      <c r="AL264" s="65"/>
      <c r="AM264" s="36"/>
      <c r="AN264" s="65"/>
      <c r="AO264" s="68" t="str">
        <f t="shared" si="6"/>
        <v>sewn bag s. r. o. odpady a recyklacia, nabytok a bytove doplnky, galanteria, bizuteria a darcekove predmety, zvierata, &amp;#32vsetky kategorie  040 01 Kosice Ponukame rozne tasky a doplnky.
 Sijeme tasky na notebooky, obaly na tablety, darcekove predmety, puzdra na doklady, penazenky a rozne ine predmety podla poziadaviek zakaznika. Vsetky produkty su vyrabane zo zbytkov z textilnej vyroby. Tento material by sa inak poslal na skladku alebo do spalovne...
 Vyrabame aj reklamne, darcekove a upomienkove predmety, tasticky, klucenky a pod.
 Kazdy darcek moze mat svoj pribeh, ale aj svoju buducnost. Kontaktujte nas a dohodnite si detaily. Kazdy produkt, ktory vyrobime, ma za sebou vlastnu historiu. A kedze na jeho povodny ucel ho uz nikto nevyuzije, vyrobime z neho za pomoci ludi v tazkej zivotnej situacii novy produkt, s novym ucelom, novou buducnostou a novym pribehom. sewn bag Darcekove predmety, reklamne predmety, cestovne tasky, penazenky, pelechy pre psov a rozne doplnky. 
 Rucne tkane obrusy, koberce a textilie. krajcirstvo, brasnarstvo, tasky, doplnky, penazenky, kozene vyrobky, koberce, vankuse, pelech, pes, koza           </v>
      </c>
      <c r="AP264" s="69" t="s">
        <v>41</v>
      </c>
    </row>
    <row r="265" ht="15.75" customHeight="1">
      <c r="A265" s="45"/>
      <c r="B265" s="70">
        <v>263.0</v>
      </c>
      <c r="C265" s="116" t="s">
        <v>2953</v>
      </c>
      <c r="D265" s="71" t="s">
        <v>51</v>
      </c>
      <c r="E265" s="43" t="str">
        <f t="shared" si="1"/>
        <v>Prešovský kraj, &amp;#32celé Slovensko</v>
      </c>
      <c r="F265" s="44" t="s">
        <v>2954</v>
      </c>
      <c r="G265" s="43" t="str">
        <f t="shared" si="2"/>
        <v>stavebníctvo, potraviny a nápoje, reklama, bižutéria a darčekové predmety, &amp;#32všetky kategórie</v>
      </c>
      <c r="H265" s="44" t="s">
        <v>82</v>
      </c>
      <c r="I265" s="45" t="str">
        <f t="shared" si="3"/>
        <v>11 - 15, &amp;#32všetky možnosti</v>
      </c>
      <c r="J265" s="46" t="str">
        <f t="shared" si="4"/>
        <v>,Register partnerov VS</v>
      </c>
      <c r="K265" s="47">
        <f t="shared" si="5"/>
        <v>6402.672567</v>
      </c>
      <c r="L265" s="45"/>
      <c r="M265" s="49" t="str">
        <f>IFERROR(__xludf.DUMMYFUNCTION("SPLIT(O265,"","")"),"SNP 10")</f>
        <v>SNP 10</v>
      </c>
      <c r="N265" s="48" t="str">
        <f>IFERROR(__xludf.DUMMYFUNCTION("""COMPUTED_VALUE""")," 053 02 Spišský Hrhov")</f>
        <v> 053 02 Spišský Hrhov</v>
      </c>
      <c r="O265" s="122" t="s">
        <v>2955</v>
      </c>
      <c r="P265" s="50">
        <v>49.0013629</v>
      </c>
      <c r="Q265" s="109">
        <v>20.6390566</v>
      </c>
      <c r="R265" s="123" t="s">
        <v>2956</v>
      </c>
      <c r="S265" s="66" t="s">
        <v>2957</v>
      </c>
      <c r="T265" s="124" t="s">
        <v>86</v>
      </c>
      <c r="U265" s="54" t="s">
        <v>2958</v>
      </c>
      <c r="V265" s="84" t="s">
        <v>2959</v>
      </c>
      <c r="W265" s="77" t="s">
        <v>2960</v>
      </c>
      <c r="X265" s="77" t="s">
        <v>2961</v>
      </c>
      <c r="Y265" s="121" t="s">
        <v>2962</v>
      </c>
      <c r="Z265" s="119" t="s">
        <v>2963</v>
      </c>
      <c r="AA265" s="125" t="s">
        <v>64</v>
      </c>
      <c r="AB265" s="64"/>
      <c r="AC265" s="64"/>
      <c r="AD265" s="64"/>
      <c r="AE265" s="64"/>
      <c r="AF265" s="65"/>
      <c r="AG265" s="65"/>
      <c r="AH265" s="65"/>
      <c r="AI265" s="65"/>
      <c r="AJ265" s="65"/>
      <c r="AK265" s="65"/>
      <c r="AL265" s="65"/>
      <c r="AM265" s="52"/>
      <c r="AN265" s="80" t="s">
        <v>39</v>
      </c>
      <c r="AO265" s="68" t="str">
        <f t="shared" si="6"/>
        <v>Hrhovske sluzby, s. r. o., r. s. p. stavebnictvo, potraviny a napoje, reklama, bizuteria a darcekove predmety, &amp;#32vsetky kategorie  053 02 Spissky Hrhov V ponuke mame viacero cinnosti: - - stavebne prace - vystavba rodinnych domov, bytovych domov, chodnikov, rekonstrukcia budov, rekonstrukcia ciest, pretlakove prace, 
 - gravirovanie do dreva - ponukame rozne darcekove predmety s gravirovanym motivom, varesky, denka, klucenky a cokolvek podla vlastneho vyberu,
 - Kredenc - poctive potraviny, kde predavame najma regionalne produkty (stavy, syry, klobasy, caje, korenie, dzemy, bezobalove potraviny - mak, susene ovocie a podobne.)
 - pestovatelska palenica - ponukame palenie domacej palenky z doma pripraveneho kvasu. Je prospesny v prvom rade v oblasti zamestnavania. Hrhovske sluzby s.r.o., r.s.p. Stavebna cinnost - vystavba, rekonstrukcie, kamenarske prace;
 Drevospracujuca vyroba - vyroba komponentov z dreva, vcelie ule, vyvysene zahony;
 Kredenc - poctive potraviny z regionu;
 Gravirovanie - gravirovacie prace do dreva, varesky, klucenky s textom a ine;
 Pestovatelska palenica - palenica pre pestovatelov, vypalime Vam z doma pripraveneho kvasu kvalitny alkohol. kamenarske prace, gravirovanie do dreva, potraviny, bezobalovo, vyvysene zahony, drevovyroba, palenica, lokalne potraviny           Register partnerov VS</v>
      </c>
      <c r="AP265" s="82"/>
    </row>
    <row r="266" ht="15.75" customHeight="1">
      <c r="A266" s="45"/>
      <c r="B266" s="70">
        <v>264.0</v>
      </c>
      <c r="C266" s="116" t="s">
        <v>2964</v>
      </c>
      <c r="D266" s="71" t="s">
        <v>181</v>
      </c>
      <c r="E266" s="43" t="str">
        <f t="shared" si="1"/>
        <v>Banskobystrický kraj, &amp;#32celé Slovensko</v>
      </c>
      <c r="F266" s="44" t="s">
        <v>2965</v>
      </c>
      <c r="G266" s="43" t="str">
        <f t="shared" si="2"/>
        <v>stavebníctvo, odpady a recyklácia, &amp;#32všetky kategórie</v>
      </c>
      <c r="H266" s="44" t="s">
        <v>53</v>
      </c>
      <c r="I266" s="45" t="str">
        <f t="shared" si="3"/>
        <v>1 - 5, &amp;#32všetky možnosti</v>
      </c>
      <c r="J266" s="46" t="str">
        <f t="shared" si="4"/>
        <v>,Register partnerov VS</v>
      </c>
      <c r="K266" s="47">
        <f t="shared" si="5"/>
        <v>21874.7374</v>
      </c>
      <c r="L266" s="45"/>
      <c r="M266" s="49" t="str">
        <f>IFERROR(__xludf.DUMMYFUNCTION("SPLIT(O266,"","")"),"Lučenecká cesta 2266/6")</f>
        <v>Lučenecká cesta 2266/6</v>
      </c>
      <c r="N266" s="48" t="str">
        <f>IFERROR(__xludf.DUMMYFUNCTION("""COMPUTED_VALUE""")," 960 96 Zvolen")</f>
        <v> 960 96 Zvolen</v>
      </c>
      <c r="O266" s="122" t="s">
        <v>2966</v>
      </c>
      <c r="P266" s="50">
        <v>48.5638495</v>
      </c>
      <c r="Q266" s="109">
        <v>19.1634327</v>
      </c>
      <c r="R266" s="123" t="s">
        <v>2967</v>
      </c>
      <c r="S266" s="66" t="s">
        <v>2968</v>
      </c>
      <c r="T266" s="131" t="s">
        <v>2969</v>
      </c>
      <c r="U266" s="54" t="s">
        <v>2970</v>
      </c>
      <c r="V266" s="84" t="s">
        <v>2971</v>
      </c>
      <c r="W266" s="77" t="s">
        <v>2972</v>
      </c>
      <c r="X266" s="77" t="s">
        <v>2964</v>
      </c>
      <c r="Y266" s="121" t="s">
        <v>2973</v>
      </c>
      <c r="Z266" s="119" t="s">
        <v>2974</v>
      </c>
      <c r="AA266" s="125" t="s">
        <v>64</v>
      </c>
      <c r="AB266" s="64"/>
      <c r="AC266" s="64"/>
      <c r="AD266" s="64"/>
      <c r="AE266" s="64"/>
      <c r="AF266" s="65"/>
      <c r="AG266" s="65"/>
      <c r="AH266" s="65"/>
      <c r="AI266" s="65"/>
      <c r="AJ266" s="65"/>
      <c r="AK266" s="65"/>
      <c r="AL266" s="65"/>
      <c r="AM266" s="52"/>
      <c r="AN266" s="80" t="s">
        <v>39</v>
      </c>
      <c r="AO266" s="68" t="str">
        <f t="shared" si="6"/>
        <v>POH, s.r.o. "registrovany socialny podnik" stavebnictvo, odpady a recyklacia, &amp;#32vsetky kategorie  960 96 Zvolen Sme stavebno-obchodna spolocnost. Ponukame komplexne stavby na kluc, ci ide o rekonstrukcie, novostavby alebo priemyselne stavby. Zameriavame sa na budovanie prvkov zelenej infrastruktury v intravilane a extravilane obci. Ide o realizaciu vegetacnych "zelenych" striech, stien, ekologickych priepustnych spevnenych ploch, dazdovych zahrad. Ponukame na predaj aj samostatny ekologicky stavebny material, ktory je 100% vyrobeny z recyklovanych materialov. Vzdelavame nasich zakaznikov na prechod na obehove hospodarstvo. Medzi nasich zakaznikov patria od velkych developerskych spolocnosti, stavebnych firiem az po drobnych stavebnikov, fyzicke osoby. Zameriavame sa na mesta a obce a ponukame im nase stavebne sluzby. Uskutocnovanim stavieb a ich zmien so zameranim sa na prvky zelenej infrastruktury, ako su uprava beznych striech na vegetacne strechy, sadove upravy k znizeniu asfaltovych ploch, ako napriklad retencnych ploch parkovisk s cielom zvysenia zelene v zastavanych plochach, realizacia protihlukovych opatreni realizovanych vystavbou, ako aj tepelne a akusticke izolacie budov. V oblasti vzdelavania a zvysovania povedomia sa spolocnost venuje vzdelavacim aktivitam prispievajucim k pozitivnym zmenam v oblasti klimatickych zmien so zameranim na obehove hospodarstvo. Obehove hospodarstvo spociva v inteligentnom rieseni spotreby obyvatelov s naslednou opravou pouzitelnych zdrojov, ich repasaciu a zaroven nakladanie s odpadom az po navrat surovin naspat do hospodarstva a ich opatovne vyuzitie vo vyrobnom cykle uz v podobe druhotnych surovin. POH, s.r.o. "registrovany socialny podnik" Ponuka sluzieb v ramci stavebnictva, predaj ekologickych aj klasickych stavebnych maerialov. komplexne dodavky stavieb, predaj recyklovanych materialov, zelene strechy, dazdove zahrady, ekologicke stavby, obehove hospodarstvo, ekologicky material, poradenstvo pre obehove hospodarstvo           Register partnerov VS</v>
      </c>
      <c r="AP266" s="82"/>
    </row>
    <row r="267" ht="15.75" customHeight="1">
      <c r="A267" s="45"/>
      <c r="B267" s="70">
        <v>265.0</v>
      </c>
      <c r="C267" s="116" t="s">
        <v>2975</v>
      </c>
      <c r="D267" s="71" t="s">
        <v>217</v>
      </c>
      <c r="E267" s="43" t="str">
        <f t="shared" si="1"/>
        <v>Košický kraj, &amp;#32celé Slovensko</v>
      </c>
      <c r="F267" s="44" t="s">
        <v>1272</v>
      </c>
      <c r="G267" s="43" t="str">
        <f t="shared" si="2"/>
        <v>dom a záhrada, &amp;#32všetky kategórie</v>
      </c>
      <c r="H267" s="44" t="s">
        <v>53</v>
      </c>
      <c r="I267" s="45" t="str">
        <f t="shared" si="3"/>
        <v>1 - 5, &amp;#32všetky možnosti</v>
      </c>
      <c r="J267" s="46" t="str">
        <f t="shared" si="4"/>
        <v>Servisné poukážky,</v>
      </c>
      <c r="K267" s="47">
        <f t="shared" si="5"/>
        <v>19308.01402</v>
      </c>
      <c r="L267" s="45"/>
      <c r="M267" s="49" t="str">
        <f>IFERROR(__xludf.DUMMYFUNCTION("SPLIT(O267,"","")"),"Letná 930")</f>
        <v>Letná 930</v>
      </c>
      <c r="N267" s="48" t="str">
        <f>IFERROR(__xludf.DUMMYFUNCTION("""COMPUTED_VALUE""")," 053 33 Nálepkovo")</f>
        <v> 053 33 Nálepkovo</v>
      </c>
      <c r="O267" s="122" t="s">
        <v>2976</v>
      </c>
      <c r="P267" s="50">
        <v>48.8478601</v>
      </c>
      <c r="Q267" s="109">
        <v>20.6121982</v>
      </c>
      <c r="R267" s="123" t="s">
        <v>2977</v>
      </c>
      <c r="S267" s="66" t="s">
        <v>2978</v>
      </c>
      <c r="T267" s="124" t="s">
        <v>2979</v>
      </c>
      <c r="U267" s="54" t="s">
        <v>2980</v>
      </c>
      <c r="V267" s="84" t="s">
        <v>2981</v>
      </c>
      <c r="W267" s="77" t="s">
        <v>2982</v>
      </c>
      <c r="X267" s="77" t="s">
        <v>2975</v>
      </c>
      <c r="Y267" s="121" t="s">
        <v>2983</v>
      </c>
      <c r="Z267" s="119" t="s">
        <v>2984</v>
      </c>
      <c r="AA267" s="125" t="s">
        <v>64</v>
      </c>
      <c r="AB267" s="64"/>
      <c r="AC267" s="64"/>
      <c r="AD267" s="64"/>
      <c r="AE267" s="64"/>
      <c r="AF267" s="65"/>
      <c r="AG267" s="65"/>
      <c r="AH267" s="65"/>
      <c r="AI267" s="65"/>
      <c r="AJ267" s="65"/>
      <c r="AK267" s="65"/>
      <c r="AL267" s="65"/>
      <c r="AM267" s="17" t="s">
        <v>320</v>
      </c>
      <c r="AN267" s="65"/>
      <c r="AO267" s="68" t="str">
        <f t="shared" si="6"/>
        <v>Girmonn, s.r.o. dom a zahrada, &amp;#32vsetky kategorie  053 33 Nalepkovo Registrovany socialny podnik Girmonn, s. r. o. posobi na trhu so stiepanym palivovym drevom od jula 2021. Jeho cinnost sa primarne orientuje na sluzbu stiepania palivoveho dreva mobilnym stiepacim poloautomatom s vlastnym pohonom v domacnostiach u zakaznikov - doma alebo na chalupe. Touto sluzbou chce socialny podnik pomoct vsetkym obyvatelom, ktori na vykurovanie pouzivaju drevo a odbremenit ich od narocneho a zdlhaveho rucneho stiepania. Podnik taktiez zabezpecuje vyrobu stiepaneho palivoveho dreva, ktore je volne sypane a dodavane v standardnych dlzkach od 25 cm do 50 cm podla zelania zakaznika. Doprava dreva je pre zakaznikov zabezpecena vozidlom do 3,5 tony v ramci okresov Spisska Nova Ves a Gelnica. V roku 2022 planujeme vyuzivat servisne poukazky, ktorymi bude mozne za sluzbu stiepania dreva platit. Pre odkazanu osobu to predstavuje polovicne naklady vynalozene na zabezpecenie dolezitej zivotnej potreby, najma v oblastiach, kde sa stale kuri tuhym palivom. Tvorbou pracovnych miest a zvysovanim zamestnanosti znevyhodnenych a zranitelnych osob. Girmonn, s.r.o. Sluzba stiepania palivoveho dreva, stiepane palivove drevo s moznostou dopravy stiepanie palivoveho dreva, stiepane palivove drevo          Servisne poukazky </v>
      </c>
      <c r="AP267" s="69" t="s">
        <v>41</v>
      </c>
    </row>
    <row r="268" ht="15.75" customHeight="1">
      <c r="A268" s="45"/>
      <c r="B268" s="70">
        <v>266.0</v>
      </c>
      <c r="C268" s="116" t="s">
        <v>2985</v>
      </c>
      <c r="D268" s="71" t="s">
        <v>181</v>
      </c>
      <c r="E268" s="43" t="str">
        <f t="shared" si="1"/>
        <v>Banskobystrický kraj, &amp;#32celé Slovensko</v>
      </c>
      <c r="F268" s="44" t="s">
        <v>2986</v>
      </c>
      <c r="G268" s="43" t="str">
        <f t="shared" si="2"/>
        <v>doprava, reklama, obaly, auto-moto, elektro, počítačová a kancelárska technika, iné (tovary a služby), &amp;#32všetky kategórie</v>
      </c>
      <c r="H268" s="44" t="s">
        <v>170</v>
      </c>
      <c r="I268" s="45" t="str">
        <f t="shared" si="3"/>
        <v>21 a viac, &amp;#32všetky možnosti</v>
      </c>
      <c r="J268" s="46" t="str">
        <f t="shared" si="4"/>
        <v>,Register partnerov VS</v>
      </c>
      <c r="K268" s="47">
        <f t="shared" si="5"/>
        <v>3806.125667</v>
      </c>
      <c r="L268" s="45"/>
      <c r="M268" s="49" t="str">
        <f>IFERROR(__xludf.DUMMYFUNCTION("SPLIT(O268,"","")"),"Kyjevské námestie 2")</f>
        <v>Kyjevské námestie 2</v>
      </c>
      <c r="N268" s="48" t="str">
        <f>IFERROR(__xludf.DUMMYFUNCTION("""COMPUTED_VALUE""")," 974 04 Banská Bystrica")</f>
        <v> 974 04 Banská Bystrica</v>
      </c>
      <c r="O268" s="122" t="s">
        <v>2987</v>
      </c>
      <c r="P268" s="50">
        <v>48.7273372999999</v>
      </c>
      <c r="Q268" s="109">
        <v>19.1191104</v>
      </c>
      <c r="R268" s="123" t="s">
        <v>2988</v>
      </c>
      <c r="S268" s="66" t="s">
        <v>2989</v>
      </c>
      <c r="T268" s="124" t="s">
        <v>2990</v>
      </c>
      <c r="U268" s="54" t="s">
        <v>2991</v>
      </c>
      <c r="V268" s="84" t="s">
        <v>2992</v>
      </c>
      <c r="W268" s="77" t="s">
        <v>2993</v>
      </c>
      <c r="X268" s="77" t="s">
        <v>2994</v>
      </c>
      <c r="Y268" s="121" t="s">
        <v>2995</v>
      </c>
      <c r="Z268" s="119" t="s">
        <v>2996</v>
      </c>
      <c r="AA268" s="125" t="s">
        <v>64</v>
      </c>
      <c r="AB268" s="64"/>
      <c r="AC268" s="64"/>
      <c r="AD268" s="64"/>
      <c r="AE268" s="64"/>
      <c r="AF268" s="65"/>
      <c r="AG268" s="65"/>
      <c r="AH268" s="65"/>
      <c r="AI268" s="65"/>
      <c r="AJ268" s="65"/>
      <c r="AK268" s="65"/>
      <c r="AL268" s="65"/>
      <c r="AM268" s="52"/>
      <c r="AN268" s="80" t="s">
        <v>39</v>
      </c>
      <c r="AO268" s="68" t="str">
        <f t="shared" si="6"/>
        <v>Registrovany socialny podnik Alfa s.r.o. doprava, reklama, obaly, auto-moto, elektro, pocitacova a kancelarska technika, ine (tovary a sluzby), &amp;#32vsetky kategorie  974 04 Banska Bystrica Ponukame polygraficke sluzby doplnene o kniharske spracovanie, kalendare, diare, kancelarske potreby, reklamne predmety, dalej vyrobu pre automotive a elektroinstalaciu, umyvanie KLT boxov a prepraviek, digitalne sluzby a spravu online priestoru. V integracii vacsieho poctu osob so znizenou pracovnou schopnostou do zamestnania. Registrovany socialny podnik ALFA s.r.o. Polygraficke sluzby doplnene o kniharske spracovanie, kalendare diare, kancelarske potreby, reklamne predmety, dalej vyroba pre automotive a elektroinstalaciu, umyvanie KLT boxov a prepraviek, digitalne sluzby a spravu online priestoru. Polygraficke sluzby doplnene o kniharske spracovanie, kalendare diare, kancelarske potreby, reklamne predmety, vyroba pre automotive a elektroinstalaciu, umyvanie KLT, digitalne sluzby a sprava online priestoru, katalog, vizitky, plagaty           Register partnerov VS</v>
      </c>
      <c r="AP268" s="69" t="s">
        <v>41</v>
      </c>
    </row>
    <row r="269" ht="15.75" customHeight="1">
      <c r="A269" s="45"/>
      <c r="B269" s="70">
        <v>267.0</v>
      </c>
      <c r="C269" s="116" t="s">
        <v>2997</v>
      </c>
      <c r="D269" s="71" t="s">
        <v>181</v>
      </c>
      <c r="E269" s="43" t="str">
        <f t="shared" si="1"/>
        <v>Banskobystrický kraj, &amp;#32celé Slovensko</v>
      </c>
      <c r="F269" s="44" t="s">
        <v>2998</v>
      </c>
      <c r="G269" s="43" t="str">
        <f t="shared" si="2"/>
        <v>čistiace a upratovacie služby, dom a záhrada, ubytovacie a stravovacie služby, reklama, obaly, počítačová a kancelárska technika, &amp;#32všetky kategórie</v>
      </c>
      <c r="H269" s="44" t="s">
        <v>82</v>
      </c>
      <c r="I269" s="45" t="str">
        <f t="shared" si="3"/>
        <v>11 - 15, &amp;#32všetky možnosti</v>
      </c>
      <c r="J269" s="46" t="str">
        <f t="shared" si="4"/>
        <v>,Register partnerov VS</v>
      </c>
      <c r="K269" s="47">
        <f t="shared" si="5"/>
        <v>43488.25854</v>
      </c>
      <c r="L269" s="45"/>
      <c r="M269" s="49" t="str">
        <f>IFERROR(__xludf.DUMMYFUNCTION("SPLIT(O269,"","")"),"Pletiarska 10/A")</f>
        <v>Pletiarska 10/A</v>
      </c>
      <c r="N269" s="48" t="str">
        <f>IFERROR(__xludf.DUMMYFUNCTION("""COMPUTED_VALUE""")," 969 01 Banská Štiavnica")</f>
        <v> 969 01 Banská Štiavnica</v>
      </c>
      <c r="O269" s="122" t="s">
        <v>2999</v>
      </c>
      <c r="P269" s="50">
        <v>48.4527198</v>
      </c>
      <c r="Q269" s="109">
        <v>18.9070774</v>
      </c>
      <c r="R269" s="123" t="s">
        <v>3000</v>
      </c>
      <c r="S269" s="66" t="s">
        <v>3001</v>
      </c>
      <c r="T269" s="124" t="s">
        <v>3002</v>
      </c>
      <c r="U269" s="54" t="s">
        <v>3003</v>
      </c>
      <c r="V269" s="84" t="s">
        <v>3004</v>
      </c>
      <c r="W269" s="77" t="s">
        <v>3005</v>
      </c>
      <c r="X269" s="77" t="s">
        <v>3006</v>
      </c>
      <c r="Y269" s="121" t="s">
        <v>3007</v>
      </c>
      <c r="Z269" s="119" t="s">
        <v>3008</v>
      </c>
      <c r="AA269" s="125" t="s">
        <v>64</v>
      </c>
      <c r="AB269" s="64"/>
      <c r="AC269" s="64"/>
      <c r="AD269" s="64"/>
      <c r="AE269" s="64"/>
      <c r="AF269" s="65"/>
      <c r="AG269" s="65"/>
      <c r="AH269" s="65"/>
      <c r="AI269" s="65"/>
      <c r="AJ269" s="65"/>
      <c r="AK269" s="65"/>
      <c r="AL269" s="65"/>
      <c r="AM269" s="52"/>
      <c r="AN269" s="80" t="s">
        <v>39</v>
      </c>
      <c r="AO269" s="68" t="str">
        <f t="shared" si="6"/>
        <v>JA life s.r.o., r. s. p. cistiace a upratovacie sluzby, dom a zahrada, ubytovacie a stravovacie sluzby, reklama, obaly, pocitacova a kancelarska technika, &amp;#32vsetky kategorie  969 01 Banska Stiavnica Pomoc odkazanym a zranitelnym obcanom, socialne slabsim, seniorom v zakladnych ludskych potrebach, ako su upratovanie, stravovanie, doprovod do zdravotnych zariadeni.
 Zamestnavame obcanov, ktori maju zdravotny alebo iny socialny postih, cim ich zaclenujeme do spolocenskeho zivota a prispievame nielen k financnej nezavislosti, ale aj psychickej pomoci. Nasim hlavnym cielom je pozitivny socialny vplyv zamestnavanim socialne slabsich, zranitelnych a znevyhodnenych obcanov, co prispieva k znizovaniu nezamestnanosti. JA Life s.r.o., r.s.p. stolarska vyroba, prevadzka kuchyne, vyvarovna,
poskytovanie socialnej pomoci,sluzby cistiarne a pracovne menu
kuchyna
ponuka jedla
pranie
upratovanie
umyvanie
praca v zahrade
pomoc seniorom
senior
doprovod
vyroba kuchyne
nabytok
olepovanie
 malovanie
spracovanie
 sublimacna tlac
 gravirovanie           Register partnerov VS</v>
      </c>
      <c r="AP269" s="82"/>
    </row>
    <row r="270" ht="15.75" customHeight="1">
      <c r="A270" s="45"/>
      <c r="B270" s="70">
        <v>268.0</v>
      </c>
      <c r="C270" s="116" t="s">
        <v>3009</v>
      </c>
      <c r="D270" s="71" t="s">
        <v>181</v>
      </c>
      <c r="E270" s="43" t="str">
        <f t="shared" si="1"/>
        <v>Banskobystrický kraj, &amp;#32celé Slovensko</v>
      </c>
      <c r="F270" s="44" t="s">
        <v>3010</v>
      </c>
      <c r="G270" s="43" t="str">
        <f t="shared" si="2"/>
        <v>čistiace a upratovacie služby, odpady a recyklácia, dom a záhrada, &amp;#32všetky kategórie</v>
      </c>
      <c r="H270" s="44" t="s">
        <v>53</v>
      </c>
      <c r="I270" s="45" t="str">
        <f t="shared" si="3"/>
        <v>1 - 5, &amp;#32všetky možnosti</v>
      </c>
      <c r="J270" s="46" t="str">
        <f t="shared" si="4"/>
        <v>,</v>
      </c>
      <c r="K270" s="47">
        <f t="shared" si="5"/>
        <v>6502.061461</v>
      </c>
      <c r="L270" s="45"/>
      <c r="M270" s="49" t="str">
        <f>IFERROR(__xludf.DUMMYFUNCTION("SPLIT(O270,"","")"),"Cerovo 259")</f>
        <v>Cerovo 259</v>
      </c>
      <c r="N270" s="48" t="str">
        <f>IFERROR(__xludf.DUMMYFUNCTION("""COMPUTED_VALUE""")," 962 52 Cerovo")</f>
        <v> 962 52 Cerovo</v>
      </c>
      <c r="O270" s="122" t="s">
        <v>3011</v>
      </c>
      <c r="P270" s="50">
        <v>48.2531879</v>
      </c>
      <c r="Q270" s="109">
        <v>19.1553401</v>
      </c>
      <c r="R270" s="102" t="s">
        <v>3012</v>
      </c>
      <c r="S270" s="66" t="s">
        <v>3013</v>
      </c>
      <c r="T270" s="124" t="s">
        <v>86</v>
      </c>
      <c r="U270" s="54" t="s">
        <v>3014</v>
      </c>
      <c r="V270" s="84" t="s">
        <v>3015</v>
      </c>
      <c r="W270" s="77" t="s">
        <v>3016</v>
      </c>
      <c r="X270" s="77" t="s">
        <v>3009</v>
      </c>
      <c r="Y270" s="121" t="s">
        <v>3017</v>
      </c>
      <c r="Z270" s="119" t="s">
        <v>3018</v>
      </c>
      <c r="AA270" s="125" t="s">
        <v>64</v>
      </c>
      <c r="AB270" s="64"/>
      <c r="AC270" s="64"/>
      <c r="AD270" s="64"/>
      <c r="AE270" s="64"/>
      <c r="AF270" s="65"/>
      <c r="AG270" s="65"/>
      <c r="AH270" s="65"/>
      <c r="AI270" s="65"/>
      <c r="AJ270" s="65"/>
      <c r="AK270" s="65"/>
      <c r="AL270" s="65"/>
      <c r="AM270" s="36"/>
      <c r="AN270" s="65"/>
      <c r="AO270" s="68" t="str">
        <f t="shared" si="6"/>
        <v>Obecny podnik Cerovo, s.r.o. cistiace a upratovacie sluzby, odpady a recyklacia, dom a zahrada, &amp;#32vsetky kategorie  962 52 Cerovo Komunalne sluzby a sluzby spojene s udrzbou a spravou majetku obce. Zamestnanie znevyhodnenych skupin. Obecny podnik Cerovo, s.r.o. Komunalne sluzby a sluzby osobneho charakteru sluzby pre obec, komunalne sluzby, udrzba zelene           </v>
      </c>
      <c r="AP270" s="82"/>
    </row>
    <row r="271" ht="15.75" customHeight="1">
      <c r="A271" s="45"/>
      <c r="B271" s="70">
        <v>269.0</v>
      </c>
      <c r="C271" s="116" t="s">
        <v>3019</v>
      </c>
      <c r="D271" s="71" t="s">
        <v>217</v>
      </c>
      <c r="E271" s="43" t="str">
        <f t="shared" si="1"/>
        <v>Košický kraj, &amp;#32celé Slovensko</v>
      </c>
      <c r="F271" s="44" t="s">
        <v>923</v>
      </c>
      <c r="G271" s="43" t="str">
        <f t="shared" si="2"/>
        <v>čistiace a upratovacie služby, poľnohospodárstvo a lesníctvo, dom a záhrada, stavebníctvo, &amp;#32všetky kategórie</v>
      </c>
      <c r="H271" s="44" t="s">
        <v>170</v>
      </c>
      <c r="I271" s="45" t="str">
        <f t="shared" si="3"/>
        <v>21 a viac, &amp;#32všetky možnosti</v>
      </c>
      <c r="J271" s="46" t="str">
        <f t="shared" si="4"/>
        <v>Servisné poukážky,Register partnerov VS</v>
      </c>
      <c r="K271" s="47">
        <f t="shared" si="5"/>
        <v>2289.491146</v>
      </c>
      <c r="L271" s="45"/>
      <c r="M271" s="49" t="str">
        <f>IFERROR(__xludf.DUMMYFUNCTION("SPLIT(O271,"","")"),"Námestie Maratónu mieru 1")</f>
        <v>Námestie Maratónu mieru 1</v>
      </c>
      <c r="N271" s="48" t="str">
        <f>IFERROR(__xludf.DUMMYFUNCTION("""COMPUTED_VALUE""")," 042 66 Košice")</f>
        <v> 042 66 Košice</v>
      </c>
      <c r="O271" s="122" t="s">
        <v>3020</v>
      </c>
      <c r="P271" s="50">
        <v>48.7275968</v>
      </c>
      <c r="Q271" s="109">
        <v>21.2544529</v>
      </c>
      <c r="R271" s="123" t="s">
        <v>3021</v>
      </c>
      <c r="S271" s="66" t="s">
        <v>3022</v>
      </c>
      <c r="T271" s="124" t="s">
        <v>3023</v>
      </c>
      <c r="U271" s="54" t="s">
        <v>3024</v>
      </c>
      <c r="V271" s="84" t="s">
        <v>3025</v>
      </c>
      <c r="W271" s="77" t="s">
        <v>3026</v>
      </c>
      <c r="X271" s="77" t="s">
        <v>3027</v>
      </c>
      <c r="Y271" s="121" t="s">
        <v>3028</v>
      </c>
      <c r="Z271" s="119" t="s">
        <v>3029</v>
      </c>
      <c r="AA271" s="125" t="s">
        <v>64</v>
      </c>
      <c r="AB271" s="64"/>
      <c r="AC271" s="64"/>
      <c r="AD271" s="64"/>
      <c r="AE271" s="64"/>
      <c r="AF271" s="65"/>
      <c r="AG271" s="65"/>
      <c r="AH271" s="65"/>
      <c r="AI271" s="65"/>
      <c r="AJ271" s="65"/>
      <c r="AK271" s="65"/>
      <c r="AL271" s="65"/>
      <c r="AM271" s="96" t="s">
        <v>320</v>
      </c>
      <c r="AN271" s="80" t="s">
        <v>39</v>
      </c>
      <c r="AO271" s="68" t="str">
        <f t="shared" si="6"/>
        <v>Socialny podnik Kosickeho samospravneho kraja, s.r.o., r. s. p. cistiace a upratovacie sluzby, polnohospodarstvo a lesnictvo, dom a zahrada, stavebnictvo, &amp;#32vsetky kategorie  042 66 Kosice Stavebne prace, prace v zahrade, prace v domacnosti, upratovanie. Pozitivny socialny vplyv spolocnost dosahuje predovsetkym zamestnavanim marginalizovanych skupin obyvatelstva, napr. zamestnavanim zdravotne postihnutych, znevyhodnenych a zranitelnych osob. Osvojenie pracovnych navykov, vytvorenie pracovneho kolektivu a zaclenenie takychto osob do pracovnej cinnosti a tym aj do spolocenskeho zivota, ich socializacia, ma na ne pozitivny socialny vplyv. Zaclenenim takychto osob do pracovnej cinnosti dochadza k rozvijaniu ich osobnostnych predpokladov, k odstraneniu ich vylucenia na okraj spolocnosti a k ich zacleneniu do realneho zivota. Socialny podnik Kosickeho samospravneho kraja, s.r.o., r.s.p. Stavebne prace, prace v zahradnictve, sadovnictve, v domacnosti, upratovanie. stavebne prace, stavba, rekonstrukcia, zahrada, kosenie, pilenie, upratovanie, domacnost          Servisne poukazky Register partnerov VS</v>
      </c>
      <c r="AP271" s="69" t="s">
        <v>41</v>
      </c>
    </row>
    <row r="272" ht="15.75" customHeight="1">
      <c r="A272" s="45"/>
      <c r="B272" s="70">
        <v>270.0</v>
      </c>
      <c r="C272" s="116" t="s">
        <v>3030</v>
      </c>
      <c r="D272" s="71" t="s">
        <v>217</v>
      </c>
      <c r="E272" s="43" t="str">
        <f t="shared" si="1"/>
        <v>Košický kraj, &amp;#32celé Slovensko</v>
      </c>
      <c r="F272" s="44" t="s">
        <v>3031</v>
      </c>
      <c r="G272" s="43" t="str">
        <f t="shared" si="2"/>
        <v>poľnohospodárstvo a lesníctvo, stavebníctvo, &amp;#32všetky kategórie</v>
      </c>
      <c r="H272" s="44" t="s">
        <v>53</v>
      </c>
      <c r="I272" s="45" t="str">
        <f t="shared" si="3"/>
        <v>1 - 5, &amp;#32všetky možnosti</v>
      </c>
      <c r="J272" s="46" t="str">
        <f t="shared" si="4"/>
        <v>,Register partnerov VS</v>
      </c>
      <c r="K272" s="47">
        <f t="shared" si="5"/>
        <v>31771.53191</v>
      </c>
      <c r="L272" s="45"/>
      <c r="M272" s="49" t="str">
        <f>IFERROR(__xludf.DUMMYFUNCTION("SPLIT(O272,"","")"),"Slavošovce 113")</f>
        <v>Slavošovce 113</v>
      </c>
      <c r="N272" s="48" t="str">
        <f>IFERROR(__xludf.DUMMYFUNCTION("""COMPUTED_VALUE""")," 049 36 Slavošovce")</f>
        <v> 049 36 Slavošovce</v>
      </c>
      <c r="O272" s="122" t="s">
        <v>3032</v>
      </c>
      <c r="P272" s="50">
        <v>48.7126938</v>
      </c>
      <c r="Q272" s="109">
        <v>20.2808866</v>
      </c>
      <c r="R272" s="123" t="s">
        <v>3033</v>
      </c>
      <c r="S272" s="66" t="s">
        <v>3034</v>
      </c>
      <c r="T272" s="124" t="s">
        <v>86</v>
      </c>
      <c r="U272" s="54" t="s">
        <v>3035</v>
      </c>
      <c r="V272" s="84" t="s">
        <v>3036</v>
      </c>
      <c r="W272" s="77" t="s">
        <v>3037</v>
      </c>
      <c r="X272" s="77" t="s">
        <v>3038</v>
      </c>
      <c r="Y272" s="121" t="s">
        <v>3039</v>
      </c>
      <c r="Z272" s="119" t="s">
        <v>3040</v>
      </c>
      <c r="AA272" s="125" t="s">
        <v>64</v>
      </c>
      <c r="AB272" s="64"/>
      <c r="AC272" s="64"/>
      <c r="AD272" s="64"/>
      <c r="AE272" s="64"/>
      <c r="AF272" s="65"/>
      <c r="AG272" s="65"/>
      <c r="AH272" s="65"/>
      <c r="AI272" s="65"/>
      <c r="AJ272" s="65"/>
      <c r="AK272" s="65"/>
      <c r="AL272" s="65"/>
      <c r="AM272" s="52"/>
      <c r="AN272" s="80" t="s">
        <v>39</v>
      </c>
      <c r="AO272" s="68" t="str">
        <f t="shared" si="6"/>
        <v>Socialny podnik obce Slavosovce s.r.o., r.s.p. polnohospodarstvo a lesnictvo, stavebnictvo, &amp;#32vsetky kategorie  049 36 Slavosovce Pripravne prace k realizacii stavieb, usktutocnovanie stavieb a ich zmien, dokoncovacie stavebne prace. Zamestnanim znevyhodnenych uchadzacov o pracu vo vyske 30% z celkoveho poctu zamestnancov. Socialny podnik obce Slavosovce, s.r.o., r.s.p. Stavebne prace k realizacii stavieb, uskutocnovanie stavieb a ich zmien, dokoncovacie stavebne prace pri realizacii exterierov a interierov, poskytovanie sluzieb v polnohospodarstve a zahradnictve. zemne prace, buracie prace, dokoncovacie stavebne prace v interieri a exterieri           Register partnerov VS</v>
      </c>
      <c r="AP272" s="69" t="s">
        <v>41</v>
      </c>
    </row>
    <row r="273" ht="15.75" customHeight="1">
      <c r="A273" s="45"/>
      <c r="B273" s="70">
        <v>271.0</v>
      </c>
      <c r="C273" s="116" t="s">
        <v>3041</v>
      </c>
      <c r="D273" s="71" t="s">
        <v>181</v>
      </c>
      <c r="E273" s="43" t="str">
        <f t="shared" si="1"/>
        <v>Banskobystrický kraj, &amp;#32celé Slovensko</v>
      </c>
      <c r="F273" s="44" t="s">
        <v>756</v>
      </c>
      <c r="G273" s="43" t="str">
        <f t="shared" si="2"/>
        <v>čistiace a upratovacie služby, &amp;#32všetky kategórie</v>
      </c>
      <c r="H273" s="44" t="s">
        <v>96</v>
      </c>
      <c r="I273" s="45" t="str">
        <f t="shared" si="3"/>
        <v>6 - 10, &amp;#32všetky možnosti</v>
      </c>
      <c r="J273" s="46" t="str">
        <f t="shared" si="4"/>
        <v>,Register partnerov VS</v>
      </c>
      <c r="K273" s="47">
        <f t="shared" si="5"/>
        <v>27088.74057</v>
      </c>
      <c r="L273" s="45"/>
      <c r="M273" s="49" t="str">
        <f>IFERROR(__xludf.DUMMYFUNCTION("SPLIT(O273,"","")"),"Sokolská 327/27")</f>
        <v>Sokolská 327/27</v>
      </c>
      <c r="N273" s="48" t="str">
        <f>IFERROR(__xludf.DUMMYFUNCTION("""COMPUTED_VALUE""")," 960 01 Zvolen")</f>
        <v> 960 01 Zvolen</v>
      </c>
      <c r="O273" s="122" t="s">
        <v>3042</v>
      </c>
      <c r="P273" s="50">
        <v>48.5779083</v>
      </c>
      <c r="Q273" s="109">
        <v>19.134971</v>
      </c>
      <c r="R273" s="123" t="s">
        <v>3043</v>
      </c>
      <c r="S273" s="66" t="s">
        <v>3044</v>
      </c>
      <c r="T273" s="124" t="s">
        <v>86</v>
      </c>
      <c r="U273" s="54" t="s">
        <v>3045</v>
      </c>
      <c r="V273" s="84" t="s">
        <v>3046</v>
      </c>
      <c r="W273" s="77" t="s">
        <v>3047</v>
      </c>
      <c r="X273" s="77" t="s">
        <v>3048</v>
      </c>
      <c r="Y273" s="121" t="s">
        <v>3049</v>
      </c>
      <c r="Z273" s="119" t="s">
        <v>3050</v>
      </c>
      <c r="AA273" s="125" t="s">
        <v>64</v>
      </c>
      <c r="AB273" s="64"/>
      <c r="AC273" s="64"/>
      <c r="AD273" s="64"/>
      <c r="AE273" s="64"/>
      <c r="AF273" s="65"/>
      <c r="AG273" s="65"/>
      <c r="AH273" s="65"/>
      <c r="AI273" s="65"/>
      <c r="AJ273" s="65"/>
      <c r="AK273" s="65"/>
      <c r="AL273" s="65"/>
      <c r="AM273" s="52"/>
      <c r="AN273" s="80" t="s">
        <v>39</v>
      </c>
      <c r="AO273" s="68" t="str">
        <f t="shared" si="6"/>
        <v>ROBUL Clean s.r.o. cistiace a upratovacie sluzby, &amp;#32vsetky kategorie  960 01 Zvolen Pranie a chemicke cistenie textilnych a kozusinovych vyrobkov. Poskytujeme spolocensky prospesnu sluzbu a zamestnavame zranitelne a znevyhodnene osoby. Pracovna Dudince Pranie a chemicke cistenie. Pracovna, zehlenie, cistiaren           Register partnerov VS</v>
      </c>
      <c r="AP273" s="82"/>
    </row>
    <row r="274" ht="15.75" customHeight="1">
      <c r="A274" s="45"/>
      <c r="B274" s="70">
        <v>272.0</v>
      </c>
      <c r="C274" s="116" t="s">
        <v>3051</v>
      </c>
      <c r="D274" s="71" t="s">
        <v>228</v>
      </c>
      <c r="E274" s="43" t="str">
        <f t="shared" si="1"/>
        <v>Nitriansky kraj, &amp;#32celé Slovensko</v>
      </c>
      <c r="F274" s="44" t="s">
        <v>1471</v>
      </c>
      <c r="G274" s="43" t="str">
        <f t="shared" si="2"/>
        <v>stavebníctvo, dom a záhrada, &amp;#32všetky kategórie</v>
      </c>
      <c r="H274" s="44" t="s">
        <v>96</v>
      </c>
      <c r="I274" s="45" t="str">
        <f t="shared" si="3"/>
        <v>6 - 10, &amp;#32všetky možnosti</v>
      </c>
      <c r="J274" s="46" t="str">
        <f t="shared" si="4"/>
        <v>,</v>
      </c>
      <c r="K274" s="47">
        <f t="shared" si="5"/>
        <v>33739.48371</v>
      </c>
      <c r="L274" s="45"/>
      <c r="M274" s="49" t="str">
        <f>IFERROR(__xludf.DUMMYFUNCTION("SPLIT(O274,"","")"),"Zámoryho ul. 107/14")</f>
        <v>Zámoryho ul. 107/14</v>
      </c>
      <c r="N274" s="48" t="str">
        <f>IFERROR(__xludf.DUMMYFUNCTION("""COMPUTED_VALUE""")," 945 01 Komárno")</f>
        <v> 945 01 Komárno</v>
      </c>
      <c r="O274" s="122" t="s">
        <v>3052</v>
      </c>
      <c r="P274" s="50">
        <v>47.759087</v>
      </c>
      <c r="Q274" s="109">
        <v>18.1341604</v>
      </c>
      <c r="R274" s="123" t="s">
        <v>3053</v>
      </c>
      <c r="S274" s="66" t="s">
        <v>3054</v>
      </c>
      <c r="T274" s="124" t="s">
        <v>86</v>
      </c>
      <c r="U274" s="54" t="s">
        <v>3055</v>
      </c>
      <c r="V274" s="84" t="s">
        <v>3056</v>
      </c>
      <c r="W274" s="77" t="s">
        <v>3057</v>
      </c>
      <c r="X274" s="77" t="s">
        <v>3058</v>
      </c>
      <c r="Y274" s="121" t="s">
        <v>3059</v>
      </c>
      <c r="Z274" s="119" t="s">
        <v>3060</v>
      </c>
      <c r="AA274" s="125" t="s">
        <v>64</v>
      </c>
      <c r="AB274" s="64"/>
      <c r="AC274" s="64"/>
      <c r="AD274" s="64"/>
      <c r="AE274" s="64"/>
      <c r="AF274" s="65"/>
      <c r="AG274" s="65"/>
      <c r="AH274" s="65"/>
      <c r="AI274" s="65"/>
      <c r="AJ274" s="65"/>
      <c r="AK274" s="65"/>
      <c r="AL274" s="65"/>
      <c r="AM274" s="36"/>
      <c r="AN274" s="65"/>
      <c r="AO274" s="68" t="str">
        <f t="shared" si="6"/>
        <v>MoToDoor s.r.o. stavebnictvo, dom a zahrada, &amp;#32vsetky kategorie  945 01 Komarno Sietky proti hmyzu, parapety, ohybanie plechov, zaluzie na okna. Pomahame zdravotne postihnutym ludom zaclenit sa do plnohodnotneho zivota. Motodoor s.r.o. Vyrabame rozne druhy sieti proti hmyzu, okenne parapety, zaluzie na okna a dvere. vyroba okennych, dvernych sietok proti hmyzu, parapety, zaluzie           </v>
      </c>
      <c r="AP274" s="69" t="s">
        <v>41</v>
      </c>
    </row>
    <row r="275" ht="15.75" customHeight="1">
      <c r="A275" s="45"/>
      <c r="B275" s="70">
        <v>273.0</v>
      </c>
      <c r="C275" s="116" t="s">
        <v>3061</v>
      </c>
      <c r="D275" s="71" t="s">
        <v>80</v>
      </c>
      <c r="E275" s="43" t="str">
        <f t="shared" si="1"/>
        <v>Trnavský kraj, &amp;#32celé Slovensko</v>
      </c>
      <c r="F275" s="44" t="s">
        <v>3062</v>
      </c>
      <c r="G275" s="43" t="str">
        <f t="shared" si="2"/>
        <v>dom a záhrada, zvieratá, &amp;#32všetky kategórie</v>
      </c>
      <c r="H275" s="44" t="s">
        <v>53</v>
      </c>
      <c r="I275" s="45" t="str">
        <f t="shared" si="3"/>
        <v>1 - 5, &amp;#32všetky možnosti</v>
      </c>
      <c r="J275" s="46" t="str">
        <f t="shared" si="4"/>
        <v>,</v>
      </c>
      <c r="K275" s="47">
        <f t="shared" si="5"/>
        <v>20769.77875</v>
      </c>
      <c r="L275" s="45"/>
      <c r="M275" s="49" t="str">
        <f>IFERROR(__xludf.DUMMYFUNCTION("SPLIT(O275,"","")"),"Dolná Streda 834")</f>
        <v>Dolná Streda 834</v>
      </c>
      <c r="N275" s="48" t="str">
        <f>IFERROR(__xludf.DUMMYFUNCTION("""COMPUTED_VALUE""")," 925 63 Dolná Streda")</f>
        <v> 925 63 Dolná Streda</v>
      </c>
      <c r="O275" s="122" t="s">
        <v>3063</v>
      </c>
      <c r="P275" s="50">
        <v>48.2678336</v>
      </c>
      <c r="Q275" s="109">
        <v>17.7500814</v>
      </c>
      <c r="R275" s="123" t="s">
        <v>3064</v>
      </c>
      <c r="S275" s="66" t="s">
        <v>3065</v>
      </c>
      <c r="T275" s="124" t="s">
        <v>86</v>
      </c>
      <c r="U275" s="54" t="s">
        <v>3066</v>
      </c>
      <c r="V275" s="84" t="s">
        <v>3067</v>
      </c>
      <c r="W275" s="77" t="s">
        <v>3068</v>
      </c>
      <c r="X275" s="77" t="s">
        <v>3069</v>
      </c>
      <c r="Y275" s="121" t="s">
        <v>3070</v>
      </c>
      <c r="Z275" s="119" t="s">
        <v>3071</v>
      </c>
      <c r="AA275" s="125" t="s">
        <v>64</v>
      </c>
      <c r="AB275" s="64"/>
      <c r="AC275" s="64"/>
      <c r="AD275" s="64"/>
      <c r="AE275" s="64"/>
      <c r="AF275" s="65"/>
      <c r="AG275" s="65"/>
      <c r="AH275" s="65"/>
      <c r="AI275" s="65"/>
      <c r="AJ275" s="65"/>
      <c r="AK275" s="65"/>
      <c r="AL275" s="65"/>
      <c r="AM275" s="36"/>
      <c r="AN275" s="65"/>
      <c r="AO275" s="68" t="str">
        <f t="shared" si="6"/>
        <v>Hanako Slovakia s. r. o. dom a zahrada, zvierata, &amp;#32vsetky kategorie  925 63 Dolna Streda Nas socialny podnik poskytuje:
 1. sluzby v zahradnictve - jednoduche upravy zahrad, kosenie, uprava zelene, udrzba zavlahoveho systemu, vystavba zahradnych jazier a biobazenov, realizacie zavlah, udrzba a jednoducha oprava elektrickych zariadeni pouzivanych v zahradnictve, lahke stavebne prace, upravy terenov, technicka sprava arealu a pod.
 2. vyroba krmiv pre sportovy rybolov a krmiv pre chov ryb. V nasom podniku zamestnavame 50% zdravotne postihnutych pracovnikov a nasim zamerom je ich pocet zvysovat. Zamestnanci u nas pracuju na roznych cinnostiach v exterieri ci interieri. Okrem realizacii a vyroby ich budeme zapajat aj do oblasti administrativy, marketingu, ci predaja. Hanako Slovakia s.r.o. Momentalne poskytujeme sluzby mimo nasej prevadzky priamo u zakaznikov. zahradnicke prace, zahrane jazierka, biobazen, zavlahy, predaj a vyroba krmiv pre sportovy rybolov a chov ryb           </v>
      </c>
      <c r="AP275" s="82"/>
    </row>
    <row r="276" ht="15.75" customHeight="1">
      <c r="A276" s="45"/>
      <c r="B276" s="70">
        <v>274.0</v>
      </c>
      <c r="C276" s="116" t="s">
        <v>3072</v>
      </c>
      <c r="D276" s="71" t="s">
        <v>94</v>
      </c>
      <c r="E276" s="43" t="str">
        <f t="shared" si="1"/>
        <v>Bratislavský kraj, &amp;#32celé Slovensko</v>
      </c>
      <c r="F276" s="44" t="s">
        <v>1317</v>
      </c>
      <c r="G276" s="43" t="str">
        <f t="shared" si="2"/>
        <v>ochrana a bezpečnosť, &amp;#32všetky kategórie</v>
      </c>
      <c r="H276" s="44" t="s">
        <v>170</v>
      </c>
      <c r="I276" s="45" t="str">
        <f t="shared" si="3"/>
        <v>21 a viac, &amp;#32všetky možnosti</v>
      </c>
      <c r="J276" s="46" t="str">
        <f t="shared" si="4"/>
        <v>,Register partnerov VS</v>
      </c>
      <c r="K276" s="47">
        <f t="shared" si="5"/>
        <v>36267.96176</v>
      </c>
      <c r="L276" s="45"/>
      <c r="M276" s="49" t="str">
        <f>IFERROR(__xludf.DUMMYFUNCTION("SPLIT(O276,"","")"),"Zámocká 22")</f>
        <v>Zámocká 22</v>
      </c>
      <c r="N276" s="48" t="str">
        <f>IFERROR(__xludf.DUMMYFUNCTION("""COMPUTED_VALUE""")," 811 01 Bratislava")</f>
        <v> 811 01 Bratislava</v>
      </c>
      <c r="O276" s="122" t="s">
        <v>3073</v>
      </c>
      <c r="P276" s="50">
        <v>48.1446362</v>
      </c>
      <c r="Q276" s="109">
        <v>17.0997278</v>
      </c>
      <c r="R276" s="123" t="s">
        <v>3074</v>
      </c>
      <c r="S276" s="66" t="s">
        <v>3075</v>
      </c>
      <c r="T276" s="124" t="s">
        <v>3076</v>
      </c>
      <c r="U276" s="54" t="s">
        <v>3077</v>
      </c>
      <c r="V276" s="84" t="s">
        <v>3078</v>
      </c>
      <c r="W276" s="77" t="s">
        <v>3079</v>
      </c>
      <c r="X276" s="77" t="s">
        <v>3072</v>
      </c>
      <c r="Y276" s="121" t="s">
        <v>3080</v>
      </c>
      <c r="Z276" s="119" t="s">
        <v>3081</v>
      </c>
      <c r="AA276" s="125" t="s">
        <v>64</v>
      </c>
      <c r="AB276" s="64"/>
      <c r="AC276" s="64"/>
      <c r="AD276" s="64"/>
      <c r="AE276" s="64"/>
      <c r="AF276" s="65"/>
      <c r="AG276" s="65"/>
      <c r="AH276" s="65"/>
      <c r="AI276" s="65"/>
      <c r="AJ276" s="65"/>
      <c r="AK276" s="65"/>
      <c r="AL276" s="65"/>
      <c r="AM276" s="52"/>
      <c r="AN276" s="80" t="s">
        <v>39</v>
      </c>
      <c r="AO276" s="68" t="str">
        <f t="shared" si="6"/>
        <v>COUPE INVEST, s. r. o. ochrana a bezpecnost, &amp;#32vsetky kategorie  811 01 Bratislava Protipoziarna ochrana, poskytovanie sluzieb v oblasti BOZP a PO. Predaj tovarov z oblasti ochrannych osobnych pracovnych prostriedkov. Zamestnavame znevyhodnene a zranitelne osoby v pocte viac ako 30% celkoveho poctu zamestnancov. COUPE INVEST, s. r. o. Protipoziarna ochrana. Poskytovanie sluzieb v oblasti BOZP a PO. Predaj tovaru - OOPP. Sluzby v oblasti BOZP a PO. Predaj tovaru: OOPP, ochranne pracovne prostriedky           Register partnerov VS</v>
      </c>
      <c r="AP276" s="82"/>
    </row>
    <row r="277" ht="15.75" customHeight="1">
      <c r="A277" s="45"/>
      <c r="B277" s="70">
        <v>275.0</v>
      </c>
      <c r="C277" s="116" t="s">
        <v>3082</v>
      </c>
      <c r="D277" s="71" t="s">
        <v>80</v>
      </c>
      <c r="E277" s="43" t="str">
        <f t="shared" si="1"/>
        <v>Trnavský kraj, &amp;#32celé Slovensko</v>
      </c>
      <c r="F277" s="44" t="s">
        <v>1349</v>
      </c>
      <c r="G277" s="43" t="str">
        <f t="shared" si="2"/>
        <v>obaly, &amp;#32všetky kategórie</v>
      </c>
      <c r="H277" s="44" t="s">
        <v>53</v>
      </c>
      <c r="I277" s="45" t="str">
        <f t="shared" si="3"/>
        <v>1 - 5, &amp;#32všetky možnosti</v>
      </c>
      <c r="J277" s="46" t="str">
        <f t="shared" si="4"/>
        <v>,Register partnerov VS</v>
      </c>
      <c r="K277" s="47">
        <f t="shared" si="5"/>
        <v>25206.28808</v>
      </c>
      <c r="L277" s="45"/>
      <c r="M277" s="49" t="str">
        <f>IFERROR(__xludf.DUMMYFUNCTION("SPLIT(O277,"","")"),"Trstice 1418")</f>
        <v>Trstice 1418</v>
      </c>
      <c r="N277" s="48" t="str">
        <f>IFERROR(__xludf.DUMMYFUNCTION("""COMPUTED_VALUE""")," 925 42 Trstice")</f>
        <v> 925 42 Trstice</v>
      </c>
      <c r="O277" s="122" t="s">
        <v>3083</v>
      </c>
      <c r="P277" s="50">
        <v>48.0169535</v>
      </c>
      <c r="Q277" s="109">
        <v>17.8057116</v>
      </c>
      <c r="R277" s="102" t="s">
        <v>3084</v>
      </c>
      <c r="S277" s="66" t="s">
        <v>1759</v>
      </c>
      <c r="T277" s="124" t="s">
        <v>86</v>
      </c>
      <c r="U277" s="54" t="s">
        <v>3085</v>
      </c>
      <c r="V277" s="84" t="s">
        <v>3086</v>
      </c>
      <c r="W277" s="77" t="s">
        <v>3087</v>
      </c>
      <c r="X277" s="77" t="s">
        <v>3088</v>
      </c>
      <c r="Y277" s="121" t="s">
        <v>3084</v>
      </c>
      <c r="Z277" s="119" t="s">
        <v>3089</v>
      </c>
      <c r="AA277" s="125" t="s">
        <v>64</v>
      </c>
      <c r="AB277" s="64"/>
      <c r="AC277" s="64"/>
      <c r="AD277" s="64"/>
      <c r="AE277" s="64"/>
      <c r="AF277" s="65"/>
      <c r="AG277" s="65"/>
      <c r="AH277" s="65"/>
      <c r="AI277" s="65"/>
      <c r="AJ277" s="65"/>
      <c r="AK277" s="65"/>
      <c r="AL277" s="65"/>
      <c r="AM277" s="52"/>
      <c r="AN277" s="80" t="s">
        <v>39</v>
      </c>
      <c r="AO277" s="68" t="str">
        <f t="shared" si="6"/>
        <v>L-METAL, s.r.o. obaly, &amp;#32vsetky kategorie  925 42 Trstice Vyroba vyrobkov z plastov. Zamestnavanie znevyhodnenych a zranitelnych osob. L-METAL s.r.o. Vyroba vyrobkov z plastov. plasty           Register partnerov VS</v>
      </c>
      <c r="AP277" s="69" t="s">
        <v>41</v>
      </c>
    </row>
    <row r="278" ht="15.75" customHeight="1">
      <c r="A278" s="45"/>
      <c r="B278" s="70">
        <v>276.0</v>
      </c>
      <c r="C278" s="116" t="s">
        <v>3090</v>
      </c>
      <c r="D278" s="71" t="s">
        <v>181</v>
      </c>
      <c r="E278" s="43" t="str">
        <f t="shared" si="1"/>
        <v>Banskobystrický kraj, &amp;#32celé Slovensko</v>
      </c>
      <c r="F278" s="44" t="s">
        <v>672</v>
      </c>
      <c r="G278" s="43" t="str">
        <f t="shared" si="2"/>
        <v>čistiace a upratovacie služby, dom a záhrada, &amp;#32všetky kategórie</v>
      </c>
      <c r="H278" s="44" t="s">
        <v>53</v>
      </c>
      <c r="I278" s="45" t="str">
        <f t="shared" si="3"/>
        <v>1 - 5, &amp;#32všetky možnosti</v>
      </c>
      <c r="J278" s="46" t="str">
        <f t="shared" si="4"/>
        <v>,</v>
      </c>
      <c r="K278" s="47">
        <f t="shared" si="5"/>
        <v>40472.33911</v>
      </c>
      <c r="L278" s="45"/>
      <c r="M278" s="49" t="str">
        <f>IFERROR(__xludf.DUMMYFUNCTION("SPLIT(O278,"","")"),"Železničná 7")</f>
        <v>Železničná 7</v>
      </c>
      <c r="N278" s="48" t="str">
        <f>IFERROR(__xludf.DUMMYFUNCTION("""COMPUTED_VALUE""")," 966 81 Žarnovica")</f>
        <v> 966 81 Žarnovica</v>
      </c>
      <c r="O278" s="122" t="s">
        <v>3091</v>
      </c>
      <c r="P278" s="50">
        <v>48.4846168</v>
      </c>
      <c r="Q278" s="109">
        <v>18.7247644</v>
      </c>
      <c r="R278" s="123" t="s">
        <v>3092</v>
      </c>
      <c r="S278" s="66" t="s">
        <v>3093</v>
      </c>
      <c r="T278" s="124" t="s">
        <v>86</v>
      </c>
      <c r="U278" s="54" t="s">
        <v>3094</v>
      </c>
      <c r="V278" s="84" t="s">
        <v>3095</v>
      </c>
      <c r="W278" s="77" t="s">
        <v>3096</v>
      </c>
      <c r="X278" s="77" t="s">
        <v>3097</v>
      </c>
      <c r="Y278" s="121" t="s">
        <v>3098</v>
      </c>
      <c r="Z278" s="119" t="s">
        <v>3099</v>
      </c>
      <c r="AA278" s="125" t="s">
        <v>64</v>
      </c>
      <c r="AB278" s="64"/>
      <c r="AC278" s="64"/>
      <c r="AD278" s="64"/>
      <c r="AE278" s="64"/>
      <c r="AF278" s="65"/>
      <c r="AG278" s="65"/>
      <c r="AH278" s="65"/>
      <c r="AI278" s="65"/>
      <c r="AJ278" s="65"/>
      <c r="AK278" s="65"/>
      <c r="AL278" s="65"/>
      <c r="AM278" s="36"/>
      <c r="AN278" s="65"/>
      <c r="AO278" s="68" t="str">
        <f t="shared" si="6"/>
        <v>J J M T, s.r.o. cistiace a upratovacie sluzby, dom a zahrada, &amp;#32vsetky kategorie  966 81 Zarnovica Zakaznikom ponukame pranie, cistenie bielizne, cistenie zariadenia bytov a domov, jednoduchu udrzbu zariadeni domov a bytov, osobne sluzby. Opravujeme osobne potreby a potreby pre domacnost. Robime predaj drogerie na pranie a cistenie. Uvedene sluzby ponukame s dovozom zakaznikovi. Podporujeme regionalny rozvoj a zamestnanost, socialnu pomoc obyvatelstvu, sluzby poskytujeme so zretelom na ochranu zivotneho prostredia a zdravia obyvatelstva. Cistiaren, pracovna a predaj drogerie Perunka Zarnovica. Ponukame sluzby obyvatelstvu a firmam - cistenie a pranie bielizne, cistenie zariadenia bytov a domov, poskytovanie sluzieb osobneho charakteru obyvatelstvu so zretelom na ochranu zivotneho prostredia a zdravia. pracovna, cistiaren, predaj drogerie na pranie a cistenie. Kosenie a drobna udrzba domov a bytov.           </v>
      </c>
      <c r="AP278" s="82"/>
    </row>
    <row r="279" ht="15.75" customHeight="1">
      <c r="A279" s="45"/>
      <c r="B279" s="70">
        <v>277.0</v>
      </c>
      <c r="C279" s="116" t="s">
        <v>3100</v>
      </c>
      <c r="D279" s="71" t="s">
        <v>66</v>
      </c>
      <c r="E279" s="43" t="str">
        <f t="shared" si="1"/>
        <v>Žilinský kraj, &amp;#32celé Slovensko</v>
      </c>
      <c r="F279" s="44" t="s">
        <v>3101</v>
      </c>
      <c r="G279" s="43" t="str">
        <f t="shared" si="2"/>
        <v>stavebníctvo, dom a záhrada, ochrana a bezpečnosť, &amp;#32všetky kategórie</v>
      </c>
      <c r="H279" s="44" t="s">
        <v>53</v>
      </c>
      <c r="I279" s="45" t="str">
        <f t="shared" si="3"/>
        <v>1 - 5, &amp;#32všetky možnosti</v>
      </c>
      <c r="J279" s="46" t="str">
        <f t="shared" si="4"/>
        <v>,Register partnerov VS</v>
      </c>
      <c r="K279" s="47">
        <f t="shared" si="5"/>
        <v>20650.13068</v>
      </c>
      <c r="L279" s="45"/>
      <c r="M279" s="49" t="str">
        <f>IFERROR(__xludf.DUMMYFUNCTION("SPLIT(O279,"","")"),"Hurbanova 7")</f>
        <v>Hurbanova 7</v>
      </c>
      <c r="N279" s="48" t="str">
        <f>IFERROR(__xludf.DUMMYFUNCTION("""COMPUTED_VALUE""")," 036 01 Martin")</f>
        <v> 036 01 Martin</v>
      </c>
      <c r="O279" s="122" t="s">
        <v>3102</v>
      </c>
      <c r="P279" s="50">
        <v>49.0835318</v>
      </c>
      <c r="Q279" s="109">
        <v>18.9322332</v>
      </c>
      <c r="R279" s="102" t="s">
        <v>3103</v>
      </c>
      <c r="S279" s="66" t="s">
        <v>3104</v>
      </c>
      <c r="T279" s="124" t="s">
        <v>3105</v>
      </c>
      <c r="U279" s="54" t="s">
        <v>3106</v>
      </c>
      <c r="V279" s="84" t="s">
        <v>3107</v>
      </c>
      <c r="W279" s="77" t="s">
        <v>3108</v>
      </c>
      <c r="X279" s="77" t="s">
        <v>3100</v>
      </c>
      <c r="Y279" s="121" t="s">
        <v>3109</v>
      </c>
      <c r="Z279" s="119" t="s">
        <v>3110</v>
      </c>
      <c r="AA279" s="125" t="s">
        <v>64</v>
      </c>
      <c r="AB279" s="64"/>
      <c r="AC279" s="64"/>
      <c r="AD279" s="64"/>
      <c r="AE279" s="64"/>
      <c r="AF279" s="65"/>
      <c r="AG279" s="65"/>
      <c r="AH279" s="65"/>
      <c r="AI279" s="65"/>
      <c r="AJ279" s="65"/>
      <c r="AK279" s="65"/>
      <c r="AL279" s="65"/>
      <c r="AM279" s="52"/>
      <c r="AN279" s="80" t="s">
        <v>39</v>
      </c>
      <c r="AO279" s="68" t="str">
        <f t="shared" si="6"/>
        <v>Miror, s.r.o. stavebnictvo, dom a zahrada, ochrana a bezpecnost, &amp;#32vsetky kategorie  036 01 Martin Nasim zakaznikom moze byt kazdy majitel komina, pece, kotla a krbu v domacnosti i vo firme - prace realizujeme v novostavbach aj v starsich budovach, rodinnych domoch aj firmach. Zapajame vykurovacie zariadenia - kotle, kachlove aj ine druhy peci, staviame a vlozkujeme kominove systemy, cistime aj kompletne zarucne a pozarucne servisujeme tieto systemy vratane reviznych sprav ku kolaudaciam, staviame kachlove pece ako sposob zdraveho vykurovania domacnosti aj podnikov. Podpora zamestnanosti Miror, s.r.o. Zapajame vykurovacie zariadenia - kotle, kachlove aj ine druhy peci, staviame a vlozkujeme kominove systemy, cistime aj kompletne ich zarucne aj pozarucne servisujeme vratane reviznych sprav ku kolaudaciam. Kachlove pece staviame ako sposob zdraveho vykurovania domacnosti aj podnikov. Prace realizujeme v novostavbach aj v starsich budovach rodinnych domov aj firiem. kominarske prace, servis opravy a vystavby kominov, zapajanie peci a kotlov, revizie kominovych systemov a kominov, kachlove pece           Register partnerov VS</v>
      </c>
      <c r="AP279" s="82"/>
    </row>
    <row r="280" ht="15.75" customHeight="1">
      <c r="A280" s="45"/>
      <c r="B280" s="70">
        <v>278.0</v>
      </c>
      <c r="C280" s="116" t="s">
        <v>3111</v>
      </c>
      <c r="D280" s="71" t="s">
        <v>80</v>
      </c>
      <c r="E280" s="43" t="str">
        <f t="shared" si="1"/>
        <v>Trnavský kraj, &amp;#32celé Slovensko</v>
      </c>
      <c r="F280" s="44" t="s">
        <v>3112</v>
      </c>
      <c r="G280" s="43" t="str">
        <f t="shared" si="2"/>
        <v>vzdelávanie, &amp;#32všetky kategórie</v>
      </c>
      <c r="H280" s="44" t="s">
        <v>53</v>
      </c>
      <c r="I280" s="45" t="str">
        <f t="shared" si="3"/>
        <v>1 - 5, &amp;#32všetky možnosti</v>
      </c>
      <c r="J280" s="46" t="str">
        <f t="shared" si="4"/>
        <v>,</v>
      </c>
      <c r="K280" s="47">
        <f t="shared" si="5"/>
        <v>21170.29367</v>
      </c>
      <c r="L280" s="45"/>
      <c r="M280" s="49" t="str">
        <f>IFERROR(__xludf.DUMMYFUNCTION("SPLIT(O280,"","")"),"Nám. SNP 197/45")</f>
        <v>Nám. SNP 197/45</v>
      </c>
      <c r="N280" s="48" t="str">
        <f>IFERROR(__xludf.DUMMYFUNCTION("""COMPUTED_VALUE""")," 929 01 Dunajská Streda")</f>
        <v> 929 01 Dunajská Streda</v>
      </c>
      <c r="O280" s="122" t="s">
        <v>3113</v>
      </c>
      <c r="P280" s="50">
        <v>48.0061855</v>
      </c>
      <c r="Q280" s="109">
        <v>17.6228177</v>
      </c>
      <c r="R280" s="102" t="s">
        <v>3114</v>
      </c>
      <c r="S280" s="66" t="s">
        <v>3115</v>
      </c>
      <c r="T280" s="124" t="s">
        <v>86</v>
      </c>
      <c r="U280" s="54" t="s">
        <v>3116</v>
      </c>
      <c r="V280" s="84" t="s">
        <v>3117</v>
      </c>
      <c r="W280" s="77" t="s">
        <v>3118</v>
      </c>
      <c r="X280" s="77" t="s">
        <v>3111</v>
      </c>
      <c r="Y280" s="121" t="s">
        <v>3119</v>
      </c>
      <c r="Z280" s="119" t="s">
        <v>3120</v>
      </c>
      <c r="AA280" s="125" t="s">
        <v>64</v>
      </c>
      <c r="AB280" s="64"/>
      <c r="AC280" s="64"/>
      <c r="AD280" s="64"/>
      <c r="AE280" s="64"/>
      <c r="AF280" s="65"/>
      <c r="AG280" s="65"/>
      <c r="AH280" s="65"/>
      <c r="AI280" s="65"/>
      <c r="AJ280" s="65"/>
      <c r="AK280" s="65"/>
      <c r="AL280" s="65"/>
      <c r="AM280" s="36"/>
      <c r="AN280" s="65"/>
      <c r="AO280" s="68" t="str">
        <f t="shared" si="6"/>
        <v>ADVENTIM n.o. vzdelavanie, &amp;#32vsetky kategorie  929 01 Dunajska Streda Nas socialny podnik sa zaobera vzdelavacou cinnostou a poskytovanim volnocasovych aktivit. Pozitivny socialny vplyv dosahujeme zamestnavanim zdravotne znevyhodnenych zamestnancov a doplnkovym vzdelavanim ziakov s roznymi druhmi znevyhodnenia. ADVENTIM n.o. Vzdelavanie, mimoskolske aktivity, hand made dielne. poradenstvo pri zalozeni podniku, jazykove korektury textov v slovenskom jazyku, kurzy hand made z odpadovych materialov, kurzy pre makke zrucnosti podnikatelov, soft skills, editacia textov           </v>
      </c>
      <c r="AP280" s="82"/>
    </row>
    <row r="281" ht="15.75" customHeight="1">
      <c r="A281" s="45"/>
      <c r="B281" s="70">
        <v>279.0</v>
      </c>
      <c r="C281" s="116" t="s">
        <v>3121</v>
      </c>
      <c r="D281" s="71" t="s">
        <v>66</v>
      </c>
      <c r="E281" s="43" t="str">
        <f t="shared" si="1"/>
        <v>Žilinský kraj, &amp;#32celé Slovensko</v>
      </c>
      <c r="F281" s="44" t="s">
        <v>1033</v>
      </c>
      <c r="G281" s="43" t="str">
        <f t="shared" si="2"/>
        <v>čistiace a upratovacie služby, dom a záhrada, stavebníctvo, &amp;#32všetky kategórie</v>
      </c>
      <c r="H281" s="44" t="s">
        <v>82</v>
      </c>
      <c r="I281" s="45" t="str">
        <f t="shared" si="3"/>
        <v>11 - 15, &amp;#32všetky možnosti</v>
      </c>
      <c r="J281" s="46" t="str">
        <f t="shared" si="4"/>
        <v>,Register partnerov VS</v>
      </c>
      <c r="K281" s="47">
        <f t="shared" si="5"/>
        <v>44526.05811</v>
      </c>
      <c r="L281" s="45"/>
      <c r="M281" s="49" t="str">
        <f>IFERROR(__xludf.DUMMYFUNCTION("SPLIT(O281,"","")"),"Zborov nad Bystricou 223")</f>
        <v>Zborov nad Bystricou 223</v>
      </c>
      <c r="N281" s="48" t="str">
        <f>IFERROR(__xludf.DUMMYFUNCTION("""COMPUTED_VALUE""")," 023 03 Zborov nad Bystricou")</f>
        <v> 023 03 Zborov nad Bystricou</v>
      </c>
      <c r="O281" s="122" t="s">
        <v>3122</v>
      </c>
      <c r="P281" s="50">
        <v>49.3807075</v>
      </c>
      <c r="Q281" s="109">
        <v>18.8844955</v>
      </c>
      <c r="R281" s="123" t="s">
        <v>3123</v>
      </c>
      <c r="S281" s="66" t="s">
        <v>3124</v>
      </c>
      <c r="T281" s="124" t="s">
        <v>3125</v>
      </c>
      <c r="U281" s="54" t="s">
        <v>3126</v>
      </c>
      <c r="V281" s="84" t="s">
        <v>3127</v>
      </c>
      <c r="W281" s="77" t="s">
        <v>3128</v>
      </c>
      <c r="X281" s="77" t="s">
        <v>3121</v>
      </c>
      <c r="Y281" s="121" t="s">
        <v>3129</v>
      </c>
      <c r="Z281" s="119" t="s">
        <v>3130</v>
      </c>
      <c r="AA281" s="125" t="s">
        <v>64</v>
      </c>
      <c r="AB281" s="64"/>
      <c r="AC281" s="64"/>
      <c r="AD281" s="64"/>
      <c r="AE281" s="64"/>
      <c r="AF281" s="65"/>
      <c r="AG281" s="65"/>
      <c r="AH281" s="65"/>
      <c r="AI281" s="65"/>
      <c r="AJ281" s="65"/>
      <c r="AK281" s="65"/>
      <c r="AL281" s="65"/>
      <c r="AM281" s="52"/>
      <c r="AN281" s="80" t="s">
        <v>39</v>
      </c>
      <c r="AO281" s="68" t="str">
        <f t="shared" si="6"/>
        <v>Obecny podnik Zborov nad Bystricou s. r. o. cistiace a upratovacie sluzby, dom a zahrada, stavebnictvo, &amp;#32vsetky kategorie  023 03 Zborov nad Bystricou Obecny podnik Zborov nad Bystricou s. r. o., r. s. p, ktoreho zriadovatelom je Obec Zborov nad Bystricou, sa venuje najma drobnym stavebnym cinnostiam, maliarskym pracam, zahradkarskym pracam, ako napr. kosenie, vyrobe drevenych vyrobkov, stahovacim a upratovacim sluzbam. Tymito cinnostami sleduje svoj hlavny ciel, ktorym je dosahovanie meratelneho pozitivneho socialneho vplyvu. Vznik Obecneho podniku Zborov nad Bystricou s. r. o., r. s. p. je naplnenim snahy znizit mieru nezamestnanosti v obci, zvysit zivotnu uroven obyvatelstva a podnietit u nezamestnanych zaujem o ziskanie novych vedomosti a zrucnosti. K rozvoju zamestnanosti vyznamnou mierou prispieva najma vytvorenie a udrzanie pracovnych miest pre znevyhodnenych uchadzacov o zamestnanie. Od roku 2020 zamestnal Obecny podnik Zborov nad Bystricou s. r. o., r. s. p. 11 zamestnancov, z toho 9 znevyhodnenych uchadzacov o zamestnanie z Uradu prace, socialnych veci a rodiny v Cadci. Obecny podnik Zborov nad Bystricou s. r. o. Stavebne, maliarske a zahradkarske cinnosti - kosenie, vyroba drevenych doplnkov, stahovacie sluzby, upratovacie sluzby. zemne prace, zahradne prace, drevovyroba, stahovanie           Register partnerov VS</v>
      </c>
      <c r="AP281" s="82"/>
    </row>
    <row r="282" ht="15.75" customHeight="1">
      <c r="A282" s="45"/>
      <c r="B282" s="70">
        <v>280.0</v>
      </c>
      <c r="C282" s="116" t="s">
        <v>3131</v>
      </c>
      <c r="D282" s="71" t="s">
        <v>181</v>
      </c>
      <c r="E282" s="43" t="str">
        <f t="shared" si="1"/>
        <v>Banskobystrický kraj, &amp;#32celé Slovensko</v>
      </c>
      <c r="F282" s="44" t="s">
        <v>3132</v>
      </c>
      <c r="G282" s="43" t="str">
        <f t="shared" si="2"/>
        <v>stavebníctvo, elektro, doprava, iné (tovary a služby), &amp;#32všetky kategórie</v>
      </c>
      <c r="H282" s="44" t="s">
        <v>53</v>
      </c>
      <c r="I282" s="45" t="str">
        <f t="shared" si="3"/>
        <v>1 - 5, &amp;#32všetky možnosti</v>
      </c>
      <c r="J282" s="46" t="str">
        <f t="shared" si="4"/>
        <v>,</v>
      </c>
      <c r="K282" s="47">
        <f t="shared" si="5"/>
        <v>9646.942436</v>
      </c>
      <c r="L282" s="45"/>
      <c r="M282" s="49" t="str">
        <f>IFERROR(__xludf.DUMMYFUNCTION("SPLIT(O282,"","")"),"Štúrova 1612/86")</f>
        <v>Štúrova 1612/86</v>
      </c>
      <c r="N282" s="48" t="str">
        <f>IFERROR(__xludf.DUMMYFUNCTION("""COMPUTED_VALUE""")," 962 12 Detva")</f>
        <v> 962 12 Detva</v>
      </c>
      <c r="O282" s="122" t="s">
        <v>3133</v>
      </c>
      <c r="P282" s="50">
        <v>48.5441734</v>
      </c>
      <c r="Q282" s="109">
        <v>19.3951865</v>
      </c>
      <c r="R282" s="123" t="s">
        <v>3134</v>
      </c>
      <c r="S282" s="66" t="s">
        <v>3135</v>
      </c>
      <c r="T282" s="124" t="s">
        <v>86</v>
      </c>
      <c r="U282" s="54" t="s">
        <v>3136</v>
      </c>
      <c r="V282" s="84" t="s">
        <v>3137</v>
      </c>
      <c r="W282" s="77" t="s">
        <v>3138</v>
      </c>
      <c r="X282" s="77" t="s">
        <v>3139</v>
      </c>
      <c r="Y282" s="121" t="s">
        <v>3140</v>
      </c>
      <c r="Z282" s="119" t="s">
        <v>296</v>
      </c>
      <c r="AA282" s="125" t="s">
        <v>64</v>
      </c>
      <c r="AB282" s="64"/>
      <c r="AC282" s="64"/>
      <c r="AD282" s="64"/>
      <c r="AE282" s="64"/>
      <c r="AF282" s="65"/>
      <c r="AG282" s="65"/>
      <c r="AH282" s="65"/>
      <c r="AI282" s="65"/>
      <c r="AJ282" s="65"/>
      <c r="AK282" s="65"/>
      <c r="AL282" s="65"/>
      <c r="AM282" s="36"/>
      <c r="AN282" s="65"/>
      <c r="AO282" s="68" t="str">
        <f t="shared" si="6"/>
        <v>SP Detva s.r.o. stavebnictvo, elektro, doprava, ine (tovary a sluzby), &amp;#32vsetky kategorie  962 12 Detva Predaj komunalnej techniky s elektrickym pohonom, stavebna cinnost, spracovanie textilu. Poskytovanim sluzieb, tovarov a zamestnavanim znevyhodnenych osob. RS Detva s.r.o. Predaj komunalnej techniky na elektricky pohon, stavebnictvo, spracovanie textilu. Stavebne prace           </v>
      </c>
      <c r="AP282" s="69" t="s">
        <v>41</v>
      </c>
    </row>
    <row r="283" ht="15.75" customHeight="1">
      <c r="A283" s="45"/>
      <c r="B283" s="70">
        <v>281.0</v>
      </c>
      <c r="C283" s="116" t="s">
        <v>3141</v>
      </c>
      <c r="D283" s="71" t="s">
        <v>217</v>
      </c>
      <c r="E283" s="43" t="str">
        <f t="shared" si="1"/>
        <v>Košický kraj, &amp;#32celé Slovensko</v>
      </c>
      <c r="F283" s="44" t="s">
        <v>257</v>
      </c>
      <c r="G283" s="43" t="str">
        <f t="shared" si="2"/>
        <v>odevy a obuv, &amp;#32všetky kategórie</v>
      </c>
      <c r="H283" s="44" t="s">
        <v>82</v>
      </c>
      <c r="I283" s="45" t="str">
        <f t="shared" si="3"/>
        <v>11 - 15, &amp;#32všetky možnosti</v>
      </c>
      <c r="J283" s="46" t="str">
        <f t="shared" si="4"/>
        <v>Servisné poukážky,Register partnerov VS</v>
      </c>
      <c r="K283" s="47">
        <f t="shared" si="5"/>
        <v>34836.68</v>
      </c>
      <c r="L283" s="45"/>
      <c r="M283" s="49" t="str">
        <f>IFERROR(__xludf.DUMMYFUNCTION("SPLIT(O283,"","")"),"Košické Oľšany 145")</f>
        <v>Košické Oľšany 145</v>
      </c>
      <c r="N283" s="48" t="str">
        <f>IFERROR(__xludf.DUMMYFUNCTION("""COMPUTED_VALUE""")," 044 42 Košické Oľšany")</f>
        <v> 044 42 Košické Oľšany</v>
      </c>
      <c r="O283" s="122" t="s">
        <v>3142</v>
      </c>
      <c r="P283" s="50">
        <v>48.7268607</v>
      </c>
      <c r="Q283" s="109">
        <v>21.3435373</v>
      </c>
      <c r="R283" s="123" t="s">
        <v>3143</v>
      </c>
      <c r="S283" s="66" t="s">
        <v>3144</v>
      </c>
      <c r="T283" s="124" t="s">
        <v>3145</v>
      </c>
      <c r="U283" s="54" t="s">
        <v>3146</v>
      </c>
      <c r="V283" s="84" t="s">
        <v>3147</v>
      </c>
      <c r="W283" s="77" t="s">
        <v>3148</v>
      </c>
      <c r="X283" s="77" t="s">
        <v>3149</v>
      </c>
      <c r="Y283" s="121" t="s">
        <v>3150</v>
      </c>
      <c r="Z283" s="119" t="s">
        <v>3151</v>
      </c>
      <c r="AA283" s="125" t="s">
        <v>64</v>
      </c>
      <c r="AB283" s="64"/>
      <c r="AC283" s="64"/>
      <c r="AD283" s="64"/>
      <c r="AE283" s="64"/>
      <c r="AF283" s="65"/>
      <c r="AG283" s="65"/>
      <c r="AH283" s="65"/>
      <c r="AI283" s="65"/>
      <c r="AJ283" s="65"/>
      <c r="AK283" s="65"/>
      <c r="AL283" s="65"/>
      <c r="AM283" s="96" t="s">
        <v>320</v>
      </c>
      <c r="AN283" s="80" t="s">
        <v>39</v>
      </c>
      <c r="AO283" s="68" t="str">
        <f t="shared" si="6"/>
        <v>SWEET REVELATION s.r.o., r.s.p. odevy a obuv, &amp;#32vsetky kategorie  044 42 Kosicke Olsany V nasej ponuke su: - kupa tovaru na ucely jeho predaja konecnemu spotrebitelovi (maloobchod) alebo inym prevadzkovatelom zivnosti (velkoobchod), 
 - sprostredkovatelska cinnost v oblasti obchodu a sluzieb,
 - priprava a predaj na priamu konzumaciu zmrzliny, ak sa na jej pripravu pouziju priemyselne vyrabane koncentraty a mrazene kremy,
 - priprava a predaj na priamu konzumaciu nealkoholickych a priemyselne vyrabanych mliecnych napojov, koktailov, piva, vina a destilatov,
 - predaj cukrarenskych vyrobkov na priamu konzumaciu,
 - vedenie uctovnictva, 
 - cinnost podnikatelskych, organizacnych a ekonomickych poradcov,
 - prieskum trhu a verejnej mienky,
 - donaskova sluzba,
 - oprava odevov, textilu a bytoveho textilu, 
 - reklamne a marketingove sluzby,
 - textilna a odevna vyroba, vyroba kozenych a kozusinovych vyrobkov 
 - cistiace a upratovacie sluzby. Hlavnym cielom RSP je dosahovanie meratelneho pozitivneho socialneho vplyvu poskytovanim spolocensky prospesnej sluzby v oblasti zamestnanosti znevyhodnenych a zranitelnych osob, aby zamestnanci ziskali predajne a obchodne zrucnosti, zvladli komunikaciu a psychologiu predaja, telefonicke zrucnosti a internetovy predaj. Integracny socialny podnik bude vytvarat pracovne prilezitosti pre znevyhodnene a zranitelne osoby s cielom dat im prilezitost na otvorenom trhu prace. Predmet cinnosti, ktorym je predaj damskej mody a zamestnavanie pracovnikov so zdravotnym postihnutim (OZPS), prispieva k dosahovaniu pozitivneho socialneho vplyvu. SWEETREVELATION r.s.p., s.r.o. Kupa tovaru na ucely jeho predaja konecnemu spotrebitelovi (maloobchod) alebo inym prevadzkovatelom zivnosti (velkoobchod). Damske odevy          Servisne poukazky Register partnerov VS</v>
      </c>
      <c r="AP283" s="82"/>
    </row>
    <row r="284" ht="15.75" customHeight="1">
      <c r="A284" s="45"/>
      <c r="B284" s="70">
        <v>282.0</v>
      </c>
      <c r="C284" s="116" t="s">
        <v>3152</v>
      </c>
      <c r="D284" s="71" t="s">
        <v>228</v>
      </c>
      <c r="E284" s="43" t="str">
        <f t="shared" si="1"/>
        <v>Nitriansky kraj, &amp;#32celé Slovensko</v>
      </c>
      <c r="F284" s="44" t="s">
        <v>672</v>
      </c>
      <c r="G284" s="43" t="str">
        <f t="shared" si="2"/>
        <v>čistiace a upratovacie služby, dom a záhrada, &amp;#32všetky kategórie</v>
      </c>
      <c r="H284" s="44" t="s">
        <v>53</v>
      </c>
      <c r="I284" s="45" t="str">
        <f t="shared" si="3"/>
        <v>1 - 5, &amp;#32všetky možnosti</v>
      </c>
      <c r="J284" s="46" t="str">
        <f t="shared" si="4"/>
        <v>,</v>
      </c>
      <c r="K284" s="47">
        <f t="shared" si="5"/>
        <v>6084.491994</v>
      </c>
      <c r="L284" s="45"/>
      <c r="M284" s="49" t="str">
        <f>IFERROR(__xludf.DUMMYFUNCTION("SPLIT(O284,"","")"),"Čaka 398")</f>
        <v>Čaka 398</v>
      </c>
      <c r="N284" s="48" t="str">
        <f>IFERROR(__xludf.DUMMYFUNCTION("""COMPUTED_VALUE""")," 935 68 Čaka")</f>
        <v> 935 68 Čaka</v>
      </c>
      <c r="O284" s="122" t="s">
        <v>3153</v>
      </c>
      <c r="P284" s="50">
        <v>48.0397553</v>
      </c>
      <c r="Q284" s="109">
        <v>18.4693547</v>
      </c>
      <c r="R284" s="123" t="s">
        <v>3154</v>
      </c>
      <c r="S284" s="66" t="s">
        <v>3155</v>
      </c>
      <c r="T284" s="124" t="s">
        <v>86</v>
      </c>
      <c r="U284" s="54" t="s">
        <v>3156</v>
      </c>
      <c r="V284" s="84" t="s">
        <v>3157</v>
      </c>
      <c r="W284" s="77" t="s">
        <v>3158</v>
      </c>
      <c r="X284" s="77" t="s">
        <v>3159</v>
      </c>
      <c r="Y284" s="121" t="s">
        <v>3160</v>
      </c>
      <c r="Z284" s="119" t="s">
        <v>3161</v>
      </c>
      <c r="AA284" s="125" t="s">
        <v>64</v>
      </c>
      <c r="AB284" s="64"/>
      <c r="AC284" s="64"/>
      <c r="AD284" s="64"/>
      <c r="AE284" s="64"/>
      <c r="AF284" s="65"/>
      <c r="AG284" s="65"/>
      <c r="AH284" s="65"/>
      <c r="AI284" s="65"/>
      <c r="AJ284" s="65"/>
      <c r="AK284" s="65"/>
      <c r="AL284" s="65"/>
      <c r="AM284" s="36"/>
      <c r="AN284" s="65"/>
      <c r="AO284" s="68" t="str">
        <f t="shared" si="6"/>
        <v>Edenal, s. r. o. cistiace a upratovacie sluzby, dom a zahrada, &amp;#32vsetky kategorie  935 68 Caka Poskytovanie sluzieb v polnohospodarstve a zahradnictve, cistiace a upratovacie sluzby. Vytvaranim pracovnych miest pre znevyhodnene osoby i pre marginalizovane skupiny v spolocnosti, ich pracovnych navykov, cim umoznujeme ich zaradenie do spolocenskeho zivota na dedine. Budujeme eko farmu, chceme produkovat a verejnosti poskytovat kvalitne ovocne a zeleninove potraviny.  Rozvozom potravin a liekov chceme zvysit zivotny komfort predovsetkym imobilnej, pripadne odkazanej skupiny osob, ulahcit tazky zivot na vidieku starsim osobam, predovsetkym zenam nad 70 rokov s pracami v zahrade, vinohrade, ci ovocnom sade, pripravit palivove drevo od jeho napilenia, nastiepkovania az po ulozenie. Realizujeme male opravy na stavbach, drobne vykopove prace, cistenie odkvapov, opravu striech pri zatekani, atd. Edenal, s.r.o. Upratovanie a cistiace prace. upratovanie, cistenie, kosenie, zahrada           </v>
      </c>
      <c r="AP284" s="82"/>
    </row>
    <row r="285" ht="15.75" customHeight="1">
      <c r="A285" s="45"/>
      <c r="B285" s="70">
        <v>283.0</v>
      </c>
      <c r="C285" s="116" t="s">
        <v>3162</v>
      </c>
      <c r="D285" s="71" t="s">
        <v>181</v>
      </c>
      <c r="E285" s="43" t="str">
        <f t="shared" si="1"/>
        <v>Banskobystrický kraj, &amp;#32celé Slovensko</v>
      </c>
      <c r="F285" s="44" t="s">
        <v>1106</v>
      </c>
      <c r="G285" s="43" t="str">
        <f t="shared" si="2"/>
        <v>stavebníctvo, &amp;#32všetky kategórie</v>
      </c>
      <c r="H285" s="44" t="s">
        <v>53</v>
      </c>
      <c r="I285" s="45" t="str">
        <f t="shared" si="3"/>
        <v>1 - 5, &amp;#32všetky možnosti</v>
      </c>
      <c r="J285" s="46" t="str">
        <f t="shared" si="4"/>
        <v>,Register partnerov VS</v>
      </c>
      <c r="K285" s="47">
        <f t="shared" si="5"/>
        <v>18691.09222</v>
      </c>
      <c r="L285" s="45"/>
      <c r="M285" s="49" t="str">
        <f>IFERROR(__xludf.DUMMYFUNCTION("SPLIT(O285,"","")"),"Janice 18")</f>
        <v>Janice 18</v>
      </c>
      <c r="N285" s="48" t="str">
        <f>IFERROR(__xludf.DUMMYFUNCTION("""COMPUTED_VALUE""")," 980 42 Janice")</f>
        <v> 980 42 Janice</v>
      </c>
      <c r="O285" s="122" t="s">
        <v>3163</v>
      </c>
      <c r="P285" s="50">
        <v>48.2800844</v>
      </c>
      <c r="Q285" s="109">
        <v>20.2144708</v>
      </c>
      <c r="R285" s="123" t="s">
        <v>3164</v>
      </c>
      <c r="S285" s="66" t="s">
        <v>3165</v>
      </c>
      <c r="T285" s="124" t="s">
        <v>86</v>
      </c>
      <c r="U285" s="54" t="s">
        <v>3166</v>
      </c>
      <c r="V285" s="84" t="s">
        <v>3167</v>
      </c>
      <c r="W285" s="77" t="s">
        <v>3168</v>
      </c>
      <c r="X285" s="77" t="s">
        <v>3169</v>
      </c>
      <c r="Y285" s="121" t="s">
        <v>3170</v>
      </c>
      <c r="Z285" s="119" t="s">
        <v>3171</v>
      </c>
      <c r="AA285" s="125" t="s">
        <v>64</v>
      </c>
      <c r="AB285" s="64"/>
      <c r="AC285" s="64"/>
      <c r="AD285" s="64"/>
      <c r="AE285" s="64"/>
      <c r="AF285" s="65"/>
      <c r="AG285" s="65"/>
      <c r="AH285" s="65"/>
      <c r="AI285" s="65"/>
      <c r="AJ285" s="65"/>
      <c r="AK285" s="65"/>
      <c r="AL285" s="65"/>
      <c r="AM285" s="52"/>
      <c r="AN285" s="80" t="s">
        <v>39</v>
      </c>
      <c r="AO285" s="68" t="str">
        <f t="shared" si="6"/>
        <v>Regio plus s.r.o. stavebnictvo, &amp;#32vsetky kategorie  980 42 Janice Poskytovanie komplexnych sluzieb v oblasti stavebnictva so zameranim na vystavbu zemnych a vzdusnych sieti v oblasti telekomunikacii, realizacia mensich stavieb a udrziavacich prac pre lokalne samospravy. Zamestnavanie socialne znevyhodnych skupin. Regio plus s.r.o Mensie stavebne prace, vystavba zemnych a vzdusnych telekomunikacnych sieti, stavebne prace, vystavba zemnych a vzdusnych telekomunikacnych sieti           Register partnerov VS</v>
      </c>
      <c r="AP285" s="82"/>
    </row>
    <row r="286" ht="15.75" customHeight="1">
      <c r="A286" s="45"/>
      <c r="B286" s="70">
        <v>284.0</v>
      </c>
      <c r="C286" s="116" t="s">
        <v>3172</v>
      </c>
      <c r="D286" s="71" t="s">
        <v>181</v>
      </c>
      <c r="E286" s="43" t="str">
        <f t="shared" si="1"/>
        <v>Banskobystrický kraj, &amp;#32celé Slovensko</v>
      </c>
      <c r="F286" s="44" t="s">
        <v>3173</v>
      </c>
      <c r="G286" s="43" t="str">
        <f t="shared" si="2"/>
        <v>účtovníctvo a poradenstvo, potraviny a nápoje, &amp;#32všetky kategórie</v>
      </c>
      <c r="H286" s="44" t="s">
        <v>53</v>
      </c>
      <c r="I286" s="45" t="str">
        <f t="shared" si="3"/>
        <v>1 - 5, &amp;#32všetky možnosti</v>
      </c>
      <c r="J286" s="46" t="str">
        <f t="shared" si="4"/>
        <v>,</v>
      </c>
      <c r="K286" s="47">
        <f t="shared" si="5"/>
        <v>30385.08564</v>
      </c>
      <c r="L286" s="45"/>
      <c r="M286" s="49" t="str">
        <f>IFERROR(__xludf.DUMMYFUNCTION("SPLIT(O286,"","")"),"Slovenské Ďarmoty 141")</f>
        <v>Slovenské Ďarmoty 141</v>
      </c>
      <c r="N286" s="48" t="str">
        <f>IFERROR(__xludf.DUMMYFUNCTION("""COMPUTED_VALUE""")," 991 07 Slovenské Ďarmoty")</f>
        <v> 991 07 Slovenské Ďarmoty</v>
      </c>
      <c r="O286" s="122" t="s">
        <v>3174</v>
      </c>
      <c r="P286" s="50">
        <v>48.0938976</v>
      </c>
      <c r="Q286" s="109">
        <v>19.2877884</v>
      </c>
      <c r="R286" s="123" t="s">
        <v>3175</v>
      </c>
      <c r="S286" s="66" t="s">
        <v>3176</v>
      </c>
      <c r="T286" s="124" t="s">
        <v>86</v>
      </c>
      <c r="U286" s="54" t="s">
        <v>3177</v>
      </c>
      <c r="V286" s="84" t="s">
        <v>3178</v>
      </c>
      <c r="W286" s="77" t="s">
        <v>3179</v>
      </c>
      <c r="X286" s="77" t="s">
        <v>3180</v>
      </c>
      <c r="Y286" s="121" t="s">
        <v>3181</v>
      </c>
      <c r="Z286" s="119" t="s">
        <v>3182</v>
      </c>
      <c r="AA286" s="125" t="s">
        <v>64</v>
      </c>
      <c r="AB286" s="64"/>
      <c r="AC286" s="64"/>
      <c r="AD286" s="64"/>
      <c r="AE286" s="64"/>
      <c r="AF286" s="65"/>
      <c r="AG286" s="65"/>
      <c r="AH286" s="65"/>
      <c r="AI286" s="64"/>
      <c r="AJ286" s="65"/>
      <c r="AK286" s="65"/>
      <c r="AL286" s="65"/>
      <c r="AM286" s="36"/>
      <c r="AN286" s="65"/>
      <c r="AO286" s="68" t="str">
        <f t="shared" si="6"/>
        <v>PAPUCA VK s. r. o. uctovnictvo a poradenstvo, potraviny a napoje, &amp;#32vsetky kategorie  991 07 Slovenske Darmoty Sluzby pohostinstiev, administrativne sluzby a vedenie uctovnictva. Hlavnou cinnostou je poskytovanie sluzieb rychleho obcerstvenia, administrativne sluzby a vedenie uctovnictva. Zamestnavame znevyhodnene a/alebo zranitelne osoby. PAPUCA VK s.r.o. Sluzby pohostinstiev, administrativne sluzby, vedenie uctovnictva. sluzby pohostinstiev, administrativne sluzby, uctovnictvo, rychle obcerstvenie, bufet, krcma           </v>
      </c>
      <c r="AP286" s="82"/>
    </row>
    <row r="287" ht="15.75" customHeight="1">
      <c r="A287" s="45"/>
      <c r="B287" s="70">
        <v>285.0</v>
      </c>
      <c r="C287" s="116" t="s">
        <v>3183</v>
      </c>
      <c r="D287" s="71" t="s">
        <v>94</v>
      </c>
      <c r="E287" s="43" t="str">
        <f t="shared" si="1"/>
        <v>Bratislavský kraj, &amp;#32celé Slovensko</v>
      </c>
      <c r="F287" s="44" t="s">
        <v>396</v>
      </c>
      <c r="G287" s="43" t="str">
        <f t="shared" si="2"/>
        <v>iné (tovary a služby), &amp;#32všetky kategórie</v>
      </c>
      <c r="H287" s="44" t="s">
        <v>53</v>
      </c>
      <c r="I287" s="45" t="str">
        <f t="shared" si="3"/>
        <v>1 - 5, &amp;#32všetky možnosti</v>
      </c>
      <c r="J287" s="46" t="str">
        <f t="shared" si="4"/>
        <v>,Register partnerov VS</v>
      </c>
      <c r="K287" s="47">
        <f t="shared" si="5"/>
        <v>6912.593822</v>
      </c>
      <c r="L287" s="45"/>
      <c r="M287" s="49" t="str">
        <f>IFERROR(__xludf.DUMMYFUNCTION("SPLIT(O287,"","")"),"Rovniankova 12")</f>
        <v>Rovniankova 12</v>
      </c>
      <c r="N287" s="48" t="str">
        <f>IFERROR(__xludf.DUMMYFUNCTION("""COMPUTED_VALUE""")," 85102 Bratislava-Petržalka")</f>
        <v> 85102 Bratislava-Petržalka</v>
      </c>
      <c r="O287" s="122" t="s">
        <v>3184</v>
      </c>
      <c r="P287" s="50">
        <v>48.1151162</v>
      </c>
      <c r="Q287" s="109">
        <v>17.1099004</v>
      </c>
      <c r="R287" s="102" t="s">
        <v>3185</v>
      </c>
      <c r="S287" s="66" t="s">
        <v>3186</v>
      </c>
      <c r="T287" s="124" t="s">
        <v>86</v>
      </c>
      <c r="U287" s="54" t="s">
        <v>3187</v>
      </c>
      <c r="V287" s="84" t="s">
        <v>3188</v>
      </c>
      <c r="W287" s="77" t="s">
        <v>3189</v>
      </c>
      <c r="X287" s="77" t="s">
        <v>3190</v>
      </c>
      <c r="Y287" s="121" t="s">
        <v>3191</v>
      </c>
      <c r="Z287" s="119" t="s">
        <v>3192</v>
      </c>
      <c r="AA287" s="125" t="s">
        <v>64</v>
      </c>
      <c r="AB287" s="64"/>
      <c r="AC287" s="64"/>
      <c r="AD287" s="64"/>
      <c r="AE287" s="64"/>
      <c r="AF287" s="65"/>
      <c r="AG287" s="65"/>
      <c r="AH287" s="65"/>
      <c r="AI287" s="64"/>
      <c r="AJ287" s="65"/>
      <c r="AK287" s="65"/>
      <c r="AL287" s="65"/>
      <c r="AM287" s="52"/>
      <c r="AN287" s="80" t="s">
        <v>39</v>
      </c>
      <c r="AO287" s="68" t="str">
        <f t="shared" si="6"/>
        <v>Solcom Media s. r. o. ine (tovary a sluzby), &amp;#32vsetky kategorie  85102 Bratislava-Petrzalka Vyroba parfumovych osviezovacov vzduchu do automobilov a inych priestorov. Vytvarame pracovne miesta pre zdravotne ci inak znevyhodnenych ludi. Fresh and Funny Vyroba parfumovych osviezovacov. Parfumove osviezovace, vonacky,           Register partnerov VS</v>
      </c>
      <c r="AP287" s="69" t="s">
        <v>41</v>
      </c>
    </row>
    <row r="288" ht="15.75" customHeight="1">
      <c r="A288" s="45"/>
      <c r="B288" s="70">
        <v>286.0</v>
      </c>
      <c r="C288" s="116" t="s">
        <v>3193</v>
      </c>
      <c r="D288" s="71" t="s">
        <v>134</v>
      </c>
      <c r="E288" s="43" t="str">
        <f t="shared" si="1"/>
        <v>Trenčiansky kraj, &amp;#32celé Slovensko</v>
      </c>
      <c r="F288" s="44" t="s">
        <v>3194</v>
      </c>
      <c r="G288" s="43" t="str">
        <f t="shared" si="2"/>
        <v>doprava, elektro, auto-moto, kovovýroba, &amp;#32všetky kategórie</v>
      </c>
      <c r="H288" s="44" t="s">
        <v>170</v>
      </c>
      <c r="I288" s="45" t="str">
        <f t="shared" si="3"/>
        <v>21 a viac, &amp;#32všetky možnosti</v>
      </c>
      <c r="J288" s="46" t="str">
        <f t="shared" si="4"/>
        <v>,Register partnerov VS</v>
      </c>
      <c r="K288" s="47">
        <f t="shared" si="5"/>
        <v>33197.88291</v>
      </c>
      <c r="L288" s="45"/>
      <c r="M288" s="49" t="str">
        <f>IFERROR(__xludf.DUMMYFUNCTION("SPLIT(O288,"","")"),"Piešťanská 31/A")</f>
        <v>Piešťanská 31/A</v>
      </c>
      <c r="N288" s="48" t="str">
        <f>IFERROR(__xludf.DUMMYFUNCTION("""COMPUTED_VALUE""")," 915 01 Nové Mesto nad Váhom")</f>
        <v> 915 01 Nové Mesto nad Váhom</v>
      </c>
      <c r="O288" s="122" t="s">
        <v>3195</v>
      </c>
      <c r="P288" s="50">
        <v>48.734823</v>
      </c>
      <c r="Q288" s="109">
        <v>17.8382022</v>
      </c>
      <c r="R288" s="102" t="s">
        <v>3196</v>
      </c>
      <c r="S288" s="66" t="s">
        <v>3197</v>
      </c>
      <c r="T288" s="124" t="s">
        <v>86</v>
      </c>
      <c r="U288" s="54" t="s">
        <v>3198</v>
      </c>
      <c r="V288" s="84" t="s">
        <v>3199</v>
      </c>
      <c r="W288" s="77" t="s">
        <v>3200</v>
      </c>
      <c r="X288" s="77" t="s">
        <v>3201</v>
      </c>
      <c r="Y288" s="51" t="s">
        <v>3202</v>
      </c>
      <c r="Z288" s="59" t="s">
        <v>3203</v>
      </c>
      <c r="AA288" s="126" t="s">
        <v>129</v>
      </c>
      <c r="AB288" s="128" t="s">
        <v>3204</v>
      </c>
      <c r="AC288" s="128" t="s">
        <v>3205</v>
      </c>
      <c r="AD288" s="77" t="s">
        <v>3206</v>
      </c>
      <c r="AE288" s="64" t="s">
        <v>64</v>
      </c>
      <c r="AF288" s="64"/>
      <c r="AG288" s="64"/>
      <c r="AH288" s="64"/>
      <c r="AI288" s="64"/>
      <c r="AJ288" s="65"/>
      <c r="AK288" s="65"/>
      <c r="AL288" s="65"/>
      <c r="AM288" s="52"/>
      <c r="AN288" s="80" t="s">
        <v>39</v>
      </c>
      <c r="AO288" s="68" t="str">
        <f t="shared" si="6"/>
        <v>Dekora Group, s.r.o doprava, elektro, auto-moto, kovovyroba, &amp;#32vsetky kategorie  915 01 Nove Mesto nad Vahom Nasa spolocnost ma v sucasnosti uz dve prevadzky. V Novom Meste nad Vahom ponukame sluzby subdodavatelom pre automobilovy priemysel (montaz podskupin pozostavajuca z plastovych a kovovych vyrobkov, kontrola a kalibracia vyrobkov, mechanicke upravy kovovych a plastovych vyrobkov, ...), energeticky priemysel (montaz hlinikovych drziakov pre vysokonapatove kable, ...) a lahky priemysel (montaz podskupin pre bicykle, rozne baliace a triediace cinnosti) . Prevadzka v Puchove je momentalne zamerana na spolupracu s firmou vyrabajucou kablove zvazky. Nasim dodavkovym vozidlom do 3,5 tony zabezpecujeme dovoz tovarov na prevadzky a odvoz hotovych vyrobkov zakaznikovi podla jeho potrieb. Z 28 zamestnancov je 27 zdravotne znevyhodnenych, jeden zamestnanec poskytuje asistenciu zdravotne znevyhodnenym osobam. Dekora Group, Nove Mesto nad Vahom Montazne prace na kovovych a plastovych vyrobkoch, baliace cinnosti, kontrola a kalibracia vyrobkov. montazna dielna, kalibracia, balenie Dekora Group, Puchov Montazna dielna. montaz kablovych zvazkov a komponentov        Register partnerov VS</v>
      </c>
      <c r="AP288" s="69" t="s">
        <v>41</v>
      </c>
    </row>
    <row r="289" ht="15.75" customHeight="1">
      <c r="A289" s="45"/>
      <c r="B289" s="70">
        <v>287.0</v>
      </c>
      <c r="C289" s="116" t="s">
        <v>3207</v>
      </c>
      <c r="D289" s="71" t="s">
        <v>181</v>
      </c>
      <c r="E289" s="43" t="str">
        <f t="shared" si="1"/>
        <v>Banskobystrický kraj, &amp;#32celé Slovensko</v>
      </c>
      <c r="F289" s="44" t="s">
        <v>3208</v>
      </c>
      <c r="G289" s="43" t="str">
        <f t="shared" si="2"/>
        <v>poľnohospodárstvo a lesníctvo, dom a záhrada, stavebníctvo, &amp;#32všetky kategórie</v>
      </c>
      <c r="H289" s="44" t="s">
        <v>96</v>
      </c>
      <c r="I289" s="45" t="str">
        <f t="shared" si="3"/>
        <v>6 - 10, &amp;#32všetky možnosti</v>
      </c>
      <c r="J289" s="46" t="str">
        <f t="shared" si="4"/>
        <v>,Register partnerov VS</v>
      </c>
      <c r="K289" s="47">
        <f t="shared" si="5"/>
        <v>22790.67668</v>
      </c>
      <c r="L289" s="45"/>
      <c r="M289" s="49" t="str">
        <f>IFERROR(__xludf.DUMMYFUNCTION("SPLIT(O289,"","")"),"Námestie SNP 47/9")</f>
        <v>Námestie SNP 47/9</v>
      </c>
      <c r="N289" s="48" t="str">
        <f>IFERROR(__xludf.DUMMYFUNCTION("""COMPUTED_VALUE""")," 962 61 Dobrá Niva")</f>
        <v> 962 61 Dobrá Niva</v>
      </c>
      <c r="O289" s="122" t="s">
        <v>3209</v>
      </c>
      <c r="P289" s="50">
        <v>48.4701801999999</v>
      </c>
      <c r="Q289" s="109">
        <v>19.1057291</v>
      </c>
      <c r="R289" s="102" t="s">
        <v>3210</v>
      </c>
      <c r="S289" s="66" t="s">
        <v>3211</v>
      </c>
      <c r="T289" s="124" t="s">
        <v>3212</v>
      </c>
      <c r="U289" s="54" t="s">
        <v>3213</v>
      </c>
      <c r="V289" s="84" t="s">
        <v>3214</v>
      </c>
      <c r="W289" s="77" t="s">
        <v>3215</v>
      </c>
      <c r="X289" s="77" t="s">
        <v>3216</v>
      </c>
      <c r="Y289" s="121" t="s">
        <v>3217</v>
      </c>
      <c r="Z289" s="119" t="s">
        <v>3218</v>
      </c>
      <c r="AA289" s="125" t="s">
        <v>64</v>
      </c>
      <c r="AB289" s="64"/>
      <c r="AC289" s="64"/>
      <c r="AD289" s="64"/>
      <c r="AE289" s="64"/>
      <c r="AF289" s="65"/>
      <c r="AG289" s="65"/>
      <c r="AH289" s="65"/>
      <c r="AI289" s="64"/>
      <c r="AJ289" s="65"/>
      <c r="AK289" s="65"/>
      <c r="AL289" s="65"/>
      <c r="AM289" s="52"/>
      <c r="AN289" s="80" t="s">
        <v>39</v>
      </c>
      <c r="AO289" s="68" t="str">
        <f t="shared" si="6"/>
        <v>Obecne sluzby Dobra Niva, s.r.o. polnohospodarstvo a lesnictvo, dom a zahrada, stavebnictvo, &amp;#32vsetky kategorie  962 61 Dobra Niva V sucasnosti nas podnik Obecne sluzby Dobra Niva s.r.o., r.s.p. posobi v nasledovnych oblastiach: stavebne a buracie prace, rekonstrukcie obecneho majetku, oprava chodnikov a ciest, pokladka zamkovej dlazby, udrzba zelene a rozne ine pomocne prace. Vacsinu prac vykonavame pre svojho zriadovatela - obec. Svoje sluzby vsak vieme poskytovat aj inym obciam a mestam, fyzickym i pravnickym osobam. Percentom zamestnanych znevyhodnenych osob a/alebo zranitelnych osob z celkoveho poctu zamestnancov spolocnosti v zmysle prislusnych ustanoveni zakona c. 112/2018 Z. z. Obecne sluzby Dobra Niva s.r.o. Stavebne a buracie prace, rekonstrukcie obecneho majetku, oprava chodnikov a ciest, pokladka zamkovej dlazby, udrzba zelene a rozne ine pomocne prace. stavebne prace, stavba, buracie prace, buranie, dlazba, zamkova dlazba, obklady, rekonstrukcia, oprava chodnikov, kosenie, lesnictvo, lesne hospodarstvo, zahradne prace           Register partnerov VS</v>
      </c>
      <c r="AP289" s="82"/>
    </row>
    <row r="290" ht="15.75" customHeight="1">
      <c r="A290" s="45"/>
      <c r="B290" s="70">
        <v>288.0</v>
      </c>
      <c r="C290" s="116" t="s">
        <v>3219</v>
      </c>
      <c r="D290" s="71" t="s">
        <v>228</v>
      </c>
      <c r="E290" s="43" t="str">
        <f t="shared" si="1"/>
        <v>Nitriansky kraj, &amp;#32celé Slovensko</v>
      </c>
      <c r="F290" s="44" t="s">
        <v>2240</v>
      </c>
      <c r="G290" s="43" t="str">
        <f t="shared" si="2"/>
        <v>čistiace a upratovacie služby, dom a záhrada, stavebníctvo, odpady a recyklácia, &amp;#32všetky kategórie</v>
      </c>
      <c r="H290" s="44" t="s">
        <v>53</v>
      </c>
      <c r="I290" s="45" t="str">
        <f t="shared" si="3"/>
        <v>1 - 5, &amp;#32všetky možnosti</v>
      </c>
      <c r="J290" s="46" t="str">
        <f t="shared" si="4"/>
        <v>Servisné poukážky,</v>
      </c>
      <c r="K290" s="47">
        <f t="shared" si="5"/>
        <v>17751.29834</v>
      </c>
      <c r="L290" s="45"/>
      <c r="M290" s="49" t="str">
        <f>IFERROR(__xludf.DUMMYFUNCTION("SPLIT(O290,"","")"),"Hlavná 51")</f>
        <v>Hlavná 51</v>
      </c>
      <c r="N290" s="48" t="str">
        <f>IFERROR(__xludf.DUMMYFUNCTION("""COMPUTED_VALUE""")," 941 03 Úľany nad Žitavou")</f>
        <v> 941 03 Úľany nad Žitavou</v>
      </c>
      <c r="O290" s="122" t="s">
        <v>3220</v>
      </c>
      <c r="P290" s="50">
        <v>48.1071675</v>
      </c>
      <c r="Q290" s="109">
        <v>18.2388918</v>
      </c>
      <c r="R290" s="102" t="s">
        <v>3221</v>
      </c>
      <c r="S290" s="66" t="s">
        <v>3222</v>
      </c>
      <c r="T290" s="124" t="s">
        <v>86</v>
      </c>
      <c r="U290" s="54" t="s">
        <v>3223</v>
      </c>
      <c r="V290" s="84" t="s">
        <v>3224</v>
      </c>
      <c r="W290" s="77" t="s">
        <v>3225</v>
      </c>
      <c r="X290" s="77" t="s">
        <v>3226</v>
      </c>
      <c r="Y290" s="121" t="s">
        <v>3227</v>
      </c>
      <c r="Z290" s="119" t="s">
        <v>3228</v>
      </c>
      <c r="AA290" s="125" t="s">
        <v>64</v>
      </c>
      <c r="AB290" s="64"/>
      <c r="AC290" s="64"/>
      <c r="AD290" s="64"/>
      <c r="AE290" s="64"/>
      <c r="AF290" s="65"/>
      <c r="AG290" s="65"/>
      <c r="AH290" s="65"/>
      <c r="AI290" s="64"/>
      <c r="AJ290" s="65"/>
      <c r="AK290" s="65"/>
      <c r="AL290" s="65"/>
      <c r="AM290" s="17" t="s">
        <v>320</v>
      </c>
      <c r="AN290" s="65"/>
      <c r="AO290" s="68" t="str">
        <f t="shared" si="6"/>
        <v>Obecny podnik obchodu a sluzieb Ulany nad Zitavou s. r. o. cistiace a upratovacie sluzby, dom a zahrada, stavebnictvo, odpady a recyklacia, &amp;#32vsetky kategorie  941 03 Ulany nad Zitavou Podnik aktualne ponuka svoje sluzby komunalneho charakteru obci Ulany nad Zitavou a jej obcanom. Spravuje obecne budovy, cintorin, obcanom poskytuje prace v zahrade, domacnosti, pilcicke prace. Aktualne zamestnava obcanov obce Ulany nad Zitavou, ktori su zdravotne znevyhodneni alebo mali dlhodobejsi problem s uplatnenim sa na trhu prace. Obecny podnik obchodu a sluzieb Ulany nad Zitavou s.r.o. Komunalne sluzby v obci, sprava obecnych budov, cintorina, docasneho uloziska odpadov. Prace v zahrade, domacnosti, interierove maliarske prace, pilcicke prace, drobne neodborne stavebne prace. kosenie, opilovanie, vykopove rucne prace, interierove maliarske prace, zahradne prace          Servisne poukazky </v>
      </c>
      <c r="AP290" s="69" t="s">
        <v>41</v>
      </c>
    </row>
    <row r="291" ht="15.75" customHeight="1">
      <c r="A291" s="45"/>
      <c r="B291" s="70">
        <v>289.0</v>
      </c>
      <c r="C291" s="116" t="s">
        <v>3229</v>
      </c>
      <c r="D291" s="71" t="s">
        <v>80</v>
      </c>
      <c r="E291" s="43" t="str">
        <f t="shared" si="1"/>
        <v>Trnavský kraj, &amp;#32celé Slovensko</v>
      </c>
      <c r="F291" s="44" t="s">
        <v>3230</v>
      </c>
      <c r="G291" s="43" t="str">
        <f t="shared" si="2"/>
        <v>čistiace a upratovacie služby, poľnohospodárstvo a lesníctvo, dom a záhrada, stavebníctvo, kovovýroba, &amp;#32všetky kategórie</v>
      </c>
      <c r="H291" s="44" t="s">
        <v>82</v>
      </c>
      <c r="I291" s="45" t="str">
        <f t="shared" si="3"/>
        <v>11 - 15, &amp;#32všetky možnosti</v>
      </c>
      <c r="J291" s="46" t="str">
        <f t="shared" si="4"/>
        <v>Servisné poukážky,Register partnerov VS</v>
      </c>
      <c r="K291" s="47">
        <f t="shared" si="5"/>
        <v>29174.1172</v>
      </c>
      <c r="L291" s="45"/>
      <c r="M291" s="49" t="str">
        <f>IFERROR(__xludf.DUMMYFUNCTION("SPLIT(O291,"","")"),"Sap 48")</f>
        <v>Sap 48</v>
      </c>
      <c r="N291" s="48" t="str">
        <f>IFERROR(__xludf.DUMMYFUNCTION("""COMPUTED_VALUE""")," 930 06 Sap")</f>
        <v> 930 06 Sap</v>
      </c>
      <c r="O291" s="122" t="s">
        <v>3231</v>
      </c>
      <c r="P291" s="132">
        <v>47.8321504</v>
      </c>
      <c r="Q291" s="133">
        <v>17.6186785</v>
      </c>
      <c r="R291" s="123" t="s">
        <v>3232</v>
      </c>
      <c r="S291" s="66" t="s">
        <v>3233</v>
      </c>
      <c r="T291" s="124" t="s">
        <v>3234</v>
      </c>
      <c r="U291" s="54" t="s">
        <v>3235</v>
      </c>
      <c r="V291" s="84" t="s">
        <v>3236</v>
      </c>
      <c r="W291" s="77" t="s">
        <v>3237</v>
      </c>
      <c r="X291" s="77" t="s">
        <v>3238</v>
      </c>
      <c r="Y291" s="121" t="s">
        <v>3232</v>
      </c>
      <c r="Z291" s="119" t="s">
        <v>3239</v>
      </c>
      <c r="AA291" s="125" t="s">
        <v>64</v>
      </c>
      <c r="AB291" s="64"/>
      <c r="AC291" s="64"/>
      <c r="AD291" s="64"/>
      <c r="AE291" s="64"/>
      <c r="AF291" s="65"/>
      <c r="AG291" s="65"/>
      <c r="AH291" s="65"/>
      <c r="AI291" s="64"/>
      <c r="AJ291" s="65"/>
      <c r="AK291" s="65"/>
      <c r="AL291" s="65"/>
      <c r="AM291" s="96" t="s">
        <v>320</v>
      </c>
      <c r="AN291" s="80" t="s">
        <v>39</v>
      </c>
      <c r="AO291" s="68" t="str">
        <f t="shared" si="6"/>
        <v>Obecny podnik Sap, s. r. o. cistiace a upratovacie sluzby, polnohospodarstvo a lesnictvo, dom a zahrada, stavebnictvo, kovovyroba, &amp;#32vsetky kategorie  930 06 Sap Kosenie travy pre domacnost a zahradu, cistiace a upratovacie sluzby, poskytovanie sluzieb v polnohospodarstve a zahradnictve, uskutocnovanie stavieb a ich zmien. Spolocnost zamestnava prislusne percento zranitelnych a/alebo znevyhodnenych osob v zmysle prislusnych ustanoveni zakona c. 112/2018 Z. z.. Obecny podnik Sap, s.r.o. Kosenie travy pre domacnost a zahradu, cistiace a upratovacie sluzby, poskytovanie sluzieb v polnohospodarstve a zahradnictve, uskutocnovanie stavieb a ich zmien. Kosenie, kovovyroba, cistenie, zahrada, zemne prace, stavebne prace          Servisne poukazky Register partnerov VS</v>
      </c>
      <c r="AP291" s="69" t="s">
        <v>41</v>
      </c>
    </row>
    <row r="292" ht="15.75" customHeight="1">
      <c r="A292" s="45"/>
      <c r="B292" s="70">
        <v>290.0</v>
      </c>
      <c r="C292" s="116" t="s">
        <v>3240</v>
      </c>
      <c r="D292" s="71" t="s">
        <v>80</v>
      </c>
      <c r="E292" s="43" t="str">
        <f t="shared" si="1"/>
        <v>Trnavský kraj, &amp;#32celé Slovensko</v>
      </c>
      <c r="F292" s="44" t="s">
        <v>3241</v>
      </c>
      <c r="G292" s="43" t="str">
        <f t="shared" si="2"/>
        <v>čistiace a upratovacie služby, dom a záhrada, doprava, &amp;#32všetky kategórie</v>
      </c>
      <c r="H292" s="44" t="s">
        <v>53</v>
      </c>
      <c r="I292" s="45" t="str">
        <f t="shared" si="3"/>
        <v>1 - 5, &amp;#32všetky možnosti</v>
      </c>
      <c r="J292" s="46" t="str">
        <f t="shared" si="4"/>
        <v>,</v>
      </c>
      <c r="K292" s="47">
        <f t="shared" si="5"/>
        <v>20976.40784</v>
      </c>
      <c r="L292" s="45"/>
      <c r="M292" s="49" t="str">
        <f>IFERROR(__xludf.DUMMYFUNCTION("SPLIT(O292,"","")"),"Dojč 125")</f>
        <v>Dojč 125</v>
      </c>
      <c r="N292" s="48" t="str">
        <f>IFERROR(__xludf.DUMMYFUNCTION("""COMPUTED_VALUE""")," 906 02 Dojč")</f>
        <v> 906 02 Dojč</v>
      </c>
      <c r="O292" s="122" t="s">
        <v>3242</v>
      </c>
      <c r="P292" s="50">
        <v>48.6764874</v>
      </c>
      <c r="Q292" s="109">
        <v>17.2573324</v>
      </c>
      <c r="R292" s="102" t="s">
        <v>3243</v>
      </c>
      <c r="S292" s="66" t="s">
        <v>3244</v>
      </c>
      <c r="T292" s="124" t="s">
        <v>3245</v>
      </c>
      <c r="U292" s="54" t="s">
        <v>3246</v>
      </c>
      <c r="V292" s="84" t="s">
        <v>3247</v>
      </c>
      <c r="W292" s="77" t="s">
        <v>3248</v>
      </c>
      <c r="X292" s="77" t="s">
        <v>3249</v>
      </c>
      <c r="Y292" s="121" t="s">
        <v>3250</v>
      </c>
      <c r="Z292" s="119" t="s">
        <v>3251</v>
      </c>
      <c r="AA292" s="125" t="s">
        <v>64</v>
      </c>
      <c r="AB292" s="64"/>
      <c r="AC292" s="64"/>
      <c r="AD292" s="64"/>
      <c r="AE292" s="64"/>
      <c r="AF292" s="65"/>
      <c r="AG292" s="65"/>
      <c r="AH292" s="65"/>
      <c r="AI292" s="64"/>
      <c r="AJ292" s="65"/>
      <c r="AK292" s="65"/>
      <c r="AL292" s="65"/>
      <c r="AM292" s="36"/>
      <c r="AN292" s="65"/>
      <c r="AO292" s="68" t="str">
        <f t="shared" si="6"/>
        <v>Dojc - OPS, s.r.o. cistiace a upratovacie sluzby, dom a zahrada, doprava, &amp;#32vsetky kategorie  906 02 Dojc Nas socialny podnik ponuka sluzby najma obyvatelom obce Dojc vo forme kosenia a mulcovania, odvozu bioodpadu, stiepkovania konarov, cistenia verejnych priestranstiev a potoka, realizuje zimnu udrzbu miestnych komunikacii a chodnikov. Ponukame aj upratovacie sluzby. Najma starsim obcanom podava podnik pomocnu ruku pri udrzbe nehnutelnosti a prilahlych pozemkov, zamestnava socialne znevyhodnenych, ktorym umoznuje pracovat v medziach ich zdravotneho znevyhodnenia. Dojc-OPS, s.r.o., RSP Aktualne ponukame odvoz bioodpadu, orez konarov a ich stiepkovanie, zimnu udrzbu chodnikov. bioodpad, kosenie, hrabanie, stiepkovanie, mulcovanie, zametanie, odhrnanie, odvoz           </v>
      </c>
      <c r="AP292" s="82"/>
    </row>
    <row r="293" ht="15.75" customHeight="1">
      <c r="A293" s="45"/>
      <c r="B293" s="70">
        <v>291.0</v>
      </c>
      <c r="C293" s="116" t="s">
        <v>3252</v>
      </c>
      <c r="D293" s="71" t="s">
        <v>134</v>
      </c>
      <c r="E293" s="43" t="str">
        <f t="shared" si="1"/>
        <v>Trenčiansky kraj, &amp;#32celé Slovensko</v>
      </c>
      <c r="F293" s="44" t="s">
        <v>1661</v>
      </c>
      <c r="G293" s="43" t="str">
        <f t="shared" si="2"/>
        <v>čistiace a upratovacie služby, ubytovacie a stravovacie služby, &amp;#32všetky kategórie</v>
      </c>
      <c r="H293" s="44" t="s">
        <v>82</v>
      </c>
      <c r="I293" s="45" t="str">
        <f t="shared" si="3"/>
        <v>11 - 15, &amp;#32všetky možnosti</v>
      </c>
      <c r="J293" s="46" t="str">
        <f t="shared" si="4"/>
        <v>,Register partnerov VS</v>
      </c>
      <c r="K293" s="47">
        <f t="shared" si="5"/>
        <v>18251.82062</v>
      </c>
      <c r="L293" s="45"/>
      <c r="M293" s="49" t="str">
        <f>IFERROR(__xludf.DUMMYFUNCTION("SPLIT(O293,"","")"),"Pod hájom 1095/76")</f>
        <v>Pod hájom 1095/76</v>
      </c>
      <c r="N293" s="48" t="str">
        <f>IFERROR(__xludf.DUMMYFUNCTION("""COMPUTED_VALUE""")," 018 41 Dubnica nad Váhom")</f>
        <v> 018 41 Dubnica nad Váhom</v>
      </c>
      <c r="O293" s="122" t="s">
        <v>3253</v>
      </c>
      <c r="P293" s="50">
        <v>48.9540377</v>
      </c>
      <c r="Q293" s="109">
        <v>18.1715514</v>
      </c>
      <c r="R293" s="102" t="s">
        <v>3254</v>
      </c>
      <c r="S293" s="66" t="s">
        <v>3255</v>
      </c>
      <c r="T293" s="124" t="s">
        <v>86</v>
      </c>
      <c r="U293" s="54" t="s">
        <v>3256</v>
      </c>
      <c r="V293" s="84" t="s">
        <v>3257</v>
      </c>
      <c r="W293" s="77" t="s">
        <v>3258</v>
      </c>
      <c r="X293" s="77" t="s">
        <v>3259</v>
      </c>
      <c r="Y293" s="121" t="s">
        <v>3260</v>
      </c>
      <c r="Z293" s="119" t="s">
        <v>3261</v>
      </c>
      <c r="AA293" s="125" t="s">
        <v>64</v>
      </c>
      <c r="AB293" s="64"/>
      <c r="AC293" s="64"/>
      <c r="AD293" s="64"/>
      <c r="AE293" s="64"/>
      <c r="AF293" s="65"/>
      <c r="AG293" s="65"/>
      <c r="AH293" s="65"/>
      <c r="AI293" s="64"/>
      <c r="AJ293" s="65"/>
      <c r="AK293" s="65"/>
      <c r="AL293" s="65"/>
      <c r="AM293" s="52"/>
      <c r="AN293" s="80" t="s">
        <v>39</v>
      </c>
      <c r="AO293" s="68" t="str">
        <f t="shared" si="6"/>
        <v>Palatinos, s.r.o. cistiace a upratovacie sluzby, ubytovacie a stravovacie sluzby, &amp;#32vsetky kategorie  018 41 Dubnica nad Vahom Poskytujeme sluzby v oblasti pripravy studenej a teplej kuchyne a upratovacie sluzby. Integrujeme socialne a zdravotne znevyhodnenych spoluobcanov na pracovny trh. Palatinos Studena kuchyna, tepla kuchyna, upratovacie sluzby. kanapky, oblozene chlebicky, oblozene misy           Register partnerov VS</v>
      </c>
      <c r="AP293" s="69" t="s">
        <v>41</v>
      </c>
    </row>
    <row r="294" ht="15.75" customHeight="1">
      <c r="A294" s="45"/>
      <c r="B294" s="70">
        <v>292.0</v>
      </c>
      <c r="C294" s="116" t="s">
        <v>3262</v>
      </c>
      <c r="D294" s="71" t="s">
        <v>228</v>
      </c>
      <c r="E294" s="43" t="str">
        <f t="shared" si="1"/>
        <v>Nitriansky kraj, &amp;#32celé Slovensko</v>
      </c>
      <c r="F294" s="44" t="s">
        <v>1482</v>
      </c>
      <c r="G294" s="43" t="str">
        <f t="shared" si="2"/>
        <v>ubytovacie a stravovacie služby, cestovný ruch, &amp;#32všetky kategórie</v>
      </c>
      <c r="H294" s="44" t="s">
        <v>53</v>
      </c>
      <c r="I294" s="45" t="str">
        <f t="shared" si="3"/>
        <v>1 - 5, &amp;#32všetky možnosti</v>
      </c>
      <c r="J294" s="46" t="str">
        <f t="shared" si="4"/>
        <v>,</v>
      </c>
      <c r="K294" s="47">
        <f t="shared" si="5"/>
        <v>11528.67068</v>
      </c>
      <c r="L294" s="45"/>
      <c r="M294" s="49" t="str">
        <f>IFERROR(__xludf.DUMMYFUNCTION("SPLIT(O294,"","")"),"Kvetná 2566/37")</f>
        <v>Kvetná 2566/37</v>
      </c>
      <c r="N294" s="48" t="str">
        <f>IFERROR(__xludf.DUMMYFUNCTION("""COMPUTED_VALUE""")," 947 01 Hurbanovo")</f>
        <v> 947 01 Hurbanovo</v>
      </c>
      <c r="O294" s="122" t="s">
        <v>3263</v>
      </c>
      <c r="P294" s="50">
        <v>47.8644203</v>
      </c>
      <c r="Q294" s="109">
        <v>18.1926223</v>
      </c>
      <c r="R294" s="123" t="s">
        <v>3264</v>
      </c>
      <c r="S294" s="66" t="s">
        <v>3265</v>
      </c>
      <c r="T294" s="124" t="s">
        <v>86</v>
      </c>
      <c r="U294" s="54" t="s">
        <v>3266</v>
      </c>
      <c r="V294" s="84" t="s">
        <v>3267</v>
      </c>
      <c r="W294" s="77" t="s">
        <v>3268</v>
      </c>
      <c r="X294" s="77" t="s">
        <v>3269</v>
      </c>
      <c r="Y294" s="121" t="s">
        <v>3270</v>
      </c>
      <c r="Z294" s="119" t="s">
        <v>3271</v>
      </c>
      <c r="AA294" s="125" t="s">
        <v>64</v>
      </c>
      <c r="AB294" s="64"/>
      <c r="AC294" s="64"/>
      <c r="AD294" s="64"/>
      <c r="AE294" s="64"/>
      <c r="AF294" s="65"/>
      <c r="AG294" s="65"/>
      <c r="AH294" s="65"/>
      <c r="AI294" s="64"/>
      <c r="AJ294" s="65"/>
      <c r="AK294" s="65"/>
      <c r="AL294" s="65"/>
      <c r="AM294" s="36"/>
      <c r="AN294" s="65"/>
      <c r="AO294" s="68" t="str">
        <f t="shared" si="6"/>
        <v>Hesperus s. r. o. ubytovacie a stravovacie sluzby, cestovny ruch, &amp;#32vsetky kategorie  947 01 Hurbanovo Hesperus s.r.o., registrovany socialny podnik ponuka sirokej verejnosti ubytovacie sluzby spojene so stravovanim v prijemnom prostredi. Zaroven ponuka posedenie v restauracii, kde si zakaznici mozu vychutnat strudlu a zakusky vlastnej vyroby. Tiez ponukame rozvoz stravy na objednavku. Hesperus s.r.o. je verejnoprospesny socialny podnik, ktory svoje ciele naplna ako integracny socialny podnik, zamestnavanim zranitelnych a znevyhodnenych obcanov. Hesperus s.r.o. Restauracia, strudlovna, vydajna stravy. restauracia, strudlovna, vydajna stravy, rozvoz jedal, donaska, strudla, zakusok           </v>
      </c>
      <c r="AP294" s="82"/>
    </row>
    <row r="295" ht="15.75" customHeight="1">
      <c r="A295" s="45"/>
      <c r="B295" s="70">
        <v>293.0</v>
      </c>
      <c r="C295" s="116" t="s">
        <v>3272</v>
      </c>
      <c r="D295" s="71" t="s">
        <v>181</v>
      </c>
      <c r="E295" s="43" t="str">
        <f t="shared" si="1"/>
        <v>Banskobystrický kraj, &amp;#32celé Slovensko</v>
      </c>
      <c r="F295" s="44" t="s">
        <v>3273</v>
      </c>
      <c r="G295" s="43" t="str">
        <f t="shared" si="2"/>
        <v>odevy a obuv, nábytok a bytové doplnky, kultúra a šport, &amp;#32všetky kategórie</v>
      </c>
      <c r="H295" s="44" t="s">
        <v>53</v>
      </c>
      <c r="I295" s="45" t="str">
        <f t="shared" si="3"/>
        <v>1 - 5, &amp;#32všetky možnosti</v>
      </c>
      <c r="J295" s="46" t="str">
        <f t="shared" si="4"/>
        <v>,Register partnerov VS</v>
      </c>
      <c r="K295" s="47">
        <f t="shared" si="5"/>
        <v>10655.95082</v>
      </c>
      <c r="L295" s="45"/>
      <c r="M295" s="49" t="str">
        <f>IFERROR(__xludf.DUMMYFUNCTION("SPLIT(O295,"","")"),"Rovňany 18")</f>
        <v>Rovňany 18</v>
      </c>
      <c r="N295" s="48" t="str">
        <f>IFERROR(__xludf.DUMMYFUNCTION("""COMPUTED_VALUE""")," 985 24 Rovňany")</f>
        <v> 985 24 Rovňany</v>
      </c>
      <c r="O295" s="122" t="s">
        <v>3274</v>
      </c>
      <c r="P295" s="50">
        <v>48.4463531</v>
      </c>
      <c r="Q295" s="109">
        <v>19.744676</v>
      </c>
      <c r="R295" s="102" t="s">
        <v>3275</v>
      </c>
      <c r="S295" s="66" t="s">
        <v>3276</v>
      </c>
      <c r="T295" s="124" t="s">
        <v>86</v>
      </c>
      <c r="U295" s="54" t="s">
        <v>3277</v>
      </c>
      <c r="V295" s="84" t="s">
        <v>3278</v>
      </c>
      <c r="W295" s="77" t="s">
        <v>3279</v>
      </c>
      <c r="X295" s="77" t="s">
        <v>3280</v>
      </c>
      <c r="Y295" s="121" t="s">
        <v>3281</v>
      </c>
      <c r="Z295" s="119" t="s">
        <v>3282</v>
      </c>
      <c r="AA295" s="125" t="s">
        <v>64</v>
      </c>
      <c r="AB295" s="64"/>
      <c r="AC295" s="64"/>
      <c r="AD295" s="64"/>
      <c r="AE295" s="64"/>
      <c r="AF295" s="65"/>
      <c r="AG295" s="65"/>
      <c r="AH295" s="65"/>
      <c r="AI295" s="64"/>
      <c r="AJ295" s="65"/>
      <c r="AK295" s="65"/>
      <c r="AL295" s="65"/>
      <c r="AM295" s="52"/>
      <c r="AN295" s="80" t="s">
        <v>39</v>
      </c>
      <c r="AO295" s="68" t="str">
        <f t="shared" si="6"/>
        <v>Margaret s. r. o. odevy a obuv, nabytok a bytove doplnky, kultura a sport, &amp;#32vsetky kategorie  985 24 Rovnany Spolocnost Margaret, s.r.o., sa zaobera vyrobou a predajom krojov a jednotlivych krojovych sucasti podla autentickeho prevedenia a spracovania, dalej etno-mody, liturgie a liturgickych textilii, bytoveho textilu a textilnych doplnkov do domacnosti a vyssej spolocenskej mody, slow-fashion, ale i up-cyklovanou modou. Vo svojej predajni v Lucenci predavame okrem nami zhotovenych odevnych a textilnych sucasti aj ludovoumelecke predmety z roznych materialov, ktore su vyrobkami prevazne lokalnych remeselnikov. Ide o vyrobky z dreva, koze, drotu, supolia, skla, keramiky, ... Spolocensky vplyv spociva v zamestnani a zamestnavani osob so ZTP a osob so zdravotnym znevyhodnenim, pripadne zamestnavanim ludi, ktori maju obmedzene moznosti a komplikacie uplatnit sa na trhu prace. V ramci nasho r.s.p. prinasame pozitivny socialny vplyv tiez prostrednictvom tvorby, rozvoja, ochrany, obnovy a prezentacie duchovnych a kulturnych hodnot: repasovanie starych povodnych krojov, realizacia terenneho vyskumu, spolupraca s muzeami a inymi odbornymi instituciami, vyucba kurzov tradicnych vysivacich technik, prezentacie, seminare pre verejnost. Margaret s.r.o. Vyroba krojov a ich jednotlivych odevnych sucasti, etno-moda pre dospelych, ale i deti: vysivane tricka, mikiny, bluzky, kosele, zdobene a plisovane sukne, opasky, motyliky, ... Z bytovych doplnkov: lanove utierky, obrusy, kuchynske zastery, kuchynske rukavice, vankuse, tasky. kroj, vysivane tricko, vysivana mikina, kosela, bluzka, sukna, saty, lanova utierka, obrus, kuchynska zastera, kuchynska rukavica, vankus, taska, motylik, opasok, vysivany opasok, sitie, oprava krojov, vysivanie rucne, vysivanie strojove, remeselne vyrobky, supolie, drevo, koza, keramika, sklo, ludove remeslo, liturgicke odevy           Register partnerov VS</v>
      </c>
      <c r="AP295" s="69" t="s">
        <v>41</v>
      </c>
    </row>
    <row r="296" ht="15.75" customHeight="1">
      <c r="A296" s="45"/>
      <c r="B296" s="70">
        <v>294.0</v>
      </c>
      <c r="C296" s="116" t="s">
        <v>3283</v>
      </c>
      <c r="D296" s="71" t="s">
        <v>217</v>
      </c>
      <c r="E296" s="43" t="str">
        <f t="shared" si="1"/>
        <v>Košický kraj, &amp;#32celé Slovensko</v>
      </c>
      <c r="F296" s="44" t="s">
        <v>3284</v>
      </c>
      <c r="G296" s="43" t="str">
        <f t="shared" si="2"/>
        <v>čistiace a upratovacie služby, dom a záhrada, doprava, odpady a recyklácia, &amp;#32všetky kategórie</v>
      </c>
      <c r="H296" s="44" t="s">
        <v>96</v>
      </c>
      <c r="I296" s="45" t="str">
        <f t="shared" si="3"/>
        <v>6 - 10, &amp;#32všetky možnosti</v>
      </c>
      <c r="J296" s="46" t="str">
        <f t="shared" si="4"/>
        <v>Servisné poukážky,</v>
      </c>
      <c r="K296" s="47">
        <f t="shared" si="5"/>
        <v>41122.84462</v>
      </c>
      <c r="L296" s="45"/>
      <c r="M296" s="49" t="str">
        <f>IFERROR(__xludf.DUMMYFUNCTION("SPLIT(O296,"","")"),"Jablonov nad Turňou 244")</f>
        <v>Jablonov nad Turňou 244</v>
      </c>
      <c r="N296" s="48" t="str">
        <f>IFERROR(__xludf.DUMMYFUNCTION("""COMPUTED_VALUE""")," 049 43 Jablonov nad Turňou")</f>
        <v> 049 43 Jablonov nad Turňou</v>
      </c>
      <c r="O296" s="122" t="s">
        <v>3285</v>
      </c>
      <c r="P296" s="50">
        <v>48.590512</v>
      </c>
      <c r="Q296" s="109">
        <v>20.6735815</v>
      </c>
      <c r="R296" s="123" t="s">
        <v>3286</v>
      </c>
      <c r="S296" s="66" t="s">
        <v>3287</v>
      </c>
      <c r="T296" s="124" t="s">
        <v>86</v>
      </c>
      <c r="U296" s="54" t="s">
        <v>3288</v>
      </c>
      <c r="V296" s="84" t="s">
        <v>3289</v>
      </c>
      <c r="W296" s="77" t="s">
        <v>3290</v>
      </c>
      <c r="X296" s="77" t="s">
        <v>3291</v>
      </c>
      <c r="Y296" s="121" t="s">
        <v>3292</v>
      </c>
      <c r="Z296" s="119" t="s">
        <v>3293</v>
      </c>
      <c r="AA296" s="125" t="s">
        <v>64</v>
      </c>
      <c r="AB296" s="64"/>
      <c r="AC296" s="64"/>
      <c r="AD296" s="64"/>
      <c r="AE296" s="64"/>
      <c r="AF296" s="65"/>
      <c r="AG296" s="65"/>
      <c r="AH296" s="65"/>
      <c r="AI296" s="64"/>
      <c r="AJ296" s="65"/>
      <c r="AK296" s="65"/>
      <c r="AL296" s="65"/>
      <c r="AM296" s="17" t="s">
        <v>320</v>
      </c>
      <c r="AN296" s="65"/>
      <c r="AO296" s="68" t="str">
        <f t="shared" si="6"/>
        <v>Obecna prevadzkaren, s.r.o. Jablonov r. s. p. cistiace a upratovacie sluzby, dom a zahrada, doprava, odpady a recyklacia, &amp;#32vsetky kategorie  049 43 Jablonov nad Turnou nase sluzby realizujeme pre obcanov, firmy, obce: kosenie, odvoz odpadu, vyrub stromov, zemne prace. Zamestnavame pre znevyhodnene osoby. Obecna prevadzkaren, s.r.o. Jablonov r.s.p. Zemne prace, kosenie , vyrub, preprava. zemne prace, kosenie , vyrub, preprava, zber odpadu          Servisne poukazky </v>
      </c>
      <c r="AP296" s="69" t="s">
        <v>41</v>
      </c>
    </row>
    <row r="297" ht="15.75" customHeight="1">
      <c r="A297" s="45"/>
      <c r="B297" s="70">
        <v>295.0</v>
      </c>
      <c r="C297" s="116" t="s">
        <v>3294</v>
      </c>
      <c r="D297" s="71" t="s">
        <v>51</v>
      </c>
      <c r="E297" s="43" t="str">
        <f t="shared" si="1"/>
        <v>Prešovský kraj, &amp;#32celé Slovensko</v>
      </c>
      <c r="F297" s="44" t="s">
        <v>606</v>
      </c>
      <c r="G297" s="43" t="str">
        <f t="shared" si="2"/>
        <v>stavebníctvo, doprava, &amp;#32všetky kategórie</v>
      </c>
      <c r="H297" s="44" t="s">
        <v>96</v>
      </c>
      <c r="I297" s="45" t="str">
        <f t="shared" si="3"/>
        <v>6 - 10, &amp;#32všetky možnosti</v>
      </c>
      <c r="J297" s="46" t="str">
        <f t="shared" si="4"/>
        <v>,</v>
      </c>
      <c r="K297" s="47">
        <f t="shared" si="5"/>
        <v>13864.2808</v>
      </c>
      <c r="L297" s="45"/>
      <c r="M297" s="49" t="str">
        <f>IFERROR(__xludf.DUMMYFUNCTION("SPLIT(O297,"","")"),"Mierová 329/10")</f>
        <v>Mierová 329/10</v>
      </c>
      <c r="N297" s="48" t="str">
        <f>IFERROR(__xludf.DUMMYFUNCTION("""COMPUTED_VALUE""")," 068 01 Medzilaborce")</f>
        <v> 068 01 Medzilaborce</v>
      </c>
      <c r="O297" s="122" t="s">
        <v>3295</v>
      </c>
      <c r="P297" s="50">
        <v>49.2734177</v>
      </c>
      <c r="Q297" s="109">
        <v>21.9017915</v>
      </c>
      <c r="R297" s="102" t="s">
        <v>3296</v>
      </c>
      <c r="S297" s="66" t="s">
        <v>3297</v>
      </c>
      <c r="T297" s="124" t="s">
        <v>3298</v>
      </c>
      <c r="U297" s="54" t="s">
        <v>3299</v>
      </c>
      <c r="V297" s="84" t="s">
        <v>3300</v>
      </c>
      <c r="W297" s="77" t="s">
        <v>3301</v>
      </c>
      <c r="X297" s="77" t="s">
        <v>3302</v>
      </c>
      <c r="Y297" s="121" t="s">
        <v>3303</v>
      </c>
      <c r="Z297" s="119" t="s">
        <v>3304</v>
      </c>
      <c r="AA297" s="125" t="s">
        <v>64</v>
      </c>
      <c r="AB297" s="64"/>
      <c r="AC297" s="64"/>
      <c r="AD297" s="64"/>
      <c r="AE297" s="64"/>
      <c r="AF297" s="65"/>
      <c r="AG297" s="65"/>
      <c r="AH297" s="65"/>
      <c r="AI297" s="64"/>
      <c r="AJ297" s="65"/>
      <c r="AK297" s="65"/>
      <c r="AL297" s="65"/>
      <c r="AM297" s="36"/>
      <c r="AN297" s="65"/>
      <c r="AO297" s="68" t="str">
        <f t="shared" si="6"/>
        <v>Sluzby - Medzilaborce s. r. o. stavebnictvo, doprava, &amp;#32vsetky kategorie  068 01 Medzilaborce Ponukame hlavne stavebnu cinnost, nasimi zakaznikmi su tak sukromne osoby, ako aj firmy a verejny sektor, cize mesta a obce. Do poskytovania sluzieb zapajame tak znevyhodnenych zamestnancov, ako aj zamestnancov so zdravotnym znevyhodnenim. 100% svojho zisku vkladame naspat do rozvoja socialneho podniku. Sluzby - Medzilaborce s.r.o. Ponukame sluzby prevazne v oblasti stavebnictva, ale tiez predaj plastovych okien a prislusenstva k nim. Plastove okna, garazove brany, ploty, stavebna cinnost           </v>
      </c>
      <c r="AP297" s="82"/>
    </row>
    <row r="298" ht="15.75" customHeight="1">
      <c r="A298" s="45"/>
      <c r="B298" s="70">
        <v>296.0</v>
      </c>
      <c r="C298" s="116" t="s">
        <v>3305</v>
      </c>
      <c r="D298" s="71" t="s">
        <v>51</v>
      </c>
      <c r="E298" s="43" t="str">
        <f t="shared" si="1"/>
        <v>Prešovský kraj, &amp;#32celé Slovensko</v>
      </c>
      <c r="F298" s="44" t="s">
        <v>3306</v>
      </c>
      <c r="G298" s="43" t="str">
        <f t="shared" si="2"/>
        <v>dom a záhrada, stavebníctvo, doprava, vzdelávanie, &amp;#32všetky kategórie</v>
      </c>
      <c r="H298" s="44" t="s">
        <v>82</v>
      </c>
      <c r="I298" s="45" t="str">
        <f t="shared" si="3"/>
        <v>11 - 15, &amp;#32všetky možnosti</v>
      </c>
      <c r="J298" s="46" t="str">
        <f t="shared" si="4"/>
        <v>,Register partnerov VS</v>
      </c>
      <c r="K298" s="47">
        <f t="shared" si="5"/>
        <v>24725.64251</v>
      </c>
      <c r="L298" s="45"/>
      <c r="M298" s="49" t="str">
        <f>IFERROR(__xludf.DUMMYFUNCTION("SPLIT(O298,"","")"),"Jarková 21")</f>
        <v>Jarková 21</v>
      </c>
      <c r="N298" s="48" t="str">
        <f>IFERROR(__xludf.DUMMYFUNCTION("""COMPUTED_VALUE""")," 082 22 Šarišské Michaľany")</f>
        <v> 082 22 Šarišské Michaľany</v>
      </c>
      <c r="O298" s="122" t="s">
        <v>3307</v>
      </c>
      <c r="P298" s="50">
        <v>49.0666375</v>
      </c>
      <c r="Q298" s="109">
        <v>21.1404813</v>
      </c>
      <c r="R298" s="102" t="s">
        <v>3308</v>
      </c>
      <c r="S298" s="66" t="s">
        <v>3309</v>
      </c>
      <c r="T298" s="124" t="s">
        <v>86</v>
      </c>
      <c r="U298" s="54" t="s">
        <v>3310</v>
      </c>
      <c r="V298" s="84" t="s">
        <v>3311</v>
      </c>
      <c r="W298" s="77" t="s">
        <v>3312</v>
      </c>
      <c r="X298" s="77" t="s">
        <v>3313</v>
      </c>
      <c r="Y298" s="121" t="s">
        <v>3314</v>
      </c>
      <c r="Z298" s="119" t="s">
        <v>3315</v>
      </c>
      <c r="AA298" s="125" t="s">
        <v>64</v>
      </c>
      <c r="AB298" s="64"/>
      <c r="AC298" s="64"/>
      <c r="AD298" s="64"/>
      <c r="AE298" s="64"/>
      <c r="AF298" s="65"/>
      <c r="AG298" s="65"/>
      <c r="AH298" s="65"/>
      <c r="AI298" s="64"/>
      <c r="AJ298" s="65"/>
      <c r="AK298" s="65"/>
      <c r="AL298" s="65"/>
      <c r="AM298" s="52"/>
      <c r="AN298" s="80" t="s">
        <v>39</v>
      </c>
      <c r="AO298" s="68" t="str">
        <f t="shared" si="6"/>
        <v>SIPSTAV s.r.o. dom a zahrada, stavebnictvo, doprava, vzdelavanie, &amp;#32vsetky kategorie  082 22 Sarisske Michalany Sme spolocnost zamerana hlavne na stavebnu cinnost - stavba a rekonstrukcie budov, domov, bytov, parkovisk, chodnikov, ciest a oploteni, demolacne, zemne a vykopove prace, autodoprava do 3,5 t. s podruznymi cinnostami ako su zamocnicke, drevarske a stolarske prace. Nasimi zakaznikmi su mesta a obce, bytove druzstva, firmy a sukromne osoby, o com svedcia aj referencie nami uspesne zrealizovanych zakaziek. Dosahujeme pozitivne meratelny socialny vplyv v oblasti zamestnania a vzdelavania, vytvarania novych pracovnych miest v regione s vysokou mierou nezamestnanosti najma osob z MRK, vzdelavame a rekvalifikujeme nasich zamestnancov hlavne v technickych zrucnostiach, no okrem toho im pomahame s vybavovanim uradnych veci ako su exekucie, ziadosti, staznosti a ostatne pravne nalezitosti, IT komunikacie, Socialna, zdravotne a komercne poistovne, sporitelne, banky atd. Celkovo sa snazime viest ich, vzdelavat a motivovat ako v oblasti financnej gramotnosti, prevencie exekucii, naslednej chudoby, kriminality ci rozpadu rodin, tak aj zodpovednosti a setrnosti voci zivotnemu prostrediu a okoliu. SIPSTAV s.r.o., r.s.p. Vystavba a rekonstrukcia budov, rodinnych domov, bytov, parkovisk, chodnikov, ciest a oploteni, demolacne, zemne a vykopove, zamocnicke, drevarske a stolarske prace, autodoprava do 3,5 t. demolacne, zemne a vykopove prace, stavebna cinnost, zamocnicke, drevarske a stolarske prace           Register partnerov VS</v>
      </c>
      <c r="AP298" s="82"/>
    </row>
    <row r="299" ht="15.75" customHeight="1">
      <c r="A299" s="45"/>
      <c r="B299" s="70">
        <v>297.0</v>
      </c>
      <c r="C299" s="116" t="s">
        <v>3316</v>
      </c>
      <c r="D299" s="71" t="s">
        <v>181</v>
      </c>
      <c r="E299" s="43" t="str">
        <f t="shared" si="1"/>
        <v>Banskobystrický kraj, &amp;#32celé Slovensko</v>
      </c>
      <c r="F299" s="44" t="s">
        <v>3317</v>
      </c>
      <c r="G299" s="43" t="str">
        <f t="shared" si="2"/>
        <v>poľnohospodárstvo a lesníctvo, vzdelávanie, zvieratá, iné (tovary a služby), &amp;#32všetky kategórie</v>
      </c>
      <c r="H299" s="44" t="s">
        <v>53</v>
      </c>
      <c r="I299" s="45" t="str">
        <f t="shared" si="3"/>
        <v>1 - 5, &amp;#32všetky možnosti</v>
      </c>
      <c r="J299" s="46" t="str">
        <f t="shared" si="4"/>
        <v>,Register partnerov VS</v>
      </c>
      <c r="K299" s="47">
        <f t="shared" si="5"/>
        <v>2463.147234</v>
      </c>
      <c r="L299" s="45"/>
      <c r="M299" s="49" t="str">
        <f>IFERROR(__xludf.DUMMYFUNCTION("SPLIT(O299,"","")"),"Ráztoka 124")</f>
        <v>Ráztoka 124</v>
      </c>
      <c r="N299" s="48" t="str">
        <f>IFERROR(__xludf.DUMMYFUNCTION("""COMPUTED_VALUE""")," 976 97 Ráztoka")</f>
        <v> 976 97 Ráztoka</v>
      </c>
      <c r="O299" s="122" t="s">
        <v>3318</v>
      </c>
      <c r="P299" s="50">
        <v>48.8201334</v>
      </c>
      <c r="Q299" s="109">
        <v>19.4013389</v>
      </c>
      <c r="R299" s="102" t="s">
        <v>3319</v>
      </c>
      <c r="S299" s="66" t="s">
        <v>3320</v>
      </c>
      <c r="T299" s="124" t="s">
        <v>3321</v>
      </c>
      <c r="U299" s="54" t="s">
        <v>3322</v>
      </c>
      <c r="V299" s="84" t="s">
        <v>3323</v>
      </c>
      <c r="W299" s="77" t="s">
        <v>3324</v>
      </c>
      <c r="X299" s="77" t="s">
        <v>3325</v>
      </c>
      <c r="Y299" s="121" t="s">
        <v>3326</v>
      </c>
      <c r="Z299" s="119" t="s">
        <v>3327</v>
      </c>
      <c r="AA299" s="125" t="s">
        <v>64</v>
      </c>
      <c r="AB299" s="64"/>
      <c r="AC299" s="64"/>
      <c r="AD299" s="64"/>
      <c r="AE299" s="64"/>
      <c r="AF299" s="65"/>
      <c r="AG299" s="65"/>
      <c r="AH299" s="65"/>
      <c r="AI299" s="64"/>
      <c r="AJ299" s="65"/>
      <c r="AK299" s="65"/>
      <c r="AL299" s="65"/>
      <c r="AM299" s="52"/>
      <c r="AN299" s="80" t="s">
        <v>39</v>
      </c>
      <c r="AO299" s="68" t="str">
        <f t="shared" si="6"/>
        <v>VOX terra o.z. polnohospodarstvo a lesnictvo, vzdelavanie, zvierata, ine (tovary a sluzby), &amp;#32vsetky kategorie  976 97 Raztoka VOX terra, o.z. ako socialny podnik sa venuje chovu mucnych cervov (Tenebrio molitor), ich vyskumu a spracovaniu na krmivo, respektive na produkt, ktory je mozne vyuzit ako sucast krmnych zmesi (mleta sucha zlozka zo susenych cervov). Okrem tejto hlavnej cinnosti sa tiez venujeme produkcii elektronickych dokumentov, audio a audio-vizualnych materialov s environmentalnou tematikou a tematikou ekologickeho chovu a stravovania sa. Nahradenim ineho zivocisneho proteinu v krmnych zmesiach sa niekolkonasobne znizuje celkova spotreba vody pri ich vyrobe. V zimnych mesiacoch pravidelne prikrmujeme vtactvo vo vybranych lokalitach krmivom so zlozkou mucnych cervov. Hmyzia farma VOX terra Mucne cervy, zive, susene, mlete, krmiva z nich vyrabane, organicke hnojivo z hmyzieho substratu. hmyz, enebrio, molitor, frass, mucne cervy, krmivo, krmna zmes           Register partnerov VS</v>
      </c>
      <c r="AP299" s="69" t="s">
        <v>41</v>
      </c>
    </row>
    <row r="300" ht="15.75" customHeight="1">
      <c r="A300" s="45"/>
      <c r="B300" s="70">
        <v>298.0</v>
      </c>
      <c r="C300" s="116" t="s">
        <v>3328</v>
      </c>
      <c r="D300" s="71" t="s">
        <v>181</v>
      </c>
      <c r="E300" s="43" t="str">
        <f t="shared" si="1"/>
        <v>Banskobystrický kraj, &amp;#32celé Slovensko</v>
      </c>
      <c r="F300" s="44" t="s">
        <v>3329</v>
      </c>
      <c r="G300" s="43" t="str">
        <f t="shared" si="2"/>
        <v>ubytovacie a stravovacie služby, pre deti, kultúra a šport, cestovný ruch, &amp;#32všetky kategórie</v>
      </c>
      <c r="H300" s="44" t="s">
        <v>53</v>
      </c>
      <c r="I300" s="45" t="str">
        <f t="shared" si="3"/>
        <v>1 - 5, &amp;#32všetky možnosti</v>
      </c>
      <c r="J300" s="46" t="str">
        <f t="shared" si="4"/>
        <v>,</v>
      </c>
      <c r="K300" s="47">
        <f t="shared" si="5"/>
        <v>13756.65231</v>
      </c>
      <c r="L300" s="45"/>
      <c r="M300" s="49" t="str">
        <f>IFERROR(__xludf.DUMMYFUNCTION("SPLIT(O300,"","")"),"Ul. A. Kmeťa 2")</f>
        <v>Ul. A. Kmeťa 2</v>
      </c>
      <c r="N300" s="48" t="str">
        <f>IFERROR(__xludf.DUMMYFUNCTION("""COMPUTED_VALUE""")," 969 01 Banská Štiavnica")</f>
        <v> 969 01 Banská Štiavnica</v>
      </c>
      <c r="O300" s="122" t="s">
        <v>3330</v>
      </c>
      <c r="P300" s="50">
        <v>48.4586257</v>
      </c>
      <c r="Q300" s="109">
        <v>18.8934517</v>
      </c>
      <c r="R300" s="123" t="s">
        <v>3331</v>
      </c>
      <c r="S300" s="66" t="s">
        <v>1759</v>
      </c>
      <c r="T300" s="124" t="s">
        <v>3332</v>
      </c>
      <c r="U300" s="54" t="s">
        <v>3333</v>
      </c>
      <c r="V300" s="84" t="s">
        <v>3334</v>
      </c>
      <c r="W300" s="77" t="s">
        <v>3335</v>
      </c>
      <c r="X300" s="77" t="s">
        <v>3336</v>
      </c>
      <c r="Y300" s="121" t="s">
        <v>3337</v>
      </c>
      <c r="Z300" s="119" t="s">
        <v>3338</v>
      </c>
      <c r="AA300" s="125" t="s">
        <v>64</v>
      </c>
      <c r="AB300" s="64"/>
      <c r="AC300" s="64"/>
      <c r="AD300" s="64"/>
      <c r="AE300" s="64"/>
      <c r="AF300" s="65"/>
      <c r="AG300" s="65"/>
      <c r="AH300" s="65"/>
      <c r="AI300" s="64"/>
      <c r="AJ300" s="65"/>
      <c r="AK300" s="65"/>
      <c r="AL300" s="65"/>
      <c r="AM300" s="36"/>
      <c r="AN300" s="65"/>
      <c r="AO300" s="68" t="str">
        <f t="shared" si="6"/>
        <v>LN Trade pod Sitnom, s. r. o. ubytovacie a stravovacie sluzby, pre deti, kultura a sport, cestovny ruch, &amp;#32vsetky kategorie  969 01 Banska Stiavnica Poskytuje ubytovanie v krasnom prostredi Stiavnickych vrchov pod majestatnym vrchom Sitno. Zabezpecujeme pobyty pre deti, mladez, dospelych aj seniorov zo vsetkych regionov Slovenska, organizujeme lyziarske a plavecke vycviky, detske tabory, skoly v prirode, rekreacne a rekondicne pobyty pre vsetky vekove kategorie. Nasim zamerom je vyhoviet poziadavkam vsetkych klientov od tych najmensich az po tych najstarsich, ponukame bohaty program, z ktoreho si vie vybrat aj ten najnarocnejsi zakaznik. Atmosfera carovneho horskeho prostredia pod mohutnym Sitnom, v blizkosti starobylej a historiou opantanej Banskej Stiavnice, je toho zarukou. 
 Plne vybavena a zariadena horska chata Lodiar s kapacitou 110 osob, s kompletne vybavenou kuchynou, jedalnou, ubytovacimi priestormi, spolocenskou miestnostou, vonkajsimi sportoviskami ponuka vhodne podmienky na organizovanie pobytov pre vsetky typy klientov. Tesime sa na vasu navstevu. Zamestnavanie znevyhodnenych a zranitelnych osob. Chata Lodiar Plne vybavena a zariadena horska chata Lodiar s kapacitou 110 osob, s kompletne vybavenou kuchynou, jedalnou, ubytovacimi priestormi, spolocenskou miestnostou, vonkajsimi sportoviskami ponuka vhodne podmienky na organizovanie pobytov pre vsetky typy klientov v krasnom prostredi Stiavnickych vrchov. Zabezpecujeme pobyty pre deti, mladez, dospelych aj seniorov zo vsetkych regionov Slovenska, organizujeme lyziarske a plavecke vycviky, detske tabory, skoly v prirode, rekreacne a rekondicne pobyty pre vsetky vekove kategorie. 
 Tesime sa na vasu navstevu. ubytovanie, rekreacne a rekondicne pobyty, skoly v prirode, organizacia oslav, svadieb, karov, detske tabory, horska chata, lyziarska skola, plavecky vycvik, rekondicny pobyt           </v>
      </c>
      <c r="AP300" s="82"/>
    </row>
    <row r="301" ht="15.75" customHeight="1">
      <c r="A301" s="45"/>
      <c r="B301" s="70">
        <v>299.0</v>
      </c>
      <c r="C301" s="116" t="s">
        <v>3339</v>
      </c>
      <c r="D301" s="71" t="s">
        <v>51</v>
      </c>
      <c r="E301" s="43" t="str">
        <f t="shared" si="1"/>
        <v>Prešovský kraj, &amp;#32celé Slovensko</v>
      </c>
      <c r="F301" s="44" t="s">
        <v>3340</v>
      </c>
      <c r="G301" s="43" t="str">
        <f t="shared" si="2"/>
        <v>stavebníctvo, dom a záhrada, odpady a recyklácia, &amp;#32všetky kategórie</v>
      </c>
      <c r="H301" s="44" t="s">
        <v>53</v>
      </c>
      <c r="I301" s="45" t="str">
        <f t="shared" si="3"/>
        <v>1 - 5, &amp;#32všetky možnosti</v>
      </c>
      <c r="J301" s="46" t="str">
        <f t="shared" si="4"/>
        <v>,</v>
      </c>
      <c r="K301" s="47">
        <f t="shared" si="5"/>
        <v>39885.44674</v>
      </c>
      <c r="L301" s="45"/>
      <c r="M301" s="49" t="str">
        <f>IFERROR(__xludf.DUMMYFUNCTION("SPLIT(O301,"","")"),"Radvaň nad Laborcom 248")</f>
        <v>Radvaň nad Laborcom 248</v>
      </c>
      <c r="N301" s="48" t="str">
        <f>IFERROR(__xludf.DUMMYFUNCTION("""COMPUTED_VALUE""")," 067 01 Radvaň nad Laborcom")</f>
        <v> 067 01 Radvaň nad Laborcom</v>
      </c>
      <c r="O301" s="77" t="s">
        <v>3341</v>
      </c>
      <c r="P301" s="50">
        <v>49.1308617</v>
      </c>
      <c r="Q301" s="109">
        <v>21.9343993</v>
      </c>
      <c r="R301" s="102" t="s">
        <v>3342</v>
      </c>
      <c r="S301" s="66" t="s">
        <v>3343</v>
      </c>
      <c r="T301" s="131" t="s">
        <v>3344</v>
      </c>
      <c r="U301" s="134" t="s">
        <v>3345</v>
      </c>
      <c r="V301" s="135" t="s">
        <v>3346</v>
      </c>
      <c r="W301" s="77" t="s">
        <v>3347</v>
      </c>
      <c r="X301" s="77" t="s">
        <v>3348</v>
      </c>
      <c r="Y301" s="121" t="s">
        <v>3349</v>
      </c>
      <c r="Z301" s="119" t="s">
        <v>3350</v>
      </c>
      <c r="AA301" s="125" t="s">
        <v>64</v>
      </c>
      <c r="AB301" s="64"/>
      <c r="AC301" s="64"/>
      <c r="AD301" s="64"/>
      <c r="AE301" s="64"/>
      <c r="AF301" s="65"/>
      <c r="AG301" s="65"/>
      <c r="AH301" s="65"/>
      <c r="AI301" s="64"/>
      <c r="AJ301" s="65"/>
      <c r="AK301" s="65"/>
      <c r="AL301" s="65"/>
      <c r="AM301" s="36"/>
      <c r="AN301" s="65"/>
      <c r="AO301" s="68" t="str">
        <f t="shared" si="6"/>
        <v>MST trading s. r. o. stavebnictvo, dom a zahrada, odpady a recyklacia, &amp;#32vsetky kategorie  067 01 Radvan nad Laborcom Nasa spolocnost sa zaobera upravou zahrad, zavlahovych systemov, pokladkou zamkovej dlazby, upravou pozemkov. Neustale vyhladavame nove zakazky a prilezitosti, aby sa nam podarilo zamestnat co najviac ludi, ktori nie su uspesni na trhu prace. MST Trading s.r.o. Uprava pozemkov, zahrad, realizacia travnikov, zavlahovych systemov, bagrovanie a dovoz materialu. bager, uprava pozemku, zakova dlazba, zahrady, zavlahovy system, pozemok, travnik, chodniky, parkovisko, dovoz materialu,           </v>
      </c>
      <c r="AP301" s="82"/>
    </row>
    <row r="302" ht="15.75" customHeight="1">
      <c r="A302" s="45"/>
      <c r="B302" s="70">
        <v>300.0</v>
      </c>
      <c r="C302" s="116" t="s">
        <v>3351</v>
      </c>
      <c r="D302" s="71" t="s">
        <v>217</v>
      </c>
      <c r="E302" s="43" t="str">
        <f t="shared" si="1"/>
        <v>Košický kraj, &amp;#32celé Slovensko</v>
      </c>
      <c r="F302" s="44" t="s">
        <v>3352</v>
      </c>
      <c r="G302" s="43" t="str">
        <f t="shared" si="2"/>
        <v>reklama, auto-moto,, &amp;#32všetky kategórie</v>
      </c>
      <c r="H302" s="44" t="s">
        <v>53</v>
      </c>
      <c r="I302" s="45" t="str">
        <f t="shared" si="3"/>
        <v>1 - 5, &amp;#32všetky možnosti</v>
      </c>
      <c r="J302" s="46" t="str">
        <f t="shared" si="4"/>
        <v>,Register partnerov VS</v>
      </c>
      <c r="K302" s="47">
        <f t="shared" si="5"/>
        <v>29396.12264</v>
      </c>
      <c r="L302" s="45"/>
      <c r="M302" s="49" t="str">
        <f>IFERROR(__xludf.DUMMYFUNCTION("SPLIT(O302,"","")"),"Polárna 1450/6")</f>
        <v>Polárna 1450/6</v>
      </c>
      <c r="N302" s="48" t="str">
        <f>IFERROR(__xludf.DUMMYFUNCTION("""COMPUTED_VALUE""")," 040 12 Košice")</f>
        <v> 040 12 Košice</v>
      </c>
      <c r="O302" s="122" t="s">
        <v>3353</v>
      </c>
      <c r="P302" s="50">
        <v>48.6828634</v>
      </c>
      <c r="Q302" s="109">
        <v>21.2935497</v>
      </c>
      <c r="R302" s="102" t="s">
        <v>3354</v>
      </c>
      <c r="S302" s="102" t="s">
        <v>3355</v>
      </c>
      <c r="T302" s="124" t="s">
        <v>86</v>
      </c>
      <c r="U302" s="54" t="s">
        <v>3356</v>
      </c>
      <c r="V302" s="135" t="s">
        <v>3357</v>
      </c>
      <c r="W302" s="77" t="s">
        <v>3358</v>
      </c>
      <c r="X302" s="77" t="s">
        <v>3359</v>
      </c>
      <c r="Y302" s="121" t="s">
        <v>3360</v>
      </c>
      <c r="Z302" s="119" t="s">
        <v>3361</v>
      </c>
      <c r="AA302" s="125" t="s">
        <v>64</v>
      </c>
      <c r="AB302" s="64"/>
      <c r="AC302" s="64"/>
      <c r="AD302" s="64"/>
      <c r="AE302" s="64"/>
      <c r="AF302" s="65"/>
      <c r="AG302" s="65"/>
      <c r="AH302" s="65"/>
      <c r="AI302" s="64"/>
      <c r="AJ302" s="65"/>
      <c r="AK302" s="65"/>
      <c r="AL302" s="65"/>
      <c r="AM302" s="52"/>
      <c r="AN302" s="80" t="s">
        <v>39</v>
      </c>
      <c r="AO302" s="68" t="str">
        <f t="shared" si="6"/>
        <v>VIRA print s. r. o. r. s. p. reklama, auto-moto,, &amp;#32vsetky kategorie  040 12 Kosice Reklamne studio, vyroba velkoplosnej reklamy, kalendare, brozury, polep automobilov. Zamestnavame zdravotne znevyhodneneho zamestnanca. VIRA print s.r.o. r.s.p. Vyroba reklamy. reklamna cinnost           Register partnerov VS</v>
      </c>
      <c r="AP302" s="82"/>
    </row>
    <row r="303" ht="15.75" customHeight="1">
      <c r="A303" s="45"/>
      <c r="B303" s="70">
        <v>301.0</v>
      </c>
      <c r="C303" s="116" t="s">
        <v>3362</v>
      </c>
      <c r="D303" s="71" t="s">
        <v>217</v>
      </c>
      <c r="E303" s="43" t="str">
        <f t="shared" si="1"/>
        <v>Košický kraj, &amp;#32celé Slovensko</v>
      </c>
      <c r="F303" s="44" t="s">
        <v>3363</v>
      </c>
      <c r="G303" s="43" t="str">
        <f t="shared" si="2"/>
        <v>dom a záhrada, stavebníctvo, doprava, iné (tovary a služby), &amp;#32všetky kategórie</v>
      </c>
      <c r="H303" s="44" t="s">
        <v>96</v>
      </c>
      <c r="I303" s="45" t="str">
        <f t="shared" si="3"/>
        <v>6 - 10, &amp;#32všetky možnosti</v>
      </c>
      <c r="J303" s="46" t="str">
        <f t="shared" si="4"/>
        <v>,</v>
      </c>
      <c r="K303" s="47">
        <f t="shared" si="5"/>
        <v>4839.053427</v>
      </c>
      <c r="L303" s="45"/>
      <c r="M303" s="49" t="str">
        <f>IFERROR(__xludf.DUMMYFUNCTION("SPLIT(O303,"","")"),"Levočská 64")</f>
        <v>Levočská 64</v>
      </c>
      <c r="N303" s="48" t="str">
        <f>IFERROR(__xludf.DUMMYFUNCTION("""COMPUTED_VALUE""")," 053 01 Harichovce")</f>
        <v> 053 01 Harichovce</v>
      </c>
      <c r="O303" s="122" t="s">
        <v>3364</v>
      </c>
      <c r="P303" s="50">
        <v>48.9578020999999</v>
      </c>
      <c r="Q303" s="109">
        <v>20.5831776</v>
      </c>
      <c r="R303" s="123" t="s">
        <v>3365</v>
      </c>
      <c r="S303" s="102" t="s">
        <v>3366</v>
      </c>
      <c r="T303" s="124" t="s">
        <v>86</v>
      </c>
      <c r="U303" s="54" t="s">
        <v>3367</v>
      </c>
      <c r="V303" s="135" t="s">
        <v>3368</v>
      </c>
      <c r="W303" s="77" t="s">
        <v>3369</v>
      </c>
      <c r="X303" s="77" t="s">
        <v>3370</v>
      </c>
      <c r="Y303" s="121" t="s">
        <v>3371</v>
      </c>
      <c r="Z303" s="119" t="s">
        <v>3372</v>
      </c>
      <c r="AA303" s="125" t="s">
        <v>64</v>
      </c>
      <c r="AB303" s="64"/>
      <c r="AC303" s="64"/>
      <c r="AD303" s="64"/>
      <c r="AE303" s="64"/>
      <c r="AF303" s="65"/>
      <c r="AG303" s="65"/>
      <c r="AH303" s="65"/>
      <c r="AI303" s="64"/>
      <c r="AJ303" s="65"/>
      <c r="AK303" s="65"/>
      <c r="AL303" s="65"/>
      <c r="AM303" s="36"/>
      <c r="AN303" s="65"/>
      <c r="AO303" s="68" t="str">
        <f t="shared" si="6"/>
        <v>Stefan Zabojnik dom a zahrada, stavebnictvo, doprava, ine (tovary a sluzby), &amp;#32vsetky kategorie  053 01 Harichovce V nasej ponuke je: - opracovanie a osetrovanie kamena,
 - vyroba dlazobnych kociek, nahrobnych kamenov, uprava hrobovych miest,
 - ukladanie zamkovej dlazby,
 - vyroba dlazobnych kociek a ich nasledne ukladanie - vytvaranie roznych zaujimavych vzorov na chodnikoch,
 - vystavba kamennych murov (tzv. gabiony),
 - vykop hrobovych miest, realizacia 1- aj 2-hrobov, urnovych hrobov,
 - epitafne dosky, pamatne tabule,
 - rekonstrukcia a renovacia pomnikov,
 - realizacia navrhov atypickych pomnikov,
 - vyroba kuchynskych a kupelnovych dosiek z prirodneho a umeleho kamena s vyrezmi na mieru, vratane technickeho zameru a montaze,
 - interierove a exterierove obkladacske prace v rodinnych domoch pre sukromne osoby aj podnikatelske firmy,
 - poskytovanie sluzieb v oblasti nakladnej dopravy napriklad prevoz materialu fyzickym osobam, ale aj podnikatelskym subjektom Zdravotne postihnuti ludia vo vseobecnosti nemaju na Slovensku rovnake moznosti uplatnenia sa na trhu prace ako zdravi obcania a ich zdravotne postihnutie je pre nich vzdy handicapom, preto vytvorenie socialneho integracneho podniku v oblasti tohto podnikania vnimame ako velmi pozitivnu formu pomoci tymto ludom pri uplatneni sa na trhu prace. Takato pomoc ma nepopieratelne priamy dopad na fungovanie slovenskej ekonomiky a rozvoj maleho a stredneho podnikania, cim dava priamu sancu vytvorit pre znevyhodnenych ludi priaznive podmienky a poskytnut konkretnu pomoc v pracovnej oblasti ich zivota. Nas socialny integracny podnik budeme aj nadalej lokalizovat v sulade s miestom nasho podnikania, t. j. region Spisska Nova Ves. Kamenarstvo Stefan Zabojnik Realizujeme: - dovoz kamena vlastnou dopravou priamo z kamenolomu na dalsie opracovanie a nasledne spracovanie do podoby kamennych kociek, 
 - dovoz nahrobnych kamenov vlastnou dopravou, ich finalne upravy - pieskovanie napisov, doplnenie ozdob,
 - rekonstrukcie starych pomnikov
 - rozne atypicke pomniky, 
 - vykop hrobov vlastnymi strojmi (bager) a uprava hrobovych miest, umiestnenie hrobovych platni a konecna uprava terenu na cintorine,
 - ukladanie dlazby do roznych vzorov, uprava dvorov sukromnym osobam, ale aj ulic miest podla dohody,
 - ukladanie dlazobnych kociek, ktore si sami vyrobime z prirodneho kamena,
 - vytvaranie kamennych oploteni, ktore sluzia ako oporne mury a podobne,
 - vyroba interierovych dosiek z prirodneho a umeleho kamena s vyrezmi na mieru, vratane technickeho zameru a montaze. kamenarske prace           </v>
      </c>
      <c r="AP303" s="82"/>
    </row>
    <row r="304" ht="15.75" customHeight="1">
      <c r="A304" s="45"/>
      <c r="B304" s="70">
        <v>302.0</v>
      </c>
      <c r="C304" s="116" t="s">
        <v>3373</v>
      </c>
      <c r="D304" s="71" t="s">
        <v>134</v>
      </c>
      <c r="E304" s="43" t="str">
        <f t="shared" si="1"/>
        <v>Trenčiansky kraj, &amp;#32celé Slovensko</v>
      </c>
      <c r="F304" s="44" t="s">
        <v>3374</v>
      </c>
      <c r="G304" s="43" t="str">
        <f t="shared" si="2"/>
        <v>ubytovacie a stravovacie služby, potraviny a nápoje, krása-zdravie-relax, &amp;#32všetky kategórie</v>
      </c>
      <c r="H304" s="44" t="s">
        <v>82</v>
      </c>
      <c r="I304" s="45" t="str">
        <f t="shared" si="3"/>
        <v>11 - 15, &amp;#32všetky možnosti</v>
      </c>
      <c r="J304" s="46" t="str">
        <f t="shared" si="4"/>
        <v>,Register partnerov VS</v>
      </c>
      <c r="K304" s="47">
        <f t="shared" si="5"/>
        <v>1240.638304</v>
      </c>
      <c r="L304" s="45"/>
      <c r="M304" s="49" t="str">
        <f>IFERROR(__xludf.DUMMYFUNCTION("SPLIT(O304,"","")"),"Mierové námestie 93/26")</f>
        <v>Mierové námestie 93/26</v>
      </c>
      <c r="N304" s="48" t="str">
        <f>IFERROR(__xludf.DUMMYFUNCTION("""COMPUTED_VALUE""")," 019 01 Ilava")</f>
        <v> 019 01 Ilava</v>
      </c>
      <c r="O304" s="122" t="s">
        <v>3375</v>
      </c>
      <c r="P304" s="50">
        <v>48.9975781</v>
      </c>
      <c r="Q304" s="109">
        <v>18.2335629</v>
      </c>
      <c r="R304" s="102" t="s">
        <v>3376</v>
      </c>
      <c r="S304" s="102" t="s">
        <v>3377</v>
      </c>
      <c r="T304" s="124" t="s">
        <v>86</v>
      </c>
      <c r="U304" s="54" t="s">
        <v>3378</v>
      </c>
      <c r="V304" s="135" t="s">
        <v>3379</v>
      </c>
      <c r="W304" s="77" t="s">
        <v>3380</v>
      </c>
      <c r="X304" s="77" t="s">
        <v>3381</v>
      </c>
      <c r="Y304" s="121" t="s">
        <v>3382</v>
      </c>
      <c r="Z304" s="119" t="s">
        <v>3383</v>
      </c>
      <c r="AA304" s="136" t="s">
        <v>129</v>
      </c>
      <c r="AB304" s="64" t="s">
        <v>3384</v>
      </c>
      <c r="AC304" s="77" t="s">
        <v>3385</v>
      </c>
      <c r="AD304" s="77" t="s">
        <v>3386</v>
      </c>
      <c r="AE304" s="129" t="s">
        <v>129</v>
      </c>
      <c r="AF304" s="77" t="s">
        <v>3387</v>
      </c>
      <c r="AG304" s="77" t="s">
        <v>3388</v>
      </c>
      <c r="AH304" s="77" t="s">
        <v>3389</v>
      </c>
      <c r="AI304" s="137" t="s">
        <v>129</v>
      </c>
      <c r="AJ304" s="64" t="s">
        <v>3390</v>
      </c>
      <c r="AK304" s="64" t="s">
        <v>3390</v>
      </c>
      <c r="AL304" s="77" t="s">
        <v>3391</v>
      </c>
      <c r="AM304" s="52"/>
      <c r="AN304" s="80" t="s">
        <v>39</v>
      </c>
      <c r="AO304" s="68" t="str">
        <f t="shared" si="6"/>
        <v>KAMO PLUS s. r. o. ubytovacie a stravovacie sluzby, potraviny a napoje, krasa-zdravie-relax, &amp;#32vsetky kategorie  019 01 Ilava Ponukame pre konecnych spotrebitelov kvaskove vyrobky ako chlieb, pizza, langose, sisky - chlieb a pecivo z vlasne zomletej muky z obilia KAMUT, JEDNOZRNKA, DVOJZRNKA , SPALDA a RAZ. V ponuke mame aj rozne druhy zdravych zeleninovych a ovocnych salatov. 
 V kaviarni si mozete vychutnat pravu taliansku kavu a rozne ine kavove speciality z talianskeho mlieka.
 Ponukame aj BEMEROTERAPIU a OXIGENOTERAPIU. Podpora zamestnanosti prostrednictvom zamestnavania znevyhodnenych osob alebo zranitelnych osob. BISTRO KAMO - rychle obcerstvenie Toto rychle obcerstvenie sa zaobera vyrobou a predajom zdravej stravy ako su rozne druhy salatov s falafelom a humusom a pod. Robime tiez kvaskovu pizzu celu a aj kusky do ruky. Ponukame aj rozne smoothy napoje a cerstve ovocne a zeleninove stavy. Zdrave rychle obcerstvenie. DIDA CAFFE Kaviaren so sirokou ponukou zakuskov, smoothy napojov, cerstvych ovocnych a zeleninovych stiav. Kaviaren. KVASKOVA PEKAREN KAMO. Kvaskova pekaren a jej vyrobky z cerstvo zomletej muky z obilia KAMUT, JEDNOZRNKA, DVOJZRNKA, RAZ a SPALDA. Ponukame aj tieto cerstvo zomlete muky. Kvaskova pekaren ponukame chlieb kamutovy, jednozrnkovy dvojzrnkovy spaldovy, razny a semolinovy. A taktiez pecivo z tychto muk. Bemeroterapia a oxigenpterapia Bemeroterapia a oxigenpterapia Bemeroterapia a oxigenpterapia zaobera sa cistenim najtensich kapilarnych ciev.  Register partnerov VS</v>
      </c>
      <c r="AP304" s="82"/>
    </row>
    <row r="305" ht="15.75" customHeight="1">
      <c r="A305" s="45"/>
      <c r="B305" s="70">
        <v>303.0</v>
      </c>
      <c r="C305" s="116" t="s">
        <v>3392</v>
      </c>
      <c r="D305" s="71" t="s">
        <v>80</v>
      </c>
      <c r="E305" s="43" t="str">
        <f t="shared" si="1"/>
        <v>Trnavský kraj, &amp;#32celé Slovensko</v>
      </c>
      <c r="F305" s="44" t="s">
        <v>3393</v>
      </c>
      <c r="G305" s="43" t="str">
        <f t="shared" si="2"/>
        <v>čistiace a upratovacie služby, poľnohospodárstvo a lesníctvo, dom a záhrada, &amp;#32všetky kategórie</v>
      </c>
      <c r="H305" s="44" t="s">
        <v>53</v>
      </c>
      <c r="I305" s="45" t="str">
        <f t="shared" si="3"/>
        <v>1 - 5, &amp;#32všetky možnosti</v>
      </c>
      <c r="J305" s="46" t="str">
        <f t="shared" si="4"/>
        <v>,Register partnerov VS</v>
      </c>
      <c r="K305" s="47">
        <f t="shared" si="5"/>
        <v>10099.51988</v>
      </c>
      <c r="L305" s="45"/>
      <c r="M305" s="49" t="str">
        <f>IFERROR(__xludf.DUMMYFUNCTION("SPLIT(O305,"","")"),"Štefánikova 1318/69A")</f>
        <v>Štefánikova 1318/69A</v>
      </c>
      <c r="N305" s="48" t="str">
        <f>IFERROR(__xludf.DUMMYFUNCTION("""COMPUTED_VALUE""")," 905 01 Senica")</f>
        <v> 905 01 Senica</v>
      </c>
      <c r="O305" s="122" t="s">
        <v>3394</v>
      </c>
      <c r="P305" s="50">
        <v>48.6816788999999</v>
      </c>
      <c r="Q305" s="109">
        <v>17.3784679</v>
      </c>
      <c r="R305" s="123" t="s">
        <v>3395</v>
      </c>
      <c r="S305" s="102" t="s">
        <v>3396</v>
      </c>
      <c r="T305" s="124" t="s">
        <v>86</v>
      </c>
      <c r="U305" s="54" t="s">
        <v>3397</v>
      </c>
      <c r="V305" s="135" t="s">
        <v>3398</v>
      </c>
      <c r="W305" s="77" t="s">
        <v>3399</v>
      </c>
      <c r="X305" s="77" t="s">
        <v>3392</v>
      </c>
      <c r="Y305" s="121" t="s">
        <v>3400</v>
      </c>
      <c r="Z305" s="119" t="s">
        <v>3401</v>
      </c>
      <c r="AA305" s="125" t="s">
        <v>64</v>
      </c>
      <c r="AB305" s="64"/>
      <c r="AC305" s="64"/>
      <c r="AD305" s="64"/>
      <c r="AE305" s="64"/>
      <c r="AF305" s="65"/>
      <c r="AG305" s="65"/>
      <c r="AH305" s="65"/>
      <c r="AI305" s="64"/>
      <c r="AJ305" s="65"/>
      <c r="AK305" s="65"/>
      <c r="AL305" s="65"/>
      <c r="AM305" s="52"/>
      <c r="AN305" s="80" t="s">
        <v>39</v>
      </c>
      <c r="AO305" s="68" t="str">
        <f t="shared" si="6"/>
        <v>Socialny podnik mesta Senica, s. r. o. cistiace a upratovacie sluzby, polnohospodarstvo a lesnictvo, dom a zahrada, &amp;#32vsetky kategorie  905 01 Senica Udrzba a starostlivost o zelen (kosenie, cistenie komunikacii, hrabanie listia, vysadba kvetin a drevin, starostlivost o zahony, orezavanie drevin), malovanie bytovych a nebytovych priestorov, upratovacie sluzby. Zamestnavame 80% znevyhodnenych osob. Socialny podnik mesta Senica, s. r. o. nemame prevadzku upratovanie a starostlivost o zelen           Register partnerov VS</v>
      </c>
      <c r="AP305" s="69" t="s">
        <v>41</v>
      </c>
    </row>
    <row r="306" ht="15.75" customHeight="1">
      <c r="A306" s="45"/>
      <c r="B306" s="70">
        <v>304.0</v>
      </c>
      <c r="C306" s="116" t="s">
        <v>3402</v>
      </c>
      <c r="D306" s="71" t="s">
        <v>181</v>
      </c>
      <c r="E306" s="43" t="str">
        <f t="shared" si="1"/>
        <v>Banskobystrický kraj, &amp;#32celé Slovensko</v>
      </c>
      <c r="F306" s="44" t="s">
        <v>3403</v>
      </c>
      <c r="G306" s="43" t="str">
        <f t="shared" si="2"/>
        <v>potraviny a nápoje, ubytovacie a stravovacie služby,, &amp;#32všetky kategórie</v>
      </c>
      <c r="H306" s="44" t="s">
        <v>96</v>
      </c>
      <c r="I306" s="45" t="str">
        <f t="shared" si="3"/>
        <v>6 - 10, &amp;#32všetky možnosti</v>
      </c>
      <c r="J306" s="46" t="str">
        <f t="shared" si="4"/>
        <v>,Register partnerov VS</v>
      </c>
      <c r="K306" s="47">
        <f t="shared" si="5"/>
        <v>30778.72486</v>
      </c>
      <c r="L306" s="45"/>
      <c r="M306" s="49" t="str">
        <f>IFERROR(__xludf.DUMMYFUNCTION("SPLIT(O306,"","")"),"Škultétyho 1985/8")</f>
        <v>Škultétyho 1985/8</v>
      </c>
      <c r="N306" s="48" t="str">
        <f>IFERROR(__xludf.DUMMYFUNCTION("""COMPUTED_VALUE""")," 979 01 Rimavská Sobota")</f>
        <v> 979 01 Rimavská Sobota</v>
      </c>
      <c r="O306" s="122" t="s">
        <v>3404</v>
      </c>
      <c r="P306" s="50">
        <v>48.3848656</v>
      </c>
      <c r="Q306" s="109">
        <v>20.0165156</v>
      </c>
      <c r="R306" s="102" t="s">
        <v>3405</v>
      </c>
      <c r="S306" s="102" t="s">
        <v>3406</v>
      </c>
      <c r="T306" s="124" t="s">
        <v>86</v>
      </c>
      <c r="U306" s="54" t="s">
        <v>3407</v>
      </c>
      <c r="V306" s="135" t="s">
        <v>3408</v>
      </c>
      <c r="W306" s="77" t="s">
        <v>3409</v>
      </c>
      <c r="X306" s="77" t="s">
        <v>3410</v>
      </c>
      <c r="Y306" s="121" t="s">
        <v>3411</v>
      </c>
      <c r="Z306" s="119" t="s">
        <v>289</v>
      </c>
      <c r="AA306" s="136" t="s">
        <v>129</v>
      </c>
      <c r="AB306" s="64" t="s">
        <v>3412</v>
      </c>
      <c r="AC306" s="77" t="s">
        <v>3413</v>
      </c>
      <c r="AD306" s="77" t="s">
        <v>3414</v>
      </c>
      <c r="AE306" s="129" t="s">
        <v>129</v>
      </c>
      <c r="AF306" s="77" t="s">
        <v>3412</v>
      </c>
      <c r="AG306" s="77" t="s">
        <v>3413</v>
      </c>
      <c r="AH306" s="77" t="s">
        <v>3414</v>
      </c>
      <c r="AI306" s="64" t="s">
        <v>64</v>
      </c>
      <c r="AJ306" s="64"/>
      <c r="AK306" s="64"/>
      <c r="AL306" s="64"/>
      <c r="AM306" s="52"/>
      <c r="AN306" s="80" t="s">
        <v>39</v>
      </c>
      <c r="AO306" s="68" t="str">
        <f t="shared" si="6"/>
        <v>MILAJA-MEAT r.s.p., s. r. o. potraviny a napoje, ubytovacie a stravovacie sluzby,, &amp;#32vsetky kategorie  979 01 Rimavska Sobota Prevadzkujeme jednu restauraciu a dve maloobchodne predajne zamerane najma na maso a masove vyrobky. Zamestnavame obcanov zo skupiny zranitelnych a znevyhodnenych osob. Restauracia EUROPA V nasej restauracii ponukame denne menu aj jedla na objednavku. V nasich priestoroch Vam radi zorganizujeme Vase rodinne akcie ako promocie, svadby, smutocne posedenia (kary), firemne akcie, zivotne jubilea, ... restauracia MILAJA-MEAT r.s.p., s.r.o. Predajna masa a masovych vyrobkov a trvanlivych potravin. predajna masa MILAJA-MEAT r.s.p., s.r.o. Predajna masa a masovych vyrobkov a trvanlivych potravin. predajna masa     Register partnerov VS</v>
      </c>
      <c r="AP306" s="82"/>
    </row>
    <row r="307" ht="15.75" customHeight="1">
      <c r="A307" s="45"/>
      <c r="B307" s="70">
        <v>305.0</v>
      </c>
      <c r="C307" s="116" t="s">
        <v>3415</v>
      </c>
      <c r="D307" s="71" t="s">
        <v>181</v>
      </c>
      <c r="E307" s="43" t="str">
        <f t="shared" si="1"/>
        <v>Banskobystrický kraj, &amp;#32celé Slovensko</v>
      </c>
      <c r="F307" s="44" t="s">
        <v>3416</v>
      </c>
      <c r="G307" s="43" t="str">
        <f t="shared" si="2"/>
        <v>čistiace a upratovacie služby, dom a záhrada, stavebníctvo, doprava, vzdelávanie, odpady a recyklácia, pre deti, &amp;#32všetky kategórie</v>
      </c>
      <c r="H307" s="44" t="s">
        <v>53</v>
      </c>
      <c r="I307" s="45" t="str">
        <f t="shared" si="3"/>
        <v>1 - 5, &amp;#32všetky možnosti</v>
      </c>
      <c r="J307" s="46" t="str">
        <f t="shared" si="4"/>
        <v>,</v>
      </c>
      <c r="K307" s="47">
        <f t="shared" si="5"/>
        <v>15131.87668</v>
      </c>
      <c r="L307" s="45"/>
      <c r="M307" s="49" t="str">
        <f>IFERROR(__xludf.DUMMYFUNCTION("SPLIT(O307,"","")"),"Lenka 89")</f>
        <v>Lenka 89</v>
      </c>
      <c r="N307" s="48" t="str">
        <f>IFERROR(__xludf.DUMMYFUNCTION("""COMPUTED_VALUE""")," 980 50 Lenka")</f>
        <v> 980 50 Lenka</v>
      </c>
      <c r="O307" s="122" t="s">
        <v>3417</v>
      </c>
      <c r="P307" s="50">
        <v>48.3867335</v>
      </c>
      <c r="Q307" s="109">
        <v>20.3471027</v>
      </c>
      <c r="R307" s="123" t="s">
        <v>3418</v>
      </c>
      <c r="S307" s="102" t="s">
        <v>3419</v>
      </c>
      <c r="T307" s="124" t="s">
        <v>86</v>
      </c>
      <c r="U307" s="54" t="s">
        <v>3420</v>
      </c>
      <c r="V307" s="135" t="s">
        <v>3421</v>
      </c>
      <c r="W307" s="77" t="s">
        <v>3422</v>
      </c>
      <c r="X307" s="77" t="s">
        <v>3415</v>
      </c>
      <c r="Y307" s="121" t="s">
        <v>3423</v>
      </c>
      <c r="Z307" s="119" t="s">
        <v>3424</v>
      </c>
      <c r="AA307" s="125" t="s">
        <v>64</v>
      </c>
      <c r="AB307" s="64"/>
      <c r="AC307" s="64"/>
      <c r="AD307" s="64"/>
      <c r="AE307" s="64"/>
      <c r="AF307" s="65"/>
      <c r="AG307" s="65"/>
      <c r="AH307" s="65"/>
      <c r="AI307" s="64"/>
      <c r="AJ307" s="65"/>
      <c r="AK307" s="65"/>
      <c r="AL307" s="65"/>
      <c r="AM307" s="36"/>
      <c r="AN307" s="65"/>
      <c r="AO307" s="68" t="str">
        <f t="shared" si="6"/>
        <v>Socialny podnik Lenka s. r. o. cistiace a upratovacie sluzby, dom a zahrada, stavebnictvo, doprava, vzdelavanie, odpady a recyklacia, pre deti, &amp;#32vsetky kategorie  980 50 Lenka Socialny podnik Lenka s.r.o. ponuka zakaznikom vo svojom regione najma betonove dielce, podla nasho nazoru najkvalitnejsie v sirokom regione. Nas podnik poskytuje aj sluzby, ktore potrebuju mensie obce, napriklad kosenie a udrzba verejneho priestranstva, stavebne a udrzbarske prace, realizujeme opravy chodnikov, plotov, ciest a budov. Ponukame vzdelavacie aktivity pre nezamestnanych v okrese Rimavska sobota a Revuca. Spolocnost zamestnava zranitelne a znevyhodnene osoby. Socialny podnik Lenka s. r. o. Aktualne ponukame vyrobu betonovych dlazdic, udrzbu a cistenie verejneho priestranstva. betonove dlazby, zemne prace, stavebne prace, poradenstvo, kosenie           </v>
      </c>
      <c r="AP307" s="82"/>
    </row>
    <row r="308" ht="15.75" customHeight="1">
      <c r="A308" s="45"/>
      <c r="B308" s="70">
        <v>306.0</v>
      </c>
      <c r="C308" s="116" t="s">
        <v>3425</v>
      </c>
      <c r="D308" s="71" t="s">
        <v>217</v>
      </c>
      <c r="E308" s="43" t="str">
        <f t="shared" si="1"/>
        <v>Košický kraj, &amp;#32celé Slovensko</v>
      </c>
      <c r="F308" s="44" t="s">
        <v>3426</v>
      </c>
      <c r="G308" s="43" t="str">
        <f t="shared" si="2"/>
        <v>čistiace a upratovacie služby, kultúra a šport, potraviny a nápoje, reklama, stavebníctvo,, &amp;#32všetky kategórie</v>
      </c>
      <c r="H308" s="44" t="s">
        <v>82</v>
      </c>
      <c r="I308" s="45" t="str">
        <f t="shared" si="3"/>
        <v>11 - 15, &amp;#32všetky možnosti</v>
      </c>
      <c r="J308" s="46" t="str">
        <f t="shared" si="4"/>
        <v>,Register partnerov VS</v>
      </c>
      <c r="K308" s="47">
        <f t="shared" si="5"/>
        <v>42199.14191</v>
      </c>
      <c r="L308" s="45"/>
      <c r="M308" s="49" t="str">
        <f>IFERROR(__xludf.DUMMYFUNCTION("SPLIT(O308,"","")"),"Bidovce 149 ")</f>
        <v>Bidovce 149 </v>
      </c>
      <c r="N308" s="48" t="str">
        <f>IFERROR(__xludf.DUMMYFUNCTION("""COMPUTED_VALUE""")," 044 45 Bidovce")</f>
        <v> 044 45 Bidovce</v>
      </c>
      <c r="O308" s="122" t="s">
        <v>3427</v>
      </c>
      <c r="P308" s="50">
        <v>48.7366745</v>
      </c>
      <c r="Q308" s="109">
        <v>21.4404218</v>
      </c>
      <c r="R308" s="102" t="s">
        <v>3428</v>
      </c>
      <c r="S308" s="102" t="s">
        <v>3429</v>
      </c>
      <c r="T308" s="124" t="s">
        <v>3430</v>
      </c>
      <c r="U308" s="54" t="s">
        <v>3431</v>
      </c>
      <c r="V308" s="135" t="s">
        <v>3432</v>
      </c>
      <c r="W308" s="77" t="s">
        <v>3433</v>
      </c>
      <c r="X308" s="77" t="s">
        <v>3425</v>
      </c>
      <c r="Y308" s="121" t="s">
        <v>3434</v>
      </c>
      <c r="Z308" s="119" t="s">
        <v>3435</v>
      </c>
      <c r="AA308" s="136" t="s">
        <v>129</v>
      </c>
      <c r="AB308" s="64" t="s">
        <v>3436</v>
      </c>
      <c r="AC308" s="77" t="s">
        <v>3437</v>
      </c>
      <c r="AD308" s="77" t="s">
        <v>3438</v>
      </c>
      <c r="AE308" s="129" t="s">
        <v>129</v>
      </c>
      <c r="AF308" s="77" t="s">
        <v>3439</v>
      </c>
      <c r="AG308" s="77" t="s">
        <v>3440</v>
      </c>
      <c r="AH308" s="77" t="s">
        <v>3441</v>
      </c>
      <c r="AI308" s="137" t="s">
        <v>129</v>
      </c>
      <c r="AJ308" s="64" t="s">
        <v>3442</v>
      </c>
      <c r="AK308" s="64" t="s">
        <v>3443</v>
      </c>
      <c r="AL308" s="77" t="s">
        <v>3444</v>
      </c>
      <c r="AM308" s="52"/>
      <c r="AN308" s="80" t="s">
        <v>39</v>
      </c>
      <c r="AO308" s="68" t="str">
        <f t="shared" si="6"/>
        <v>Paterson Group s.r.o. R.S.P. cistiace a upratovacie sluzby, kultura a sport, potraviny a napoje, reklama, stavebnictvo,, &amp;#32vsetky kategorie  044 45 Bidovce Cistiaci a upratovaci servis, stavebne prace, gastronomicke sluzby, reklamne a marketingove sluzby. Zamestnavame 100% znevyhodnene osoby. Paterson Group s.r.o. R.S.P. Vyroba a distribucia potravin formou donaskovej sluzby, stavebna cinnost, cistiaci a upratovaci servis. kaviaren, cukraren, upratovanie, restauracia, komedialny klub, stavby, Comedy club Zabavna a kulturna cinnost. komedialny klub, restauracia, cukraren, kaviaren Mr. Kolacik cukraren Cukraren cukrovinky, kaviaren, kolac, Jedlomat.sk Cukraren a kaviaren, pizzeria, hamburger, kuracie speciality. cukrovinky, kaviaren  Register partnerov VS</v>
      </c>
      <c r="AP308" s="69" t="s">
        <v>41</v>
      </c>
    </row>
    <row r="309" ht="15.75" customHeight="1">
      <c r="A309" s="45"/>
      <c r="B309" s="70">
        <v>307.0</v>
      </c>
      <c r="C309" s="116" t="s">
        <v>3445</v>
      </c>
      <c r="D309" s="71" t="s">
        <v>134</v>
      </c>
      <c r="E309" s="43" t="str">
        <f t="shared" si="1"/>
        <v>Trenčiansky kraj, &amp;#32celé Slovensko</v>
      </c>
      <c r="F309" s="44" t="s">
        <v>3446</v>
      </c>
      <c r="G309" s="43" t="str">
        <f t="shared" si="2"/>
        <v>stavebníctvo, dom a záhrada, kovovýroba,, &amp;#32všetky kategórie</v>
      </c>
      <c r="H309" s="44" t="s">
        <v>82</v>
      </c>
      <c r="I309" s="45" t="str">
        <f t="shared" si="3"/>
        <v>11 - 15, &amp;#32všetky možnosti</v>
      </c>
      <c r="J309" s="46" t="str">
        <f t="shared" si="4"/>
        <v>,Register partnerov VS</v>
      </c>
      <c r="K309" s="47">
        <f t="shared" si="5"/>
        <v>19012.61705</v>
      </c>
      <c r="L309" s="45"/>
      <c r="M309" s="49" t="str">
        <f>IFERROR(__xludf.DUMMYFUNCTION("SPLIT(O309,"","")"),"Púchovská 19/18")</f>
        <v>Púchovská 19/18</v>
      </c>
      <c r="N309" s="48" t="str">
        <f>IFERROR(__xludf.DUMMYFUNCTION("""COMPUTED_VALUE""")," 020 01 Streženice")</f>
        <v> 020 01 Streženice</v>
      </c>
      <c r="O309" s="122" t="s">
        <v>3447</v>
      </c>
      <c r="P309" s="50">
        <v>49.1094259</v>
      </c>
      <c r="Q309" s="109">
        <v>18.307252</v>
      </c>
      <c r="R309" s="102" t="s">
        <v>3448</v>
      </c>
      <c r="S309" s="102" t="s">
        <v>3449</v>
      </c>
      <c r="T309" s="124" t="s">
        <v>86</v>
      </c>
      <c r="U309" s="54" t="s">
        <v>3450</v>
      </c>
      <c r="V309" s="135" t="s">
        <v>3451</v>
      </c>
      <c r="W309" s="77" t="s">
        <v>3452</v>
      </c>
      <c r="X309" s="77" t="s">
        <v>3453</v>
      </c>
      <c r="Y309" s="121" t="s">
        <v>3454</v>
      </c>
      <c r="Z309" s="119" t="s">
        <v>3455</v>
      </c>
      <c r="AA309" s="125" t="s">
        <v>64</v>
      </c>
      <c r="AB309" s="64"/>
      <c r="AC309" s="52"/>
      <c r="AD309" s="52"/>
      <c r="AE309" s="64"/>
      <c r="AF309" s="36"/>
      <c r="AG309" s="65"/>
      <c r="AH309" s="65"/>
      <c r="AI309" s="64"/>
      <c r="AJ309" s="65"/>
      <c r="AK309" s="65"/>
      <c r="AL309" s="65"/>
      <c r="AM309" s="52"/>
      <c r="AN309" s="80" t="s">
        <v>39</v>
      </c>
      <c r="AO309" s="68" t="str">
        <f t="shared" si="6"/>
        <v>Losstav, s. r. o. stavebnictvo, dom a zahrada, kovovyroba,, &amp;#32vsetky kategorie  020 01 Strezenice Priamy predaj – maloobchod: stresne krytiny, odkvapove systemy a rozne stresne doplnky. Ponukame klampiarske a pokryvacske sluzby. Zachovanim a udrzanim uz vytvorenych pracovnych miest pre zamestnancov so zdravotnym postihnutim, pripadne i vytvorenie novych pracovnych miest s roznymi formami znevyhodnenia, cim sledujeme hlavny ciel – sluzby na podporu regionalneho rozvoja a zamestnanosti, kde klucovymi zainteresovanymi osobami su v prvom rade zamestnanci spolocnosti. Losstav, s.r.o. Priamy predaj – maloobchod – stresne krytiny, odkvapove systemy a rozne stresne doplnky; sluzby – klampiarske a pokryvacske. stresna krytina, odkvapovy system, stresne doplnky, klampiarske prace, pokryvacske prace           Register partnerov VS</v>
      </c>
      <c r="AP309" s="138"/>
    </row>
    <row r="310" ht="15.75" customHeight="1">
      <c r="A310" s="45"/>
      <c r="B310" s="70">
        <v>308.0</v>
      </c>
      <c r="C310" s="116" t="s">
        <v>3456</v>
      </c>
      <c r="D310" s="71" t="s">
        <v>134</v>
      </c>
      <c r="E310" s="43" t="str">
        <f t="shared" si="1"/>
        <v>Trenčiansky kraj, &amp;#32celé Slovensko</v>
      </c>
      <c r="F310" s="44" t="s">
        <v>3457</v>
      </c>
      <c r="G310" s="43" t="str">
        <f t="shared" si="2"/>
        <v>odevy a obuv, ochrana a bezpečnosť,, &amp;#32všetky kategórie</v>
      </c>
      <c r="H310" s="44" t="s">
        <v>68</v>
      </c>
      <c r="I310" s="45" t="str">
        <f t="shared" si="3"/>
        <v>16 - 20, &amp;#32všetky možnosti</v>
      </c>
      <c r="J310" s="46" t="str">
        <f t="shared" si="4"/>
        <v>,Register partnerov VS</v>
      </c>
      <c r="K310" s="47">
        <f t="shared" si="5"/>
        <v>21168.68517</v>
      </c>
      <c r="L310" s="45"/>
      <c r="M310" s="49" t="str">
        <f>IFERROR(__xludf.DUMMYFUNCTION("SPLIT(O310,"","")"),"Morovnianska cesta 1866")</f>
        <v>Morovnianska cesta 1866</v>
      </c>
      <c r="N310" s="48" t="str">
        <f>IFERROR(__xludf.DUMMYFUNCTION("""COMPUTED_VALUE""")," 972 51 Handlová")</f>
        <v> 972 51 Handlová</v>
      </c>
      <c r="O310" s="122" t="s">
        <v>3458</v>
      </c>
      <c r="P310" s="50">
        <v>48.7346885</v>
      </c>
      <c r="Q310" s="109">
        <v>18.7568026</v>
      </c>
      <c r="R310" s="102" t="s">
        <v>3459</v>
      </c>
      <c r="S310" s="102" t="s">
        <v>3460</v>
      </c>
      <c r="T310" s="124" t="s">
        <v>86</v>
      </c>
      <c r="U310" s="54" t="s">
        <v>3461</v>
      </c>
      <c r="V310" s="135" t="s">
        <v>3462</v>
      </c>
      <c r="W310" s="77" t="s">
        <v>3463</v>
      </c>
      <c r="X310" s="77" t="s">
        <v>3464</v>
      </c>
      <c r="Y310" s="121" t="s">
        <v>3465</v>
      </c>
      <c r="Z310" s="119" t="s">
        <v>3466</v>
      </c>
      <c r="AA310" s="125" t="s">
        <v>64</v>
      </c>
      <c r="AB310" s="64"/>
      <c r="AC310" s="52"/>
      <c r="AD310" s="52"/>
      <c r="AE310" s="64"/>
      <c r="AF310" s="36"/>
      <c r="AG310" s="65"/>
      <c r="AH310" s="65"/>
      <c r="AI310" s="64"/>
      <c r="AJ310" s="65"/>
      <c r="AK310" s="65"/>
      <c r="AL310" s="65"/>
      <c r="AM310" s="52"/>
      <c r="AN310" s="80" t="s">
        <v>39</v>
      </c>
      <c r="AO310" s="68" t="str">
        <f t="shared" si="6"/>
        <v>RENITEX, s. r. o. odevy a obuv, ochrana a bezpecnost,, &amp;#32vsetky kategorie  972 51 Handlova Sitie odevov, krojov a zdravotnickeho oblecenia. V regionalnom rozvoji a zamestnanosti. RENITEX, s.r.o. Sitie odevov, krojov, zdravotnickych odevov. sitie, odevy           Register partnerov VS</v>
      </c>
      <c r="AP310" s="138"/>
    </row>
    <row r="311" ht="15.75" customHeight="1">
      <c r="A311" s="45"/>
      <c r="B311" s="70">
        <v>309.0</v>
      </c>
      <c r="C311" s="116" t="s">
        <v>3467</v>
      </c>
      <c r="D311" s="71" t="s">
        <v>51</v>
      </c>
      <c r="E311" s="43" t="str">
        <f t="shared" si="1"/>
        <v>Prešovský kraj, &amp;#32celé Slovensko</v>
      </c>
      <c r="F311" s="44" t="s">
        <v>3468</v>
      </c>
      <c r="G311" s="43" t="str">
        <f t="shared" si="2"/>
        <v>ochrana a bezpečnosť, iné (tovary a služby), &amp;#32všetky kategórie</v>
      </c>
      <c r="H311" s="44" t="s">
        <v>96</v>
      </c>
      <c r="I311" s="45" t="str">
        <f t="shared" si="3"/>
        <v>6 - 10, &amp;#32všetky možnosti</v>
      </c>
      <c r="J311" s="46" t="str">
        <f t="shared" si="4"/>
        <v>,Register partnerov VS</v>
      </c>
      <c r="K311" s="47">
        <f t="shared" si="5"/>
        <v>7372.123384</v>
      </c>
      <c r="L311" s="45"/>
      <c r="M311" s="49" t="str">
        <f>IFERROR(__xludf.DUMMYFUNCTION("SPLIT(O311,"","")"),"Lipová alej 1")</f>
        <v>Lipová alej 1</v>
      </c>
      <c r="N311" s="48" t="str">
        <f>IFERROR(__xludf.DUMMYFUNCTION("""COMPUTED_VALUE""")," 065 44 Plaveč")</f>
        <v> 065 44 Plaveč</v>
      </c>
      <c r="O311" s="122" t="s">
        <v>3469</v>
      </c>
      <c r="P311" s="50">
        <v>49.2602435</v>
      </c>
      <c r="Q311" s="109">
        <v>20.8457156</v>
      </c>
      <c r="R311" s="123" t="s">
        <v>3470</v>
      </c>
      <c r="S311" s="102" t="s">
        <v>3471</v>
      </c>
      <c r="T311" s="124" t="s">
        <v>86</v>
      </c>
      <c r="U311" s="54" t="s">
        <v>3472</v>
      </c>
      <c r="V311" s="135" t="s">
        <v>3473</v>
      </c>
      <c r="W311" s="77" t="s">
        <v>3474</v>
      </c>
      <c r="X311" s="77" t="s">
        <v>3467</v>
      </c>
      <c r="Y311" s="121" t="s">
        <v>3475</v>
      </c>
      <c r="Z311" s="119" t="s">
        <v>3476</v>
      </c>
      <c r="AA311" s="125" t="s">
        <v>64</v>
      </c>
      <c r="AB311" s="64"/>
      <c r="AC311" s="52"/>
      <c r="AD311" s="52"/>
      <c r="AE311" s="64"/>
      <c r="AF311" s="36"/>
      <c r="AG311" s="65"/>
      <c r="AH311" s="65"/>
      <c r="AI311" s="64"/>
      <c r="AJ311" s="65"/>
      <c r="AK311" s="65"/>
      <c r="AL311" s="65"/>
      <c r="AM311" s="52"/>
      <c r="AN311" s="80" t="s">
        <v>39</v>
      </c>
      <c r="AO311" s="68" t="str">
        <f t="shared" si="6"/>
        <v>ASSR, s.r.o., r.s.p. ochrana a bezpecnost, ine (tovary a sluzby), &amp;#32vsetky kategorie  065 44 Plavec ASSR je poskytovatelom sluzby SOS gombik, ktora sluzi na monitorovanie a signalizaciu potreby pomoci. Sluzba SOS gombik ma posobnost na celom uzemi Slovenska. 
 Velkym prinosom tejto sluzby je jednoduche ovladanie, vyhodne najma v pripadoch obmedzenej pohyblivosti. Sluzba SOS gombik pomaha zdravotne postihnutym osobam a seniorom vo vysokom veku prezit svoj zivot dostojne, podla svojich priani a v prirodzenom prostredi. Neocenitelnou devizou je pocit spokojnosti a bezpecia, pretoze klient sa v pripade potreby vzdy dovola pomoci. Monitoring a signalizaciu potreby pomoci zabezpecuje dispecing ASSR, ktory splna najnarocnejsie kriteria pre prijimanie tiesnovych hovorov. Dispecing ASSR pracuje v rezime nepretrzitej prevadzky - 24/7. ASSR, s.r.o., r.s.p. na svojom dispecingu, ktory tvori najdolezitejsiu sucast sluzby, zamestnava vylucne osoby s tazkym zdravotnym postihnutim. ASSR s.r.o., r.s.p. sa svojou cinnostou podiela aj na prevencii a ochrane zdravia svojich klientov, kedze v ramci sluzby SOS gombik poskytujeme moznost konzultacii s lekarom "Lekar na telefone". ASSR, s.r.o., r.s.p. Dopravna zdravotna sluzba; Kupa tovaru na ucely jeho predaja konecnemu spotrebitelovi (maloobchod) alebo inym prevadzkovatelom zivnosti (velkoobchod). monitorovanie a signalizacia pomoci, poradenstvo v oblasti zdravotnictva           Register partnerov VS</v>
      </c>
      <c r="AP311" s="138"/>
    </row>
    <row r="312" ht="15.75" customHeight="1">
      <c r="A312" s="45"/>
      <c r="B312" s="70">
        <v>310.0</v>
      </c>
      <c r="C312" s="116" t="s">
        <v>3477</v>
      </c>
      <c r="D312" s="71" t="s">
        <v>134</v>
      </c>
      <c r="E312" s="43" t="str">
        <f t="shared" si="1"/>
        <v>Trenčiansky kraj, &amp;#32celé Slovensko</v>
      </c>
      <c r="F312" s="44" t="s">
        <v>1349</v>
      </c>
      <c r="G312" s="43" t="str">
        <f t="shared" si="2"/>
        <v>obaly, &amp;#32všetky kategórie</v>
      </c>
      <c r="H312" s="44" t="s">
        <v>53</v>
      </c>
      <c r="I312" s="45" t="str">
        <f t="shared" si="3"/>
        <v>1 - 5, &amp;#32všetky možnosti</v>
      </c>
      <c r="J312" s="46" t="str">
        <f t="shared" si="4"/>
        <v>,</v>
      </c>
      <c r="K312" s="47">
        <f t="shared" si="5"/>
        <v>40070.80671</v>
      </c>
      <c r="L312" s="45"/>
      <c r="M312" s="49" t="str">
        <f>IFERROR(__xludf.DUMMYFUNCTION("SPLIT(O312,"","")"),"Ligetská 1193/4")</f>
        <v>Ligetská 1193/4</v>
      </c>
      <c r="N312" s="48" t="str">
        <f>IFERROR(__xludf.DUMMYFUNCTION("""COMPUTED_VALUE""")," 972 51 Handlová")</f>
        <v> 972 51 Handlová</v>
      </c>
      <c r="O312" s="122" t="s">
        <v>3478</v>
      </c>
      <c r="P312" s="50">
        <v>48.7302553</v>
      </c>
      <c r="Q312" s="109">
        <v>18.7532791</v>
      </c>
      <c r="R312" s="102" t="s">
        <v>3479</v>
      </c>
      <c r="S312" s="102" t="s">
        <v>1748</v>
      </c>
      <c r="T312" s="124" t="s">
        <v>86</v>
      </c>
      <c r="U312" s="54" t="s">
        <v>3480</v>
      </c>
      <c r="V312" s="135" t="s">
        <v>3481</v>
      </c>
      <c r="W312" s="77" t="s">
        <v>3482</v>
      </c>
      <c r="X312" s="77" t="s">
        <v>3483</v>
      </c>
      <c r="Y312" s="121" t="s">
        <v>3484</v>
      </c>
      <c r="Z312" s="119" t="s">
        <v>3485</v>
      </c>
      <c r="AA312" s="125" t="s">
        <v>64</v>
      </c>
      <c r="AB312" s="64"/>
      <c r="AC312" s="52"/>
      <c r="AD312" s="52"/>
      <c r="AE312" s="64"/>
      <c r="AF312" s="36"/>
      <c r="AG312" s="65"/>
      <c r="AH312" s="65"/>
      <c r="AI312" s="64"/>
      <c r="AJ312" s="65"/>
      <c r="AK312" s="65"/>
      <c r="AL312" s="65"/>
      <c r="AM312" s="36"/>
      <c r="AN312" s="65"/>
      <c r="AO312" s="68" t="str">
        <f t="shared" si="6"/>
        <v>PVC obaly s. r. o. obaly, &amp;#32vsetky kategorie  972 51 Handlova Vyroba plastovych obalov, puzdier z pvc folie, samolepiace obaly a puzdra. Regionalny rozvoj a zamestnanost. PVC obaly s.r.o. Vyroba vyrobkov z pvc folie - obaly, puzdra, aj samolepiace, zakladace, poradace. obal, pvc plast, folia, zakladac, puzdro           </v>
      </c>
      <c r="AP312" s="139" t="s">
        <v>41</v>
      </c>
    </row>
    <row r="313" ht="15.75" customHeight="1">
      <c r="A313" s="45"/>
      <c r="B313" s="70">
        <v>311.0</v>
      </c>
      <c r="C313" s="116" t="s">
        <v>3486</v>
      </c>
      <c r="D313" s="71" t="s">
        <v>94</v>
      </c>
      <c r="E313" s="43" t="str">
        <f t="shared" si="1"/>
        <v>Bratislavský kraj, &amp;#32celé Slovensko</v>
      </c>
      <c r="F313" s="44" t="s">
        <v>3487</v>
      </c>
      <c r="G313" s="43" t="str">
        <f t="shared" si="2"/>
        <v>krása-zdravie-relax, bižutéria a darčekové predmety, vzdelávanie, reklama, vzdelávanie, potraviny a nápoje, iné (tovary a služby),, &amp;#32všetky kategórie</v>
      </c>
      <c r="H313" s="44" t="s">
        <v>53</v>
      </c>
      <c r="I313" s="45" t="str">
        <f t="shared" si="3"/>
        <v>1 - 5, &amp;#32všetky možnosti</v>
      </c>
      <c r="J313" s="46" t="str">
        <f t="shared" si="4"/>
        <v>,</v>
      </c>
      <c r="K313" s="47">
        <f t="shared" si="5"/>
        <v>8089.820349</v>
      </c>
      <c r="L313" s="45"/>
      <c r="M313" s="49" t="str">
        <f>IFERROR(__xludf.DUMMYFUNCTION("SPLIT(O313,"","")"),"Radničné námestie 1")</f>
        <v>Radničné námestie 1</v>
      </c>
      <c r="N313" s="48" t="str">
        <f>IFERROR(__xludf.DUMMYFUNCTION("""COMPUTED_VALUE""")," 902 01 Pezinok")</f>
        <v> 902 01 Pezinok</v>
      </c>
      <c r="O313" s="122" t="s">
        <v>3488</v>
      </c>
      <c r="P313" s="50">
        <v>48.2862046</v>
      </c>
      <c r="Q313" s="50">
        <v>17.2708034</v>
      </c>
      <c r="R313" s="93" t="s">
        <v>3489</v>
      </c>
      <c r="S313" s="51" t="s">
        <v>3490</v>
      </c>
      <c r="T313" s="140" t="s">
        <v>3491</v>
      </c>
      <c r="U313" s="54" t="s">
        <v>3492</v>
      </c>
      <c r="V313" s="135" t="s">
        <v>3493</v>
      </c>
      <c r="W313" s="77" t="s">
        <v>3494</v>
      </c>
      <c r="X313" s="77" t="s">
        <v>3486</v>
      </c>
      <c r="Y313" s="121" t="s">
        <v>3495</v>
      </c>
      <c r="Z313" s="119" t="s">
        <v>3496</v>
      </c>
      <c r="AA313" s="125" t="s">
        <v>64</v>
      </c>
      <c r="AB313" s="64"/>
      <c r="AC313" s="52"/>
      <c r="AD313" s="52"/>
      <c r="AE313" s="64"/>
      <c r="AF313" s="36"/>
      <c r="AG313" s="65"/>
      <c r="AH313" s="65"/>
      <c r="AI313" s="64"/>
      <c r="AJ313" s="65"/>
      <c r="AK313" s="65"/>
      <c r="AL313" s="65"/>
      <c r="AM313" s="36"/>
      <c r="AN313" s="65"/>
      <c r="AO313" s="68" t="str">
        <f t="shared" si="6"/>
        <v>JASPIRE s.r.o. krasa-zdravie-relax, bizuteria a darcekove predmety, vzdelavanie, reklama, vzdelavanie, potraviny a napoje, ine (tovary a sluzby),, &amp;#32vsetky kategorie  902 01 Pezinok Nasa spolocnost je zamerana na vyrobu prirodnej kozmetiky, mydiel, polodrahokamovych naramkov a doplnkove vyrobky v suvislosti s kamenmi. Sme vyrobcovia sviecok z roznych druhov voskov so zameranim na energeticke, ezotericke, dekoracne, vonne a reklamne podla poziadaviek nasich klientov. Predmetom podnikania spolocnosti je aj maloobchod, velkoobchod, poradenska a vzdelavacia cinnost. Pomahame zakaznikom pri individualnom vybere produktov, ucime prevencii v oblasti zdravia prostrednictvom aromaterapie, fytoterapie, petroterapie. Poskytujeme vzdelavanie pre Akademiu 3. veku v Pezinku. Nasimi klientami ci zakaznikmi su predajne s darcekovym sortimentom, predajne so zdravou vyzivou a zariadenia zaoberajuce sa starostlivostou o cloveka. Zamestnavame znevyhodnene osoby a zamestnancov ZTP. JASPIRE s.r.o. Vyroba prirodnej kozmetiky, mydiel, sviecok, vyrobkov z mineralov, polodrahokamov. Distribucia esencialnych olejov, suseneho ovocia, orieskov, vykurovadiel. Maloobchod, predaj cajov, fytoterapie, suseneho ovocia, orieskov, kamene, naramky, sviecky a poradenstvo v oblasti prevencie zdravia. caje, kamene, sviecky, fytoterapia, naramky, aromaterapia, vzdelavanie           </v>
      </c>
      <c r="AP313" s="141"/>
    </row>
    <row r="314" ht="15.75" customHeight="1">
      <c r="A314" s="45"/>
      <c r="B314" s="70">
        <v>312.0</v>
      </c>
      <c r="C314" s="116" t="s">
        <v>3497</v>
      </c>
      <c r="D314" s="71" t="s">
        <v>94</v>
      </c>
      <c r="E314" s="43" t="str">
        <f t="shared" si="1"/>
        <v>Bratislavský kraj, &amp;#32celé Slovensko</v>
      </c>
      <c r="F314" s="44" t="s">
        <v>3498</v>
      </c>
      <c r="G314" s="43" t="str">
        <f t="shared" si="2"/>
        <v>reklama, odevy a obuv, účtovníctvo a poradenstvo,, &amp;#32všetky kategórie</v>
      </c>
      <c r="H314" s="44" t="s">
        <v>53</v>
      </c>
      <c r="I314" s="45" t="str">
        <f t="shared" si="3"/>
        <v>1 - 5, &amp;#32všetky možnosti</v>
      </c>
      <c r="J314" s="46" t="str">
        <f t="shared" si="4"/>
        <v>,</v>
      </c>
      <c r="K314" s="47">
        <f t="shared" si="5"/>
        <v>11850.25845</v>
      </c>
      <c r="L314" s="45"/>
      <c r="M314" s="49" t="str">
        <f>IFERROR(__xludf.DUMMYFUNCTION("SPLIT(O314,"","")"),"Drotárska cesta 37")</f>
        <v>Drotárska cesta 37</v>
      </c>
      <c r="N314" s="48" t="str">
        <f>IFERROR(__xludf.DUMMYFUNCTION("""COMPUTED_VALUE""")," 811 02 Bratislava")</f>
        <v> 811 02 Bratislava</v>
      </c>
      <c r="O314" s="122" t="s">
        <v>3499</v>
      </c>
      <c r="P314" s="50">
        <v>48.1558719</v>
      </c>
      <c r="Q314" s="109">
        <v>17.0823806</v>
      </c>
      <c r="R314" s="123" t="s">
        <v>3500</v>
      </c>
      <c r="S314" s="102" t="s">
        <v>3501</v>
      </c>
      <c r="T314" s="124" t="s">
        <v>86</v>
      </c>
      <c r="U314" s="54" t="s">
        <v>3502</v>
      </c>
      <c r="V314" s="135" t="s">
        <v>3503</v>
      </c>
      <c r="W314" s="77" t="s">
        <v>3504</v>
      </c>
      <c r="X314" s="77" t="s">
        <v>3497</v>
      </c>
      <c r="Y314" s="121" t="s">
        <v>3505</v>
      </c>
      <c r="Z314" s="119" t="s">
        <v>3506</v>
      </c>
      <c r="AA314" s="125" t="s">
        <v>64</v>
      </c>
      <c r="AB314" s="64"/>
      <c r="AC314" s="52"/>
      <c r="AD314" s="52"/>
      <c r="AE314" s="64"/>
      <c r="AF314" s="36"/>
      <c r="AG314" s="65"/>
      <c r="AH314" s="65"/>
      <c r="AI314" s="64"/>
      <c r="AJ314" s="65"/>
      <c r="AK314" s="65"/>
      <c r="AL314" s="65"/>
      <c r="AM314" s="36"/>
      <c r="AN314" s="65"/>
      <c r="AO314" s="68" t="str">
        <f t="shared" si="6"/>
        <v>NEED MORE s.r.o. reklama, odevy a obuv, uctovnictvo a poradenstvo,, &amp;#32vsetky kategorie  811 02 Bratislava Prevadzka e-shopu funder.help, tvorba fundraisingovych kampani a sprostredkovanie predaja cez e-commerce. Poctom integracie socialne a zdravotne znevyhodnenych ludi na trhu prace NEED MORE s.r.o. Textil s potlacou alebo vysivkou potlac, vysivka, e-commerce, textil, fundraising, kampane           </v>
      </c>
      <c r="AP314" s="141"/>
    </row>
    <row r="315" ht="15.75" customHeight="1">
      <c r="A315" s="45"/>
      <c r="B315" s="70">
        <v>313.0</v>
      </c>
      <c r="C315" s="116" t="s">
        <v>3507</v>
      </c>
      <c r="D315" s="71" t="s">
        <v>80</v>
      </c>
      <c r="E315" s="43" t="str">
        <f t="shared" si="1"/>
        <v>Trnavský kraj, &amp;#32celé Slovensko</v>
      </c>
      <c r="F315" s="44" t="s">
        <v>3508</v>
      </c>
      <c r="G315" s="43" t="str">
        <f t="shared" si="2"/>
        <v>krása-zdravie-relax,, &amp;#32všetky kategórie</v>
      </c>
      <c r="H315" s="44" t="s">
        <v>53</v>
      </c>
      <c r="I315" s="45" t="str">
        <f t="shared" si="3"/>
        <v>1 - 5, &amp;#32všetky možnosti</v>
      </c>
      <c r="J315" s="46" t="str">
        <f t="shared" si="4"/>
        <v>,</v>
      </c>
      <c r="K315" s="47">
        <f t="shared" si="5"/>
        <v>28161.50814</v>
      </c>
      <c r="L315" s="45"/>
      <c r="M315" s="49" t="str">
        <f>IFERROR(__xludf.DUMMYFUNCTION("SPLIT(O315,"","")"),"Gazdovský rad 38/43")</f>
        <v>Gazdovský rad 38/43</v>
      </c>
      <c r="N315" s="48" t="str">
        <f>IFERROR(__xludf.DUMMYFUNCTION("""COMPUTED_VALUE""")," 931 01 Šamorín")</f>
        <v> 931 01 Šamorín</v>
      </c>
      <c r="O315" s="122" t="s">
        <v>3509</v>
      </c>
      <c r="P315" s="50">
        <v>48.0290843</v>
      </c>
      <c r="Q315" s="109">
        <v>17.3099105</v>
      </c>
      <c r="R315" s="102" t="s">
        <v>3510</v>
      </c>
      <c r="S315" s="102" t="s">
        <v>3511</v>
      </c>
      <c r="T315" s="124" t="s">
        <v>3512</v>
      </c>
      <c r="U315" s="54" t="s">
        <v>3513</v>
      </c>
      <c r="V315" s="135" t="s">
        <v>3514</v>
      </c>
      <c r="W315" s="77" t="s">
        <v>3515</v>
      </c>
      <c r="X315" s="77" t="s">
        <v>3516</v>
      </c>
      <c r="Y315" s="121" t="s">
        <v>3517</v>
      </c>
      <c r="Z315" s="119" t="s">
        <v>3518</v>
      </c>
      <c r="AA315" s="125" t="s">
        <v>64</v>
      </c>
      <c r="AB315" s="64"/>
      <c r="AC315" s="52"/>
      <c r="AD315" s="52"/>
      <c r="AE315" s="64"/>
      <c r="AF315" s="36"/>
      <c r="AG315" s="65"/>
      <c r="AH315" s="65"/>
      <c r="AI315" s="64"/>
      <c r="AJ315" s="65"/>
      <c r="AK315" s="65"/>
      <c r="AL315" s="65"/>
      <c r="AM315" s="36"/>
      <c r="AN315" s="65"/>
      <c r="AO315" s="68" t="str">
        <f t="shared" si="6"/>
        <v>KORCHI PLUS s.r.o. krasa-zdravie-relax,, &amp;#32vsetky kategorie  931 01 Samorin Nasim produktom je hlavne zdrava vyziva obyvatelstva, poradenstvo v oblasti zdravej vyzivy a predaj produktov zdravej vyzivy. Nasu cinnost sme rozsirili o produkty tradicnej cinskej mediciny, ako su vitalne huby, tinktury z bylinnych zmesi a bylinne odvary. Hlavnym cielom spolocnosti, ako integracneho podniku je podpora zamestnanosti. Zameriavame sa najma na zamestnavanie osob s dlhodobym zdravotnym postihnutim znizujucim ich telesne, dusevne a zmyslove schopnosti, co brani ich plnohodnotnemu a ucinnemu zapojeniu sa do pracovneho procesu v porovnani so zdravymi fyzickymi osobami. CENTRUM ZDRAVIA Nasim produktom je hlavne zdrava vyziva obyvatelstva, poradenstvo v oblasti zdravej vyzivy a predaj produktov zdravej vyzivy. Nasu cinnost sme rozsirili o produkty tradicnej cinskej mediciny, napr. vitalne huby, tinktury z bylinnych zmesi a bylinne odvary. Zdrava vyziva, produkty TCM, cinska medicina, bylinky, vitalne huby           </v>
      </c>
      <c r="AP315" s="142"/>
    </row>
    <row r="316" ht="15.75" customHeight="1">
      <c r="A316" s="45"/>
      <c r="B316" s="70">
        <v>314.0</v>
      </c>
      <c r="C316" s="116" t="s">
        <v>3519</v>
      </c>
      <c r="D316" s="71" t="s">
        <v>66</v>
      </c>
      <c r="E316" s="43" t="str">
        <f t="shared" si="1"/>
        <v>Žilinský kraj, &amp;#32celé Slovensko</v>
      </c>
      <c r="F316" s="44" t="s">
        <v>3520</v>
      </c>
      <c r="G316" s="43" t="str">
        <f t="shared" si="2"/>
        <v>auto-moto, kovovýroba, iné (tovary a služby), &amp;#32všetky kategórie</v>
      </c>
      <c r="H316" s="44" t="s">
        <v>53</v>
      </c>
      <c r="I316" s="45" t="str">
        <f t="shared" si="3"/>
        <v>1 - 5, &amp;#32všetky možnosti</v>
      </c>
      <c r="J316" s="46" t="str">
        <f t="shared" si="4"/>
        <v>,</v>
      </c>
      <c r="K316" s="47">
        <f t="shared" si="5"/>
        <v>9891.280363</v>
      </c>
      <c r="L316" s="45"/>
      <c r="M316" s="49" t="str">
        <f>IFERROR(__xludf.DUMMYFUNCTION("SPLIT(O316,"","")"),"Námestie protifašistických bojovníkov 1706")</f>
        <v>Námestie protifašistických bojovníkov 1706</v>
      </c>
      <c r="N316" s="48" t="str">
        <f>IFERROR(__xludf.DUMMYFUNCTION("""COMPUTED_VALUE""")," 036 01 Martin")</f>
        <v> 036 01 Martin</v>
      </c>
      <c r="O316" s="122" t="s">
        <v>3521</v>
      </c>
      <c r="P316" s="50">
        <v>49.0783798999999</v>
      </c>
      <c r="Q316" s="109">
        <v>18.9151712</v>
      </c>
      <c r="R316" s="102" t="s">
        <v>3522</v>
      </c>
      <c r="S316" s="102" t="s">
        <v>3523</v>
      </c>
      <c r="T316" s="124" t="s">
        <v>3524</v>
      </c>
      <c r="U316" s="54" t="s">
        <v>3525</v>
      </c>
      <c r="V316" s="135" t="s">
        <v>3526</v>
      </c>
      <c r="W316" s="77" t="s">
        <v>3527</v>
      </c>
      <c r="X316" s="77" t="s">
        <v>3528</v>
      </c>
      <c r="Y316" s="121" t="s">
        <v>3529</v>
      </c>
      <c r="Z316" s="119" t="s">
        <v>3530</v>
      </c>
      <c r="AA316" s="125" t="s">
        <v>64</v>
      </c>
      <c r="AB316" s="64"/>
      <c r="AC316" s="52"/>
      <c r="AD316" s="52"/>
      <c r="AE316" s="64"/>
      <c r="AF316" s="36"/>
      <c r="AG316" s="65"/>
      <c r="AH316" s="65"/>
      <c r="AI316" s="64"/>
      <c r="AJ316" s="65"/>
      <c r="AK316" s="65"/>
      <c r="AL316" s="65"/>
      <c r="AM316" s="36"/>
      <c r="AN316" s="65"/>
      <c r="AO316" s="68" t="str">
        <f t="shared" si="6"/>
        <v>ANNEX Martin, s.r.o. auto-moto, kovovyroba, ine (tovary a sluzby), &amp;#32vsetky kategorie  036 01 Martin Malo+velkopredaj lozisk, hadic, filtrov gumovych tesniacich prvkov, nahradnych dielov pre osobne vozidla, obrabacie stroje, traktory, motory; ponukame sortiment pre dielne ako naradie, pomocky i celkovu udrzbu prevadzok. Zakaznici su z radov polnohospodarskych druzstiev. okolitych vyrobnych zavodov, drobni sukromni podnikatelia a obcania. Prospesnost nasho podniku je najma v rychlej pomoci pri obstarani predmetnych dielov, v poradenstve a v kratkom dodacom termine. ANNEX Martin s.r.o. Malopredaj a velkopredaj nahradnych dielov. nahradne diely pre automobily a priemysel, loziska, hadice, suciastky, dielna, udrzba, motory, traktory, obrabacie stroje           </v>
      </c>
      <c r="AP316" s="142"/>
    </row>
    <row r="317" ht="15.75" customHeight="1">
      <c r="A317" s="45"/>
      <c r="B317" s="70">
        <v>315.0</v>
      </c>
      <c r="C317" s="116" t="s">
        <v>3531</v>
      </c>
      <c r="D317" s="71" t="s">
        <v>66</v>
      </c>
      <c r="E317" s="43" t="str">
        <f t="shared" si="1"/>
        <v>Žilinský kraj, &amp;#32celé Slovensko</v>
      </c>
      <c r="F317" s="44" t="s">
        <v>3532</v>
      </c>
      <c r="G317" s="43" t="str">
        <f t="shared" si="2"/>
        <v>čistiace a upratovacie služby, ubytovacie a stravovacie služby, cestovný ruch, kultúra a šport, odpady a recyklácia, dom a záhrada,, &amp;#32všetky kategórie</v>
      </c>
      <c r="H317" s="44" t="s">
        <v>82</v>
      </c>
      <c r="I317" s="45" t="str">
        <f t="shared" si="3"/>
        <v>11 - 15, &amp;#32všetky možnosti</v>
      </c>
      <c r="J317" s="46" t="str">
        <f t="shared" si="4"/>
        <v>,</v>
      </c>
      <c r="K317" s="47">
        <f t="shared" si="5"/>
        <v>34055.77121</v>
      </c>
      <c r="L317" s="45"/>
      <c r="M317" s="49" t="str">
        <f>IFERROR(__xludf.DUMMYFUNCTION("SPLIT(O317,"","")"),"Kollárovo námestie 314/10")</f>
        <v>Kollárovo námestie 314/10</v>
      </c>
      <c r="N317" s="48" t="str">
        <f>IFERROR(__xludf.DUMMYFUNCTION("""COMPUTED_VALUE""")," 038 21 Mošovce")</f>
        <v> 038 21 Mošovce</v>
      </c>
      <c r="O317" s="122" t="s">
        <v>3533</v>
      </c>
      <c r="P317" s="50">
        <v>48.9094621</v>
      </c>
      <c r="Q317" s="109">
        <v>18.8875858</v>
      </c>
      <c r="R317" s="123" t="s">
        <v>3534</v>
      </c>
      <c r="S317" s="102" t="s">
        <v>3535</v>
      </c>
      <c r="T317" s="124" t="s">
        <v>3536</v>
      </c>
      <c r="U317" s="54" t="s">
        <v>3537</v>
      </c>
      <c r="V317" s="135" t="s">
        <v>3538</v>
      </c>
      <c r="W317" s="77" t="s">
        <v>3539</v>
      </c>
      <c r="X317" s="77" t="s">
        <v>3540</v>
      </c>
      <c r="Y317" s="121" t="s">
        <v>3541</v>
      </c>
      <c r="Z317" s="119" t="s">
        <v>3542</v>
      </c>
      <c r="AA317" s="125" t="s">
        <v>64</v>
      </c>
      <c r="AB317" s="64"/>
      <c r="AC317" s="52"/>
      <c r="AD317" s="52"/>
      <c r="AE317" s="64"/>
      <c r="AF317" s="36"/>
      <c r="AG317" s="65"/>
      <c r="AH317" s="65"/>
      <c r="AI317" s="64"/>
      <c r="AJ317" s="65"/>
      <c r="AK317" s="65"/>
      <c r="AL317" s="65"/>
      <c r="AM317" s="36"/>
      <c r="AN317" s="65"/>
      <c r="AO317" s="68" t="str">
        <f t="shared" si="6"/>
        <v>Drienok s. r. o. cistiace a upratovacie sluzby, ubytovacie a stravovacie sluzby, cestovny ruch, kultura a sport, odpady a recyklacia, dom a zahrada,, &amp;#32vsetky kategorie  038 21 Mosovce Registrovany socialny podnik ponuka cistiace a upratovacie sluzby verejnych priestranstiev v obciach, udrzbu verejnej zelene, spravu Zbernych dvorov, sluzby verejneho obstaravania i projektoveho manazmentu pri tvorbe a podaniach Ziadosti o NFP. Od 1.1.2022 poskytuje aj sluzby v cestovnom ruchu, prevadzkuje sportovo - rekreacne zariadenie Drienok Mosovce, ktore ponuka ubytovacie sluzby v penzione s kapacitou 25 osob (pripravuje sa rekonstrukcia a rozsirenie kapacity na 50 osob), v zrubovych chatkach (24 ks 4-miestnych, 3 ks 3-miestnych, 2 ks 8-miestnych), autocamping pre 100 aut alebo 40 autobusov (elektricke pripojky v ramci celeho arealu, pripojka na cistenie odpadu z karavanov), stanovy tabor, letne kupanie v 3 bazenoch, sportove vyzitie na 8 antukovych kurtoch, 1 sunny volejbal, areal je dog friendly, vhodny na skupinove podujatia - festivaly, zrazy, sportove tabory a pod. Toto vsetko na ploche zariadenia 6 ha. Podnik je spolocensky prospesny sluzbami na podporu zamestnanosti a regionalneho rozvoja: zamestnavanie zranitelnych a/alebo znevyhodnenych osob; tvorba, rozvoj, ochrana, obnova a prezentacia duchovnych a kulturnych hodnot - systematicka starostlivost o kulturne pamiatky v obci (Anglicky park pri revayovskom kastieli zapisany v zozname NKP, Mauzoleum pri revayovskom kastieli – dnes Muzeum mosovskych remesiel, Dom Jana Kollara a pod.; pravidelna udrzba a obnova objektov, budov a vnutorneho vybavenia i verejnej zelene). Vzdelavanie, vychova a rozvoj telesnej kultury - pravidelna udrzba a obnova majetku obce, najma Sportovo-rekreacneho zariadenia Drienok, kde vytvara zvyhodnene podmienky pre seniorov, drzitelov preukazov ZTP ci deti. Drienok s.r.o, r.s.p. Cistiace prace, sluzby v cestovnom ruchu, sluzby verejneho obstaravania, sluzby projektoveho manazmentu, administrativne sluzby. penzion, autocamping, zrubove chatky, bazeny, kupanie, restauracia, festival, drienok, obstaravanie, projektovy manazment, ubytovanie, sport a rekreacia, volejbal, sustredenie, letny tabor, park, zberny dvor, udrzba zelene           </v>
      </c>
      <c r="AP317" s="142"/>
    </row>
    <row r="318" ht="15.75" customHeight="1">
      <c r="A318" s="45"/>
      <c r="B318" s="70">
        <v>316.0</v>
      </c>
      <c r="C318" s="116" t="s">
        <v>3543</v>
      </c>
      <c r="D318" s="71" t="s">
        <v>66</v>
      </c>
      <c r="E318" s="43" t="str">
        <f t="shared" si="1"/>
        <v>Žilinský kraj, &amp;#32celé Slovensko</v>
      </c>
      <c r="F318" s="44" t="s">
        <v>672</v>
      </c>
      <c r="G318" s="43" t="str">
        <f t="shared" si="2"/>
        <v>čistiace a upratovacie služby, dom a záhrada, &amp;#32všetky kategórie</v>
      </c>
      <c r="H318" s="44" t="s">
        <v>68</v>
      </c>
      <c r="I318" s="45" t="str">
        <f t="shared" si="3"/>
        <v>16 - 20, &amp;#32všetky možnosti</v>
      </c>
      <c r="J318" s="46" t="str">
        <f t="shared" si="4"/>
        <v>,</v>
      </c>
      <c r="K318" s="47">
        <f t="shared" si="5"/>
        <v>16768.97717</v>
      </c>
      <c r="L318" s="45"/>
      <c r="M318" s="49" t="str">
        <f>IFERROR(__xludf.DUMMYFUNCTION("SPLIT(O318,"","")"),"Jaseňová 3220/18")</f>
        <v>Jaseňová 3220/18</v>
      </c>
      <c r="N318" s="48" t="str">
        <f>IFERROR(__xludf.DUMMYFUNCTION("""COMPUTED_VALUE""")," 010 07 Žilina")</f>
        <v> 010 07 Žilina</v>
      </c>
      <c r="O318" s="122" t="s">
        <v>3544</v>
      </c>
      <c r="P318" s="50">
        <v>49.2001686</v>
      </c>
      <c r="Q318" s="109">
        <v>18.743207</v>
      </c>
      <c r="R318" s="123" t="s">
        <v>3545</v>
      </c>
      <c r="S318" s="102" t="s">
        <v>3546</v>
      </c>
      <c r="T318" s="124" t="s">
        <v>3547</v>
      </c>
      <c r="U318" s="54" t="s">
        <v>3548</v>
      </c>
      <c r="V318" s="135" t="s">
        <v>3549</v>
      </c>
      <c r="W318" s="77" t="s">
        <v>3550</v>
      </c>
      <c r="X318" s="77" t="s">
        <v>3543</v>
      </c>
      <c r="Y318" s="121" t="s">
        <v>3551</v>
      </c>
      <c r="Z318" s="119" t="s">
        <v>3552</v>
      </c>
      <c r="AA318" s="125" t="s">
        <v>64</v>
      </c>
      <c r="AB318" s="64"/>
      <c r="AC318" s="52"/>
      <c r="AD318" s="52"/>
      <c r="AE318" s="64"/>
      <c r="AF318" s="36"/>
      <c r="AG318" s="65"/>
      <c r="AH318" s="65"/>
      <c r="AI318" s="64"/>
      <c r="AJ318" s="65"/>
      <c r="AK318" s="65"/>
      <c r="AL318" s="65"/>
      <c r="AM318" s="36"/>
      <c r="AN318" s="65"/>
      <c r="AO318" s="68" t="str">
        <f t="shared" si="6"/>
        <v>FINXZA, s. r. o. cistiace a upratovacie sluzby, dom a zahrada, &amp;#32vsetky kategorie  010 07 Zilina Poskytujeme komplexne upratovacie a cistiace prace pre domacnosti a firmy v ramci Slovenska. Na zaklade individualnych poziadaviek zabezpecime pravidelne upratovanie, generalne alebo specialne technologicke upratovanie, cistenie stavebnych konstrukcii a vyrobnych technologii.
 Postarame sa o cistenie kobercov, osetrenie podlahovych ploch s aplikaciou voskov. Specializujeme sa na priemyselne cistenie podlah, vyrobnych strojov, liniek a celych prevadzok. Samozrejmostou je umyvanie okien, zaluzii, presklenych ploch, fasad, robime aj vyskove prace a cistenie. Spolocensky dopad spociva v ochrane zivotneho prostredia a zdravia obyvatelstva. Poskytujeme sluzby na podporu regionalneho rozvoja a zamestnanosti. Cielom je budovat uvedomelu a spravodlivu spolocnost. FINXZA, s. r. o. Profesionalne upratovacie sluzby s individualnym pristupom. upratovanie, upratovacie sluzby, cistenie, upratovaci servis, profesionalne upratovanie, umyvanie okien, voskovanie podlahy, cistenie strojov, liniek, umyvanie fasad, vyskove prace, cistenie kobercov, tepovanie, dezinfekcia, cistenie ozonom, hygienicky servis           </v>
      </c>
      <c r="AP318" s="142"/>
    </row>
    <row r="319" ht="15.75" customHeight="1">
      <c r="A319" s="45"/>
      <c r="B319" s="70">
        <v>317.0</v>
      </c>
      <c r="C319" s="116" t="s">
        <v>3553</v>
      </c>
      <c r="D319" s="71" t="s">
        <v>51</v>
      </c>
      <c r="E319" s="43" t="str">
        <f t="shared" si="1"/>
        <v>Prešovský kraj, &amp;#32celé Slovensko</v>
      </c>
      <c r="F319" s="44" t="s">
        <v>3554</v>
      </c>
      <c r="G319" s="43" t="str">
        <f t="shared" si="2"/>
        <v>reklama, obaly, nábytok a bytové doplnky, pre deti, bižutéria a darčekové predmety, iné (tovary a služby), &amp;#32všetky kategórie</v>
      </c>
      <c r="H319" s="44" t="s">
        <v>53</v>
      </c>
      <c r="I319" s="45" t="str">
        <f t="shared" si="3"/>
        <v>1 - 5, &amp;#32všetky možnosti</v>
      </c>
      <c r="J319" s="46" t="str">
        <f t="shared" si="4"/>
        <v>,</v>
      </c>
      <c r="K319" s="47">
        <f t="shared" si="5"/>
        <v>9101.92615</v>
      </c>
      <c r="L319" s="45"/>
      <c r="M319" s="49" t="str">
        <f>IFERROR(__xludf.DUMMYFUNCTION("SPLIT(O319,"","")"),"Kúpeľná 35")</f>
        <v>Kúpeľná 35</v>
      </c>
      <c r="N319" s="48" t="str">
        <f>IFERROR(__xludf.DUMMYFUNCTION("""COMPUTED_VALUE""")," 053 04 Spišské Podhradie")</f>
        <v> 053 04 Spišské Podhradie</v>
      </c>
      <c r="O319" s="122" t="s">
        <v>3555</v>
      </c>
      <c r="P319" s="50">
        <v>49.0052111</v>
      </c>
      <c r="Q319" s="50">
        <v>20.7546927</v>
      </c>
      <c r="R319" s="123" t="s">
        <v>3556</v>
      </c>
      <c r="S319" s="102" t="s">
        <v>3546</v>
      </c>
      <c r="T319" s="124" t="s">
        <v>86</v>
      </c>
      <c r="U319" s="54" t="s">
        <v>3557</v>
      </c>
      <c r="V319" s="143" t="s">
        <v>3558</v>
      </c>
      <c r="W319" s="52" t="s">
        <v>3559</v>
      </c>
      <c r="X319" s="52" t="s">
        <v>3560</v>
      </c>
      <c r="Y319" s="121" t="s">
        <v>3561</v>
      </c>
      <c r="Z319" s="119" t="s">
        <v>3562</v>
      </c>
      <c r="AA319" s="125" t="s">
        <v>64</v>
      </c>
      <c r="AB319" s="64"/>
      <c r="AC319" s="65"/>
      <c r="AD319" s="65"/>
      <c r="AE319" s="64"/>
      <c r="AF319" s="65"/>
      <c r="AG319" s="65"/>
      <c r="AH319" s="65"/>
      <c r="AI319" s="65"/>
      <c r="AJ319" s="65"/>
      <c r="AK319" s="65"/>
      <c r="AL319" s="65"/>
      <c r="AM319" s="36"/>
      <c r="AN319" s="36"/>
      <c r="AO319" s="68" t="str">
        <f t="shared" si="6"/>
        <v>T-Tatra s. r. o. reklama, obaly, nabytok a bytove doplnky, pre deti, bizuteria a darcekove predmety, ine (tovary a sluzby), &amp;#32vsetky kategorie  053 04 Spisske Podhradie Drevovyroba, velkoformatove rezanie laserom, vyroba reklamnych a darcekovych predmetov z dreva, vyroba slnecnych okuliarov, drevenych okuliarovych ramov, vianocnych ozdob, krytov na telefon, drevenych zubnych kefiek... Spolocensky dopad spociva v ochrane zivotneho prostredia a zdravia obyvatelstva. Poskytujeme sluzby na podporu regionalneho rozvoja a zamestnanosti. Cielom je budovat uvedomelu a spravodlivu spolocnost. T-Tatra Drevovyroba, reklama, darceky, online predaj Drevovyroba, reklama, darceky, online predaj, velkoformatove rezanie laserom, reklamne predmety z dreva, slnecne okuliare, drevene okuliarove ramy, vianocne ozdoby, kryty na telefon, drevene zubne kefky, kefka, 
doplnky, drevene omalovanky           </v>
      </c>
      <c r="AP319" s="144"/>
    </row>
    <row r="320" ht="15.75" customHeight="1">
      <c r="A320" s="45"/>
      <c r="B320" s="70">
        <v>318.0</v>
      </c>
      <c r="C320" s="116" t="s">
        <v>3563</v>
      </c>
      <c r="D320" s="71" t="s">
        <v>80</v>
      </c>
      <c r="E320" s="43" t="str">
        <f t="shared" si="1"/>
        <v>Trnavský kraj, &amp;#32celé Slovensko</v>
      </c>
      <c r="F320" s="44" t="s">
        <v>3564</v>
      </c>
      <c r="G320" s="43" t="str">
        <f t="shared" si="2"/>
        <v>čistiace a upratovacie služby, dom a záhrada, účtovníctvo a poradenstvo, iné (tovary a služby), &amp;#32všetky kategórie</v>
      </c>
      <c r="H320" s="44" t="s">
        <v>53</v>
      </c>
      <c r="I320" s="45" t="str">
        <f t="shared" si="3"/>
        <v>1 - 5, &amp;#32všetky možnosti</v>
      </c>
      <c r="J320" s="46" t="str">
        <f t="shared" si="4"/>
        <v>,</v>
      </c>
      <c r="K320" s="47">
        <f t="shared" si="5"/>
        <v>22410.40022</v>
      </c>
      <c r="L320" s="45"/>
      <c r="M320" s="49" t="str">
        <f>IFERROR(__xludf.DUMMYFUNCTION("SPLIT(O320,"","")"),"Sasinkova 5028/52")</f>
        <v>Sasinkova 5028/52</v>
      </c>
      <c r="N320" s="48" t="str">
        <f>IFERROR(__xludf.DUMMYFUNCTION("""COMPUTED_VALUE""")," 921 01 Piešťany")</f>
        <v> 921 01 Piešťany</v>
      </c>
      <c r="O320" s="122" t="s">
        <v>3565</v>
      </c>
      <c r="P320" s="50">
        <v>48.5969612</v>
      </c>
      <c r="Q320" s="50">
        <v>17.827664</v>
      </c>
      <c r="R320" s="123" t="s">
        <v>3566</v>
      </c>
      <c r="S320" s="102" t="s">
        <v>3567</v>
      </c>
      <c r="T320" s="124" t="s">
        <v>86</v>
      </c>
      <c r="U320" s="54" t="s">
        <v>3568</v>
      </c>
      <c r="V320" s="143" t="s">
        <v>3569</v>
      </c>
      <c r="W320" s="52" t="s">
        <v>3570</v>
      </c>
      <c r="X320" s="52" t="s">
        <v>3563</v>
      </c>
      <c r="Y320" s="121" t="s">
        <v>3571</v>
      </c>
      <c r="Z320" s="119" t="s">
        <v>3572</v>
      </c>
      <c r="AA320" s="125" t="s">
        <v>64</v>
      </c>
      <c r="AB320" s="64"/>
      <c r="AC320" s="65"/>
      <c r="AD320" s="65"/>
      <c r="AE320" s="64"/>
      <c r="AF320" s="65"/>
      <c r="AG320" s="65"/>
      <c r="AH320" s="65"/>
      <c r="AI320" s="65"/>
      <c r="AJ320" s="65"/>
      <c r="AK320" s="65"/>
      <c r="AL320" s="65"/>
      <c r="AM320" s="36"/>
      <c r="AN320" s="36"/>
      <c r="AO320" s="68" t="str">
        <f t="shared" si="6"/>
        <v>skula s. r. o. cistiace a upratovacie sluzby, dom a zahrada, uctovnictvo a poradenstvo, ine (tovary a sluzby), &amp;#32vsetky kategorie  921 01 Piestany Ako spolocnost skula s. r. o. sa primarne zameriavame na poskytovanie cistiacich a upratovacich sluzieb inym podnikatelskym subjektom. Realizujeme bezne a nadstandardne cistenie kancelarskych priestorov, priemyselnych budov a vyrobnych hal. Ini nasi zamestnanci sa specializuju na poskytovanie administrativno - uctovnych sluzieb, riesenie uctovnej, personalnej a mzdovej agendy. V nasom podniku davame priestor znevyhodnenym a beznym zamestnancom realizovat ich pracovne ale vlastne aj zivotne ciele spolocne, pricom toto spojenie sa nam ukazalo ako velmi prospesne pre obe skupiny zamestnancov. Spokojni a motivovani zamestnanci u nas tvoria spokojneho klienta. skula s. r. o. Cistiace a upratovacie sluzby / uctovnictvo a poradenstvo cistiace a upratovacie sluzby, uctovnictvo a poradenstvo, ine (tovary a sluzby)           </v>
      </c>
      <c r="AP320" s="145" t="s">
        <v>41</v>
      </c>
    </row>
    <row r="321" ht="15.75" customHeight="1">
      <c r="A321" s="45"/>
      <c r="B321" s="70">
        <v>319.0</v>
      </c>
      <c r="C321" s="116" t="s">
        <v>3573</v>
      </c>
      <c r="D321" s="71" t="s">
        <v>66</v>
      </c>
      <c r="E321" s="43" t="str">
        <f t="shared" si="1"/>
        <v>Žilinský kraj, &amp;#32celé Slovensko</v>
      </c>
      <c r="F321" s="44" t="s">
        <v>1317</v>
      </c>
      <c r="G321" s="43" t="str">
        <f t="shared" si="2"/>
        <v>ochrana a bezpečnosť, &amp;#32všetky kategórie</v>
      </c>
      <c r="H321" s="44" t="s">
        <v>82</v>
      </c>
      <c r="I321" s="45" t="str">
        <f t="shared" si="3"/>
        <v>11 - 15, &amp;#32všetky možnosti</v>
      </c>
      <c r="J321" s="46" t="str">
        <f t="shared" si="4"/>
        <v>,Register partnerov VS</v>
      </c>
      <c r="K321" s="47">
        <f t="shared" si="5"/>
        <v>34436.05743</v>
      </c>
      <c r="L321" s="45"/>
      <c r="M321" s="49" t="str">
        <f>IFERROR(__xludf.DUMMYFUNCTION("SPLIT(O321,"","")"),"M. Pišúta 979/4")</f>
        <v>M. Pišúta 979/4</v>
      </c>
      <c r="N321" s="48" t="str">
        <f>IFERROR(__xludf.DUMMYFUNCTION("""COMPUTED_VALUE""")," 031 01 Liptovský Mikuláš")</f>
        <v> 031 01 Liptovský Mikuláš</v>
      </c>
      <c r="O321" s="122" t="s">
        <v>3574</v>
      </c>
      <c r="P321" s="50">
        <v>49.0850241</v>
      </c>
      <c r="Q321" s="50">
        <v>19.613982</v>
      </c>
      <c r="R321" s="146" t="s">
        <v>3575</v>
      </c>
      <c r="S321" s="102" t="s">
        <v>3576</v>
      </c>
      <c r="T321" s="131" t="s">
        <v>86</v>
      </c>
      <c r="U321" s="134" t="s">
        <v>3577</v>
      </c>
      <c r="V321" s="143" t="s">
        <v>3578</v>
      </c>
      <c r="W321" s="52" t="s">
        <v>3579</v>
      </c>
      <c r="X321" s="64" t="s">
        <v>3573</v>
      </c>
      <c r="Y321" s="121" t="s">
        <v>3580</v>
      </c>
      <c r="Z321" s="119" t="s">
        <v>3581</v>
      </c>
      <c r="AA321" s="125" t="s">
        <v>64</v>
      </c>
      <c r="AB321" s="65"/>
      <c r="AC321" s="65"/>
      <c r="AD321" s="65"/>
      <c r="AE321" s="65"/>
      <c r="AF321" s="65"/>
      <c r="AG321" s="65"/>
      <c r="AH321" s="65"/>
      <c r="AI321" s="65"/>
      <c r="AJ321" s="65"/>
      <c r="AK321" s="65"/>
      <c r="AL321" s="65"/>
      <c r="AM321" s="52"/>
      <c r="AN321" s="17" t="s">
        <v>39</v>
      </c>
      <c r="AO321" s="68" t="str">
        <f t="shared" si="6"/>
        <v>ISP security s.r.o. ochrana a bezpecnost, &amp;#32vsetky kategorie  031 01 Liptovsky Mikulas Firma poskytuje monitorovacie sluzby v oblasti sukromnej bezpecnosti prostrednictvom videopultu centralnej ochrany. Medzi nasich zakaznikov patria samospravy, obce a mesta, komercne objekty, podniky a vyrobne arealy, pre ktore zabezpecujeme kamerove systemy. Poskytujeme technicke prostriedky (kamery, alarmy, videokomunikator, automatizaciu otvarania bran ..), ktore pripojime na nas pult. Zakaznik ma k dispozicii servis, pristup k archivu a obrazu kamier. Uspora nakladov je az do 70% oproti beznemu fyzickemu strazeniu objektu. Nasa spolocnost zamestnava znevyhodnene a zranitelne osoby a poskytujeme sluzby v oblasti ochrany zdravia a bezpecnosti obcanov. ISP security s.r.o. Poskytovanie monitorovacich sluzieb v oblasti sukromnej bezpecnosti, videopult centralnej ochrany sukromna bezpecnostna sluzba, sbs, bezpecnost, security, monitoring, kamera,           Register partnerov VS</v>
      </c>
      <c r="AP321" s="145" t="s">
        <v>41</v>
      </c>
    </row>
    <row r="322" ht="15.75" customHeight="1">
      <c r="A322" s="45"/>
      <c r="B322" s="70">
        <v>320.0</v>
      </c>
      <c r="C322" s="116" t="s">
        <v>3582</v>
      </c>
      <c r="D322" s="71" t="s">
        <v>134</v>
      </c>
      <c r="E322" s="43" t="str">
        <f t="shared" si="1"/>
        <v>Trenčiansky kraj, &amp;#32celé Slovensko</v>
      </c>
      <c r="F322" s="44" t="s">
        <v>3583</v>
      </c>
      <c r="G322" s="43" t="str">
        <f t="shared" si="2"/>
        <v>stavebníctvo, doprava, odpady a recyklácia, obaly, &amp;#32všetky kategórie</v>
      </c>
      <c r="H322" s="44" t="s">
        <v>96</v>
      </c>
      <c r="I322" s="45" t="str">
        <f t="shared" si="3"/>
        <v>6 - 10, &amp;#32všetky možnosti</v>
      </c>
      <c r="J322" s="46" t="str">
        <f t="shared" si="4"/>
        <v>Servisné poukážky,</v>
      </c>
      <c r="K322" s="47">
        <f t="shared" si="5"/>
        <v>13959.20358</v>
      </c>
      <c r="L322" s="45"/>
      <c r="M322" s="49" t="str">
        <f>IFERROR(__xludf.DUMMYFUNCTION("SPLIT(O322,"","")"),"Kľačno 25")</f>
        <v>Kľačno 25</v>
      </c>
      <c r="N322" s="48" t="str">
        <f>IFERROR(__xludf.DUMMYFUNCTION("""COMPUTED_VALUE""")," 972 15 Kľačno ")</f>
        <v> 972 15 Kľačno </v>
      </c>
      <c r="O322" s="122" t="s">
        <v>3584</v>
      </c>
      <c r="P322" s="50">
        <v>48.8941555</v>
      </c>
      <c r="Q322" s="109">
        <v>18.6415771</v>
      </c>
      <c r="R322" s="123" t="s">
        <v>3585</v>
      </c>
      <c r="S322" s="102" t="s">
        <v>3586</v>
      </c>
      <c r="T322" s="131" t="s">
        <v>3587</v>
      </c>
      <c r="U322" s="147" t="s">
        <v>3588</v>
      </c>
      <c r="V322" s="143" t="s">
        <v>3589</v>
      </c>
      <c r="W322" s="52" t="s">
        <v>3590</v>
      </c>
      <c r="X322" s="64" t="s">
        <v>3582</v>
      </c>
      <c r="Y322" s="121" t="s">
        <v>3591</v>
      </c>
      <c r="Z322" s="119" t="s">
        <v>3592</v>
      </c>
      <c r="AA322" s="125" t="s">
        <v>64</v>
      </c>
      <c r="AB322" s="65"/>
      <c r="AC322" s="65"/>
      <c r="AD322" s="65"/>
      <c r="AE322" s="65"/>
      <c r="AF322" s="65"/>
      <c r="AG322" s="65"/>
      <c r="AH322" s="65"/>
      <c r="AI322" s="65"/>
      <c r="AJ322" s="65"/>
      <c r="AK322" s="65"/>
      <c r="AL322" s="65"/>
      <c r="AM322" s="17" t="s">
        <v>320</v>
      </c>
      <c r="AN322" s="36"/>
      <c r="AO322" s="68" t="str">
        <f t="shared" si="6"/>
        <v>FM - Trans SK, s.r.o. stavebnictvo, doprava, odpady a recyklacia, obaly, &amp;#32vsetky kategorie  972 15 Klacno  Nase sluzby su urcene pre fyzicke osoby, pravnicke osoby ale aj verejnych obstaravatelov - verejne spravy ci samospravy. 
Zabezpecujeme sluzby v oblastiach:
- odpadove hospodarstvo - odber a odvoz komunalnych, priemyselnych, stavebnych a nebezpecnych odpadov, triedenie - recyklacia/zhodnocovanie odpadov, odstranovanie a likvidacia azbestu,
- stavebnictvo - zemne a vykopove prace, buracie prace, dokoncovacie stavebne prace, dovoz a odvoz stavebnych materialov. Vynimocnost nasich sluzieb spociva v komplexnosti ich zabezpecenia.  Zaroven sa vytvaranim dlhodobo stabilnych pracovnych miest pre znevyhodnene a zranitelne osoby  snazime prispiet ich socialnemu rozvoju, rozvoju financnej gramotnosti a osvojeniu si pracovnych navykov.  FM - Trans SK, s.r.o. Skladovanie a triedenie odpadov odpad, recyklacia, zhodnocovanie odpadov, azbest, cestna nakladna doprava, stavebnictvo, zemne prace, vykopove prace, stavebny material, buracie prace, likvidacia, dovoz,           Servisne poukazky </v>
      </c>
      <c r="AP322" s="145" t="s">
        <v>41</v>
      </c>
    </row>
    <row r="323" ht="15.75" customHeight="1">
      <c r="A323" s="45"/>
      <c r="B323" s="70">
        <v>321.0</v>
      </c>
      <c r="C323" s="116" t="s">
        <v>3593</v>
      </c>
      <c r="D323" s="71" t="s">
        <v>134</v>
      </c>
      <c r="E323" s="43" t="str">
        <f t="shared" si="1"/>
        <v>Trenčiansky kraj, &amp;#32celé Slovensko</v>
      </c>
      <c r="F323" s="44" t="s">
        <v>3594</v>
      </c>
      <c r="G323" s="43" t="str">
        <f t="shared" si="2"/>
        <v>vzdelávanie, kultúra a šport, pre deti, &amp;#32všetky kategórie</v>
      </c>
      <c r="H323" s="44" t="s">
        <v>96</v>
      </c>
      <c r="I323" s="45" t="str">
        <f t="shared" si="3"/>
        <v>6 - 10, &amp;#32všetky možnosti</v>
      </c>
      <c r="J323" s="46" t="str">
        <f t="shared" si="4"/>
        <v>,</v>
      </c>
      <c r="K323" s="47">
        <f t="shared" si="5"/>
        <v>8242.730978</v>
      </c>
      <c r="L323" s="45"/>
      <c r="M323" s="49" t="str">
        <f>IFERROR(__xludf.DUMMYFUNCTION("SPLIT(O323,"","")"),"Gen. M.R.Štefánika 372/9")</f>
        <v>Gen. M.R.Štefánika 372/9</v>
      </c>
      <c r="N323" s="48" t="str">
        <f>IFERROR(__xludf.DUMMYFUNCTION("""COMPUTED_VALUE""")," 911 01 Trenčín ")</f>
        <v> 911 01 Trenčín </v>
      </c>
      <c r="O323" s="122" t="s">
        <v>3595</v>
      </c>
      <c r="P323" s="50">
        <v>48.8920805</v>
      </c>
      <c r="Q323" s="50">
        <v>18.0532543</v>
      </c>
      <c r="R323" s="148" t="s">
        <v>3596</v>
      </c>
      <c r="S323" s="102" t="s">
        <v>3597</v>
      </c>
      <c r="T323" s="131" t="s">
        <v>3598</v>
      </c>
      <c r="U323" s="134" t="s">
        <v>3599</v>
      </c>
      <c r="V323" s="149" t="s">
        <v>3600</v>
      </c>
      <c r="W323" s="52" t="s">
        <v>3601</v>
      </c>
      <c r="X323" s="52" t="s">
        <v>3593</v>
      </c>
      <c r="Y323" s="121" t="s">
        <v>3602</v>
      </c>
      <c r="Z323" s="119" t="s">
        <v>3603</v>
      </c>
      <c r="AA323" s="125" t="s">
        <v>64</v>
      </c>
      <c r="AB323" s="65"/>
      <c r="AC323" s="65"/>
      <c r="AD323" s="65"/>
      <c r="AE323" s="65"/>
      <c r="AF323" s="65"/>
      <c r="AG323" s="65"/>
      <c r="AH323" s="65"/>
      <c r="AI323" s="65"/>
      <c r="AJ323" s="65"/>
      <c r="AK323" s="65"/>
      <c r="AL323" s="65"/>
      <c r="AM323" s="36"/>
      <c r="AN323" s="36"/>
      <c r="AO323" s="68" t="str">
        <f t="shared" si="6"/>
        <v>KreaTivO, s.r.o. vzdelavanie, kultura a sport, pre deti, &amp;#32vsetky kategorie  911 01 Trencin  Nasim hlavnym programom su sluzby pre deti, organizujeme a zabezpecujeme rozne sukromne a firemne akcie. Skolam a rodicom ponukame vzdelavacie LEGO® kurzy, programy pre skolske vylety,  mimoskolsku cinnost, narodeninove oslavy, pocas skolskych prazdnin denne tabory. Pre firmy ponukame netradicne programy pri firemnych akciach a teambuildingoch, programy pre deti zamestnancov. Tvorba spolocenskeho prospechu v oblasti rozvoja a vzdelavania deti a mladeze, ako aj zamestnavania osob zo znevyhodnenych skupin. KreaTivO, s.r.o. Mimoskolska cinnost, vzdelavacie LEGO® kurzy, narodeninove oslavy, programy pre skoly, skolske kluby a skolky, programy pre firmy - firemne akcie, teambuildingy Lego, kurzy, vzdelavanie, deti, tabory, vylety, hra, zabava, teambuilding, oslava, skola, firemna akcia, aktivity, program, trening, rozvoj, lektor, metodika, narodeniny, mimoskolska cinnost           </v>
      </c>
      <c r="AP323" s="145" t="s">
        <v>41</v>
      </c>
    </row>
    <row r="324" ht="15.75" customHeight="1">
      <c r="A324" s="45"/>
      <c r="B324" s="70">
        <v>322.0</v>
      </c>
      <c r="C324" s="116" t="s">
        <v>3604</v>
      </c>
      <c r="D324" s="71" t="s">
        <v>94</v>
      </c>
      <c r="E324" s="43" t="str">
        <f t="shared" si="1"/>
        <v>Bratislavský kraj, &amp;#32celé Slovensko</v>
      </c>
      <c r="F324" s="44" t="s">
        <v>3605</v>
      </c>
      <c r="G324" s="43" t="str">
        <f t="shared" si="2"/>
        <v>stavebníctvo, iné (tovary a služby), &amp;#32všetky kategórie</v>
      </c>
      <c r="H324" s="44" t="s">
        <v>53</v>
      </c>
      <c r="I324" s="45" t="str">
        <f t="shared" si="3"/>
        <v>1 - 5, &amp;#32všetky možnosti</v>
      </c>
      <c r="J324" s="46" t="str">
        <f t="shared" si="4"/>
        <v>,</v>
      </c>
      <c r="K324" s="47">
        <f t="shared" si="5"/>
        <v>17491.50391</v>
      </c>
      <c r="L324" s="45"/>
      <c r="M324" s="49" t="str">
        <f>IFERROR(__xludf.DUMMYFUNCTION("SPLIT(O324,"","")"),"Ivanská cesta 2")</f>
        <v>Ivanská cesta 2</v>
      </c>
      <c r="N324" s="48" t="str">
        <f>IFERROR(__xludf.DUMMYFUNCTION("""COMPUTED_VALUE""")," 821 04 Bratislava")</f>
        <v> 821 04 Bratislava</v>
      </c>
      <c r="O324" s="122" t="s">
        <v>3606</v>
      </c>
      <c r="P324" s="50">
        <v>48.1657034</v>
      </c>
      <c r="Q324" s="109">
        <v>17.1722614</v>
      </c>
      <c r="R324" s="123" t="s">
        <v>3607</v>
      </c>
      <c r="S324" s="102" t="s">
        <v>1167</v>
      </c>
      <c r="T324" s="140" t="s">
        <v>3608</v>
      </c>
      <c r="U324" s="150" t="s">
        <v>3609</v>
      </c>
      <c r="V324" s="143" t="s">
        <v>3610</v>
      </c>
      <c r="W324" s="52" t="s">
        <v>3611</v>
      </c>
      <c r="X324" s="52" t="s">
        <v>3612</v>
      </c>
      <c r="Y324" s="121" t="s">
        <v>3613</v>
      </c>
      <c r="Z324" s="119" t="s">
        <v>3614</v>
      </c>
      <c r="AA324" s="125" t="s">
        <v>64</v>
      </c>
      <c r="AB324" s="65"/>
      <c r="AC324" s="65"/>
      <c r="AD324" s="65"/>
      <c r="AE324" s="65"/>
      <c r="AF324" s="65"/>
      <c r="AG324" s="65"/>
      <c r="AH324" s="65"/>
      <c r="AI324" s="65"/>
      <c r="AJ324" s="65"/>
      <c r="AK324" s="65"/>
      <c r="AL324" s="65"/>
      <c r="AM324" s="36"/>
      <c r="AN324" s="36"/>
      <c r="AO324" s="68" t="str">
        <f t="shared" si="6"/>
        <v>PERMAL s. r. o. stavebnictvo, ine (tovary a sluzby), &amp;#32vsetky kategorie  821 04 Bratislava Stavebna cinnost, malovanie, predaj farieb, maliarskeho naradia, dekoracnych obkladov a stavebnej chemie. Zamestnavame znevyhodnene osoby. Sniezka - predajna farieb Predajna farieb, dekoracnych obkladov, maliarskeho naradia predaj farieb, farby, dekoracne obklady, maliarske naradie, stavebna cinnost, malovanie, stavebna chemia           </v>
      </c>
      <c r="AP324" s="144"/>
    </row>
    <row r="325" ht="15.75" customHeight="1">
      <c r="A325" s="45"/>
      <c r="B325" s="70">
        <v>323.0</v>
      </c>
      <c r="C325" s="116" t="s">
        <v>3615</v>
      </c>
      <c r="D325" s="71" t="s">
        <v>181</v>
      </c>
      <c r="E325" s="43" t="str">
        <f t="shared" si="1"/>
        <v>Banskobystrický kraj, &amp;#32celé Slovensko</v>
      </c>
      <c r="F325" s="44" t="s">
        <v>3616</v>
      </c>
      <c r="G325" s="43" t="str">
        <f t="shared" si="2"/>
        <v>poľnohospodárstvo a lesníctvo, dom a záhrada, stavebníctvo, doprava, &amp;#32všetky kategórie</v>
      </c>
      <c r="H325" s="44" t="s">
        <v>96</v>
      </c>
      <c r="I325" s="45" t="str">
        <f t="shared" si="3"/>
        <v>6 - 10, &amp;#32všetky možnosti</v>
      </c>
      <c r="J325" s="46" t="str">
        <f t="shared" si="4"/>
        <v>,</v>
      </c>
      <c r="K325" s="47">
        <f t="shared" si="5"/>
        <v>7673.541861</v>
      </c>
      <c r="L325" s="45"/>
      <c r="M325" s="49" t="str">
        <f>IFERROR(__xludf.DUMMYFUNCTION("SPLIT(O325,"","")"),"Sobotská 10/1")</f>
        <v>Sobotská 10/1</v>
      </c>
      <c r="N325" s="48" t="str">
        <f>IFERROR(__xludf.DUMMYFUNCTION("""COMPUTED_VALUE""")," 980 02 Jesenské")</f>
        <v> 980 02 Jesenské</v>
      </c>
      <c r="O325" s="122" t="s">
        <v>3617</v>
      </c>
      <c r="P325" s="50">
        <v>48.3051904999999</v>
      </c>
      <c r="Q325" s="50">
        <v>20.0761207</v>
      </c>
      <c r="R325" s="123" t="s">
        <v>3618</v>
      </c>
      <c r="S325" s="102" t="s">
        <v>3619</v>
      </c>
      <c r="T325" s="140" t="s">
        <v>3620</v>
      </c>
      <c r="U325" s="150" t="s">
        <v>3621</v>
      </c>
      <c r="V325" s="143" t="s">
        <v>3622</v>
      </c>
      <c r="W325" s="52" t="s">
        <v>3623</v>
      </c>
      <c r="X325" s="52" t="s">
        <v>3624</v>
      </c>
      <c r="Y325" s="121" t="s">
        <v>3625</v>
      </c>
      <c r="Z325" s="119" t="s">
        <v>3626</v>
      </c>
      <c r="AA325" s="125" t="s">
        <v>64</v>
      </c>
      <c r="AB325" s="65"/>
      <c r="AC325" s="65"/>
      <c r="AD325" s="65"/>
      <c r="AE325" s="65"/>
      <c r="AF325" s="65"/>
      <c r="AG325" s="65"/>
      <c r="AH325" s="65"/>
      <c r="AI325" s="65"/>
      <c r="AJ325" s="65"/>
      <c r="AK325" s="65"/>
      <c r="AL325" s="65"/>
      <c r="AM325" s="36"/>
      <c r="AN325" s="36"/>
      <c r="AO325" s="68" t="str">
        <f t="shared" si="6"/>
        <v>KomPaS, s.r.o. polnohospodarstvo a lesnictvo, dom a zahrada, stavebnictvo, doprava, &amp;#32vsetky kategorie  980 02 Jesenske Nasa firma ponuka sluzby v oblasti domacnosti: starostlivost o dvor a zahradu (kosenie, rotavatorovanie, oranie), drobne stavebne prace, vyruby stromov, prepravu materialov mensich rozmerov. Pre obce ponukame sluzby ako opravy a udrziavanie verejneho osvetlenia, vykopove prace, natieranie a malovanie a ine rozne prace podla potreby. Vykonavame sluzby, ktore by pre ine podniky neboli ekonomicky vynosne, ale pre obyvatelstvo su potrebne. Pokryvame viac druhov sluzieb v jednom podniku. Snazime sa zamestnavat osoby, ktore potrebuju adaptaciu do miestneho pracovneho prostredia.   KomPaS, s.r.o., r.s.p. Nasa firma ponuka sluzby v oblasti domacnosti - starostlivost o dvor a zahradu (kosenie, rotavatorovanie, oranie), drobne stavebne prace, vyruby stromov, prepravu materialov mensich rozmerov. Pre obce ponukame sluzby ako opravy a udrziavanie verejneho osvetlenia, vykopove prace, natieranie a malovanie a ine rozne prace podla potreby. oranie, zemne prace, kosenie, rotavatorovanie, opravy, malovanie, drobne stavebne prace, vykopove prace, vyruby stromov, preprava materialov mensich rozmerov, doprava,            </v>
      </c>
      <c r="AP325" s="144"/>
    </row>
    <row r="326" ht="15.75" customHeight="1">
      <c r="A326" s="45"/>
      <c r="B326" s="70">
        <v>324.0</v>
      </c>
      <c r="C326" s="116" t="s">
        <v>3627</v>
      </c>
      <c r="D326" s="71" t="s">
        <v>80</v>
      </c>
      <c r="E326" s="43" t="str">
        <f t="shared" si="1"/>
        <v>Trnavský kraj, &amp;#32celé Slovensko</v>
      </c>
      <c r="F326" s="44" t="s">
        <v>3393</v>
      </c>
      <c r="G326" s="43" t="str">
        <f t="shared" si="2"/>
        <v>čistiace a upratovacie služby, poľnohospodárstvo a lesníctvo, dom a záhrada, &amp;#32všetky kategórie</v>
      </c>
      <c r="H326" s="44" t="s">
        <v>53</v>
      </c>
      <c r="I326" s="45" t="str">
        <f t="shared" si="3"/>
        <v>1 - 5, &amp;#32všetky možnosti</v>
      </c>
      <c r="J326" s="46" t="str">
        <f t="shared" si="4"/>
        <v>,Register partnerov VS</v>
      </c>
      <c r="K326" s="47">
        <f t="shared" si="5"/>
        <v>2930.814874</v>
      </c>
      <c r="L326" s="45"/>
      <c r="M326" s="49" t="str">
        <f>IFERROR(__xludf.DUMMYFUNCTION("SPLIT(O326,"","")"),"Tamaškovičova 2742/17")</f>
        <v>Tamaškovičova 2742/17</v>
      </c>
      <c r="N326" s="48" t="str">
        <f>IFERROR(__xludf.DUMMYFUNCTION("""COMPUTED_VALUE""")," 917 01 Trnava")</f>
        <v> 917 01 Trnava</v>
      </c>
      <c r="O326" s="122" t="s">
        <v>3628</v>
      </c>
      <c r="P326" s="50">
        <v>48.3672879</v>
      </c>
      <c r="Q326" s="50">
        <v>17.594241</v>
      </c>
      <c r="R326" s="123" t="s">
        <v>3629</v>
      </c>
      <c r="S326" s="102" t="s">
        <v>3630</v>
      </c>
      <c r="T326" s="140" t="s">
        <v>3631</v>
      </c>
      <c r="U326" s="150" t="s">
        <v>3632</v>
      </c>
      <c r="V326" s="143" t="s">
        <v>3633</v>
      </c>
      <c r="W326" s="36" t="s">
        <v>3634</v>
      </c>
      <c r="X326" s="52" t="s">
        <v>3627</v>
      </c>
      <c r="Y326" s="121" t="s">
        <v>3635</v>
      </c>
      <c r="Z326" s="119" t="s">
        <v>3636</v>
      </c>
      <c r="AA326" s="125" t="s">
        <v>64</v>
      </c>
      <c r="AB326" s="65"/>
      <c r="AC326" s="65"/>
      <c r="AD326" s="65"/>
      <c r="AE326" s="65"/>
      <c r="AF326" s="65"/>
      <c r="AG326" s="65"/>
      <c r="AH326" s="65"/>
      <c r="AI326" s="65"/>
      <c r="AJ326" s="65"/>
      <c r="AK326" s="65"/>
      <c r="AL326" s="65"/>
      <c r="AM326" s="52"/>
      <c r="AN326" s="17" t="s">
        <v>39</v>
      </c>
      <c r="AO326" s="68" t="str">
        <f t="shared" si="6"/>
        <v>DUO WORK, s.r.o. cistiace a upratovacie sluzby, polnohospodarstvo a lesnictvo, dom a zahrada, &amp;#32vsetky kategorie  917 01 Trnava Sme zahradnicka spolocnost, ktora sa zaobera realizaciou verejnej a sukromnej zelene. Riesime drobne zahradne prace ako strihanie a orezavanie stromov a krikov v zahradach, vysadba, drvenie, cistiace a upratovacie prace v exterieroch, nosenie tazsich bremien na dvoroch, v interieri a drobne stavebne prace ako osadzanie laviciek, fontan, oplotenia, altanky, pergoly, obrubniky, chodniky, zavlahy, rekonstrukcia cerpacej techniky, cerpadla.
Prioritne reagujeme na potreby klientov predovsetkym v obciach, a to konkretne obcanov ZTP, seniorov, osamelych rodicov s malymi detmi ci obcanov, ktori nemaju potrebne vybavenie a skusenosti s udrzbou zahrad ci uz sezonne alebo pocas celeho roka. Nakolko kazda sluzba a kazdy klient je iny, prisposobujeme svoj pristup individualnym poziadavkam klientov s ohladom na typ sluzby. Nasim cielom je vytvaranie a udrzanie pracovnych pozicii pre znevyhodnene a zranitelne osoby a ich integracia do pracovneho procesu v oblasti posobenia spolocnosti.
Zamestnavame zdravotne znevyhodnene osoby. DUO WORK, s.r.o. Sme zahradnicka spolocnost, ktora sa zaobera realizaciou verejnej a sukromnej zelene. zahradne sluzby, kosenie, vysadba, pilenie, zavlaha, strihanie krikov, orezavanie stromov, nosenie tazsich bremien, drobne stavebne prace, zavlahy, cerpadla           Register partnerov VS</v>
      </c>
      <c r="AP326" s="144"/>
    </row>
    <row r="327" ht="15.75" customHeight="1">
      <c r="A327" s="45"/>
      <c r="B327" s="70">
        <v>325.0</v>
      </c>
      <c r="C327" s="116" t="s">
        <v>3637</v>
      </c>
      <c r="D327" s="71" t="s">
        <v>51</v>
      </c>
      <c r="E327" s="43" t="str">
        <f t="shared" si="1"/>
        <v>Prešovský kraj, &amp;#32celé Slovensko</v>
      </c>
      <c r="F327" s="44" t="s">
        <v>2130</v>
      </c>
      <c r="G327" s="43" t="str">
        <f t="shared" si="2"/>
        <v>kovovýroba, &amp;#32všetky kategórie</v>
      </c>
      <c r="H327" s="44" t="s">
        <v>53</v>
      </c>
      <c r="I327" s="45" t="str">
        <f t="shared" si="3"/>
        <v>1 - 5, &amp;#32všetky možnosti</v>
      </c>
      <c r="J327" s="46" t="str">
        <f t="shared" si="4"/>
        <v>,Register partnerov VS</v>
      </c>
      <c r="K327" s="47">
        <f t="shared" si="5"/>
        <v>15417.87274</v>
      </c>
      <c r="L327" s="45"/>
      <c r="M327" s="49" t="str">
        <f>IFERROR(__xludf.DUMMYFUNCTION("SPLIT(O327,"","")"),"Ružová 576/33")</f>
        <v>Ružová 576/33</v>
      </c>
      <c r="N327" s="48" t="str">
        <f>IFERROR(__xludf.DUMMYFUNCTION("""COMPUTED_VALUE""")," 065 44 Plaveč")</f>
        <v> 065 44 Plaveč</v>
      </c>
      <c r="O327" s="122" t="s">
        <v>3638</v>
      </c>
      <c r="P327" s="50">
        <v>49.2614757</v>
      </c>
      <c r="Q327" s="50">
        <v>20.8347439</v>
      </c>
      <c r="R327" s="123" t="s">
        <v>3639</v>
      </c>
      <c r="S327" s="102" t="s">
        <v>3640</v>
      </c>
      <c r="T327" s="151" t="s">
        <v>3641</v>
      </c>
      <c r="U327" s="150" t="s">
        <v>3642</v>
      </c>
      <c r="V327" s="143" t="s">
        <v>3643</v>
      </c>
      <c r="W327" s="36" t="s">
        <v>3644</v>
      </c>
      <c r="X327" s="52" t="s">
        <v>3645</v>
      </c>
      <c r="Y327" s="121" t="s">
        <v>3646</v>
      </c>
      <c r="Z327" s="119" t="s">
        <v>3647</v>
      </c>
      <c r="AA327" s="125" t="s">
        <v>64</v>
      </c>
      <c r="AB327" s="65"/>
      <c r="AC327" s="65"/>
      <c r="AD327" s="65"/>
      <c r="AE327" s="65"/>
      <c r="AF327" s="65"/>
      <c r="AG327" s="65"/>
      <c r="AH327" s="65"/>
      <c r="AI327" s="65"/>
      <c r="AJ327" s="65"/>
      <c r="AK327" s="65"/>
      <c r="AL327" s="65"/>
      <c r="AM327" s="52"/>
      <c r="AN327" s="17" t="s">
        <v>39</v>
      </c>
      <c r="AO327" s="68" t="str">
        <f t="shared" si="6"/>
        <v>DP-ZvarMont s.r.o. kovovyroba, &amp;#32vsetky kategorie  065 44 Plavec Ponukame pieskovanie, zvaranie, vyrobu zeleza, konstrukcii a montaz. Sme schopni pripravit, zostavit a spojit siroku skalu kovov i kovovych zliatin s vyuzitim roznych zvaracich procesov. Vieme pouzit to najvhodnejsie vybavenie, postup aj metodiku v zavislosti od materialu, ktory je spajany. Prispievame k dosahovaniu pozitivneho socialneho vplyvu poskytovanim spolocensky prospesnej sluzby v oblasti zamestnanosti, a to zamestnavanim
znevyhodnenych a/alebo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tieto osoby pozitivny socialny vplyv, dojde k ich zacleneniu z okraja spolocnosti do realneho zivota. DP-ZvarMont s.r.o., r.s.p. Zaoberame sa strojarskou vyrobou, kovovyrobou, zamocnickymi a zvaracskymi pracami, montaznymi a lakovnickymi pracami.  kovovyroba, zvaranie, vyroba zeleza, vyroba konstrukcii, montaz, konstrukcie, pieskovanie, povrchova uprava, zelezo           Register partnerov VS</v>
      </c>
      <c r="AP327" s="144"/>
    </row>
    <row r="328" ht="15.75" customHeight="1">
      <c r="A328" s="45"/>
      <c r="B328" s="70">
        <v>326.0</v>
      </c>
      <c r="C328" s="116" t="s">
        <v>3648</v>
      </c>
      <c r="D328" s="71" t="s">
        <v>217</v>
      </c>
      <c r="E328" s="43" t="str">
        <f t="shared" si="1"/>
        <v>Košický kraj, &amp;#32celé Slovensko</v>
      </c>
      <c r="F328" s="44" t="s">
        <v>2240</v>
      </c>
      <c r="G328" s="43" t="str">
        <f t="shared" si="2"/>
        <v>čistiace a upratovacie služby, dom a záhrada, stavebníctvo, odpady a recyklácia, &amp;#32všetky kategórie</v>
      </c>
      <c r="H328" s="44" t="s">
        <v>53</v>
      </c>
      <c r="I328" s="45" t="str">
        <f t="shared" si="3"/>
        <v>1 - 5, &amp;#32všetky možnosti</v>
      </c>
      <c r="J328" s="46" t="str">
        <f t="shared" si="4"/>
        <v>,</v>
      </c>
      <c r="K328" s="47">
        <f t="shared" si="5"/>
        <v>6206.512162</v>
      </c>
      <c r="L328" s="45"/>
      <c r="M328" s="49" t="str">
        <f>IFERROR(__xludf.DUMMYFUNCTION("SPLIT(O328,"","")"),"Prakovce 298")</f>
        <v>Prakovce 298</v>
      </c>
      <c r="N328" s="48" t="str">
        <f>IFERROR(__xludf.DUMMYFUNCTION("""COMPUTED_VALUE""")," 056 01 Prakovce")</f>
        <v> 056 01 Prakovce</v>
      </c>
      <c r="O328" s="122" t="s">
        <v>3649</v>
      </c>
      <c r="P328" s="50">
        <v>48.8167424</v>
      </c>
      <c r="Q328" s="50">
        <v>20.8977335</v>
      </c>
      <c r="R328" s="123" t="s">
        <v>3650</v>
      </c>
      <c r="S328" s="102" t="s">
        <v>3651</v>
      </c>
      <c r="T328" s="140" t="s">
        <v>86</v>
      </c>
      <c r="U328" s="150" t="s">
        <v>3652</v>
      </c>
      <c r="V328" s="143" t="s">
        <v>3653</v>
      </c>
      <c r="W328" s="36" t="s">
        <v>3654</v>
      </c>
      <c r="X328" s="52" t="s">
        <v>3655</v>
      </c>
      <c r="Y328" s="121" t="s">
        <v>3656</v>
      </c>
      <c r="Z328" s="119" t="s">
        <v>3657</v>
      </c>
      <c r="AA328" s="125" t="s">
        <v>64</v>
      </c>
      <c r="AB328" s="65"/>
      <c r="AC328" s="65"/>
      <c r="AD328" s="65"/>
      <c r="AE328" s="65"/>
      <c r="AF328" s="65"/>
      <c r="AG328" s="65"/>
      <c r="AH328" s="65"/>
      <c r="AI328" s="65"/>
      <c r="AJ328" s="65"/>
      <c r="AK328" s="65"/>
      <c r="AL328" s="65"/>
      <c r="AM328" s="36"/>
      <c r="AN328" s="36"/>
      <c r="AO328" s="68" t="str">
        <f t="shared" si="6"/>
        <v>CIBEKA s. r. o. cistiace a upratovacie sluzby, dom a zahrada, stavebnictvo, odpady a recyklacia, &amp;#32vsetky kategorie  056 01 Prakovce Nakolko sme mlady integracny socialny podnik, ponukame zatial  sluzby ako realizacia drobnych stavieb, rekonstrukcie, modernizacie, opravy a udrzba interierov a exterierov, kosenie a starostlivost o domacnost.
Hlavnou podnikatelskou aktivitou bude pracovna s vykonom stredne velkej priemyselnej pracovne t. j. dennou kapacitou v rozmedzi cca 250 - 1000 kg. Snazime sa o dosahovanie prosocialnych cielov snasho podnikania, o naplnanie pozitivneho socialneho vplyvu, najma stimulaciou a aktivnou pomocou ludom, ktori to maju v zivote tazsie. Podporujeme zamestnanost/zamestnatelnost osob z okruhu vhodnych recipientov – znevyhodnenych a zranitelnych osob, zijucich v spadovej oblasti mikroregionu Gelnice, a to s optimalizaciou vyuzitia nastrojov tzv. aktivnych opatreni na trhu prace. 
 CIBEKA s.r.o. Zatial ponukame sluzby ako realizacia drobnych stavieb, rekonstrukcie, modernizacie, opravy a udrzba interierov a exterierov, kosenie a starostlivost o domacnost.
Nasou  hlavnou podnikatelskou aktivitou bude  pracovna s vykonom stredne velkej priemyselnej pracovne t. j. dennou kapacitou v rozmedzi cca 250 - 1000 kg. stavebne prace, kosenie, pracovna, zehlenie, drobne stavby, rekonstrukcie, modernizacie interierov, opravy a udrzba interierov a exterierov, starostlivost o domacnost           </v>
      </c>
      <c r="AP328" s="145" t="s">
        <v>41</v>
      </c>
    </row>
    <row r="329" ht="15.75" customHeight="1">
      <c r="A329" s="45"/>
      <c r="B329" s="70">
        <v>327.0</v>
      </c>
      <c r="C329" s="116" t="s">
        <v>3658</v>
      </c>
      <c r="D329" s="71" t="s">
        <v>80</v>
      </c>
      <c r="E329" s="43" t="str">
        <f t="shared" si="1"/>
        <v>Trnavský kraj, &amp;#32celé Slovensko</v>
      </c>
      <c r="F329" s="44" t="s">
        <v>3659</v>
      </c>
      <c r="G329" s="43" t="str">
        <f t="shared" si="2"/>
        <v>ochrana a bezpečnosť, odevy a obuv, &amp;#32všetky kategórie</v>
      </c>
      <c r="H329" s="44" t="s">
        <v>170</v>
      </c>
      <c r="I329" s="45" t="str">
        <f t="shared" si="3"/>
        <v>21 a viac, &amp;#32všetky možnosti</v>
      </c>
      <c r="J329" s="46" t="str">
        <f t="shared" si="4"/>
        <v>,Register partnerov VS</v>
      </c>
      <c r="K329" s="47">
        <f t="shared" si="5"/>
        <v>29375.7583</v>
      </c>
      <c r="L329" s="45"/>
      <c r="M329" s="49" t="str">
        <f>IFERROR(__xludf.DUMMYFUNCTION("SPLIT(O329,"","")"),"Hlavná 249")</f>
        <v>Hlavná 249</v>
      </c>
      <c r="N329" s="48" t="str">
        <f>IFERROR(__xludf.DUMMYFUNCTION("""COMPUTED_VALUE""")," 925 03 Horné Saliby")</f>
        <v> 925 03 Horné Saliby</v>
      </c>
      <c r="O329" s="122" t="s">
        <v>3660</v>
      </c>
      <c r="P329" s="50">
        <v>48.1029333</v>
      </c>
      <c r="Q329" s="109">
        <v>17.6881363</v>
      </c>
      <c r="R329" s="123" t="s">
        <v>3661</v>
      </c>
      <c r="S329" s="51" t="s">
        <v>3662</v>
      </c>
      <c r="T329" s="140" t="s">
        <v>86</v>
      </c>
      <c r="U329" s="152" t="s">
        <v>3663</v>
      </c>
      <c r="V329" s="153" t="s">
        <v>3664</v>
      </c>
      <c r="W329" s="65" t="s">
        <v>3665</v>
      </c>
      <c r="X329" s="64" t="s">
        <v>3658</v>
      </c>
      <c r="Y329" s="121" t="s">
        <v>3666</v>
      </c>
      <c r="Z329" s="119" t="s">
        <v>3667</v>
      </c>
      <c r="AA329" s="125" t="s">
        <v>64</v>
      </c>
      <c r="AB329" s="65"/>
      <c r="AC329" s="65"/>
      <c r="AD329" s="65"/>
      <c r="AE329" s="65"/>
      <c r="AF329" s="65"/>
      <c r="AG329" s="65"/>
      <c r="AH329" s="65"/>
      <c r="AI329" s="65"/>
      <c r="AJ329" s="65"/>
      <c r="AK329" s="65"/>
      <c r="AL329" s="65"/>
      <c r="AM329" s="52"/>
      <c r="AN329" s="17" t="s">
        <v>39</v>
      </c>
      <c r="AO329" s="68" t="str">
        <f t="shared" si="6"/>
        <v>OCTAN plus s.r.o. ochrana a bezpecnost, odevy a obuv, &amp;#32vsetky kategorie  925 03 Horne Saliby Na zaklade dlhorocnych skusenosti a odbornych znalosti sme schopni nasim zakaznikom poskytnut komplexne riesenie v oblasti OOPP, co zahrna aj sitie pracovnych odevov na mieru - rozne strihove a farebne riesenia, oznacenie firemnym logom; ponukame odevne doplnky a ostatne OOPP + reklamne predmety. Pouzivame rozne strihy a vela druhov materialu.  V oblasti ochrany pri praci posobime uz od roku 1992. Pouzivanim kvalitnych materialov, pohodlnych strihov a kvalitnych doplnkov uspokojujeme poziadavky odberatelov. Pouzivame rozne strihy a vela druhov materialu.   Spolocnosti Octan plus s.r.o. bol v juni 2021 priznany statut registrovaneho socialneho podniku.
Znamena to, ze v Octane podporujeme zamestnanost zdravotne znevyhodnenych a zranitelnych osob.  OCTAN plus s.r.o. Vyroba pracovnych odevov a doplnkov na mieru. pracovne odevy, specialne odevy, potlac, vysivka, OOPP, sitie,           Register partnerov VS</v>
      </c>
      <c r="AP329" s="145" t="s">
        <v>41</v>
      </c>
    </row>
    <row r="330" ht="15.75" customHeight="1">
      <c r="A330" s="45"/>
      <c r="B330" s="70">
        <v>328.0</v>
      </c>
      <c r="C330" s="116" t="s">
        <v>3668</v>
      </c>
      <c r="D330" s="71" t="s">
        <v>217</v>
      </c>
      <c r="E330" s="43" t="str">
        <f t="shared" si="1"/>
        <v>Košický kraj, &amp;#32celé Slovensko</v>
      </c>
      <c r="F330" s="44" t="s">
        <v>3669</v>
      </c>
      <c r="G330" s="43" t="str">
        <f t="shared" si="2"/>
        <v>ubytovacie a stravovacie služby, účtovníctvo a poradenstvo, &amp;#32všetky kategórie</v>
      </c>
      <c r="H330" s="44" t="s">
        <v>96</v>
      </c>
      <c r="I330" s="45" t="str">
        <f t="shared" si="3"/>
        <v>6 - 10, &amp;#32všetky možnosti</v>
      </c>
      <c r="J330" s="46" t="str">
        <f t="shared" si="4"/>
        <v>,Register partnerov VS</v>
      </c>
      <c r="K330" s="47">
        <f t="shared" si="5"/>
        <v>39693.70083</v>
      </c>
      <c r="L330" s="45"/>
      <c r="M330" s="49" t="str">
        <f>IFERROR(__xludf.DUMMYFUNCTION("SPLIT(O330,"","")"),"Narcisová 410/5/A")</f>
        <v>Narcisová 410/5/A</v>
      </c>
      <c r="N330" s="48" t="str">
        <f>IFERROR(__xludf.DUMMYFUNCTION("""COMPUTED_VALUE""")," 040 11 Košice")</f>
        <v> 040 11 Košice</v>
      </c>
      <c r="O330" s="122" t="s">
        <v>3670</v>
      </c>
      <c r="P330" s="50">
        <v>48.7089092999999</v>
      </c>
      <c r="Q330" s="109">
        <v>21.2394085</v>
      </c>
      <c r="R330" s="123" t="s">
        <v>3671</v>
      </c>
      <c r="S330" s="102" t="s">
        <v>3672</v>
      </c>
      <c r="T330" s="154" t="s">
        <v>86</v>
      </c>
      <c r="U330" s="152" t="s">
        <v>3673</v>
      </c>
      <c r="V330" s="143" t="s">
        <v>3674</v>
      </c>
      <c r="W330" s="36" t="s">
        <v>3675</v>
      </c>
      <c r="X330" s="64" t="s">
        <v>3676</v>
      </c>
      <c r="Y330" s="121" t="s">
        <v>3677</v>
      </c>
      <c r="Z330" s="119" t="s">
        <v>3678</v>
      </c>
      <c r="AA330" s="125" t="s">
        <v>64</v>
      </c>
      <c r="AB330" s="65"/>
      <c r="AC330" s="65"/>
      <c r="AD330" s="65"/>
      <c r="AE330" s="65"/>
      <c r="AF330" s="65"/>
      <c r="AG330" s="65"/>
      <c r="AH330" s="65"/>
      <c r="AI330" s="65"/>
      <c r="AJ330" s="65"/>
      <c r="AK330" s="65"/>
      <c r="AL330" s="65"/>
      <c r="AM330" s="52"/>
      <c r="AN330" s="17" t="s">
        <v>39</v>
      </c>
      <c r="AO330" s="68" t="str">
        <f t="shared" si="6"/>
        <v>Centrala s. r. o. ubytovacie a stravovacie sluzby, uctovnictvo a poradenstvo, &amp;#32vsetky kategorie  040 11 Kosice Ponukame uctovne a administrativne sluzby, spracovanie a vedenie projektov, konzultacnu cinnost, prenajom apartmanoveho ubytovania, nahradne plnenie. Pozitivny socialny vplyv dosahujeme percentom zamestnavania znevyhodnenych a zranitelnych zamestnancov. Centrala s.r.o. Spracovanie uctovnictva, miezd, dani, dph, spracovanie a vedenie projektov, konzultacna cinnost, ubytovacie sluzby. uctovnictvo, dane, projekty, ubytovanie, administrativne sluzby, nahradne plnenie,            Register partnerov VS</v>
      </c>
      <c r="AP330" s="145" t="s">
        <v>41</v>
      </c>
    </row>
    <row r="331" ht="15.75" customHeight="1">
      <c r="A331" s="45"/>
      <c r="B331" s="70">
        <v>329.0</v>
      </c>
      <c r="C331" s="116" t="s">
        <v>3679</v>
      </c>
      <c r="D331" s="71" t="s">
        <v>134</v>
      </c>
      <c r="E331" s="43" t="str">
        <f t="shared" si="1"/>
        <v>Trenčiansky kraj, &amp;#32celé Slovensko</v>
      </c>
      <c r="F331" s="44" t="s">
        <v>484</v>
      </c>
      <c r="G331" s="43" t="str">
        <f t="shared" si="2"/>
        <v>auto-moto, &amp;#32všetky kategórie</v>
      </c>
      <c r="H331" s="44" t="s">
        <v>53</v>
      </c>
      <c r="I331" s="45" t="str">
        <f t="shared" si="3"/>
        <v>1 - 5, &amp;#32všetky možnosti</v>
      </c>
      <c r="J331" s="46" t="str">
        <f t="shared" si="4"/>
        <v>,</v>
      </c>
      <c r="K331" s="47">
        <f t="shared" si="5"/>
        <v>7811.42562</v>
      </c>
      <c r="L331" s="45"/>
      <c r="M331" s="49" t="str">
        <f>IFERROR(__xludf.DUMMYFUNCTION("SPLIT(O331,"","")"),"Morovnianska cesta 1723/2")</f>
        <v>Morovnianska cesta 1723/2</v>
      </c>
      <c r="N331" s="48" t="str">
        <f>IFERROR(__xludf.DUMMYFUNCTION("""COMPUTED_VALUE""")," 972 51 Handlová")</f>
        <v> 972 51 Handlová</v>
      </c>
      <c r="O331" s="122" t="s">
        <v>3680</v>
      </c>
      <c r="P331" s="50">
        <v>48.7362438</v>
      </c>
      <c r="Q331" s="109">
        <v>18.7556875</v>
      </c>
      <c r="R331" s="148" t="s">
        <v>3681</v>
      </c>
      <c r="S331" s="51" t="s">
        <v>3682</v>
      </c>
      <c r="T331" s="154" t="s">
        <v>86</v>
      </c>
      <c r="U331" s="152" t="s">
        <v>3683</v>
      </c>
      <c r="V331" s="143" t="s">
        <v>3684</v>
      </c>
      <c r="W331" s="36" t="s">
        <v>3685</v>
      </c>
      <c r="X331" s="64" t="s">
        <v>3679</v>
      </c>
      <c r="Y331" s="121" t="s">
        <v>3686</v>
      </c>
      <c r="Z331" s="119" t="s">
        <v>3687</v>
      </c>
      <c r="AA331" s="125" t="s">
        <v>64</v>
      </c>
      <c r="AB331" s="65"/>
      <c r="AC331" s="65"/>
      <c r="AD331" s="65"/>
      <c r="AE331" s="65"/>
      <c r="AF331" s="65"/>
      <c r="AG331" s="65"/>
      <c r="AH331" s="65"/>
      <c r="AI331" s="65"/>
      <c r="AJ331" s="65"/>
      <c r="AK331" s="65"/>
      <c r="AL331" s="65"/>
      <c r="AM331" s="36"/>
      <c r="AN331" s="36"/>
      <c r="AO331" s="68" t="str">
        <f t="shared" si="6"/>
        <v>Autodiely OMEGA, s.r.o. auto-moto, &amp;#32vsetky kategorie  972 51 Handlova Maloobchod a velkoobchod s nahradnymi dielmi a doplnkovym tovarom na motorove vozidla pre firmy a koncovych zakaznikov. Ako pozitivny spolocensky dopad vnimame moznost dat pracu zdravotne znevyhodnenym zamestnancom. V pripade dosahovania zisku tento chceme v plnej miere vyuzit na zlepsenie pracovneho prostredia, na regeneraciu pracovnej sily, na nakup novych technickych zariadeni, ktore ulahcia zamestnancom pracu a zvysia jej produktivitu. Autodiely OMEGA, s.r.o. Nahradne diely a doplnkovy tovar na motorove vozidla. nahradne diely, doplnkovy tovar na motorove vozidla, auto-moto           </v>
      </c>
      <c r="AP331" s="145" t="s">
        <v>41</v>
      </c>
    </row>
    <row r="332" ht="15.75" customHeight="1">
      <c r="A332" s="45"/>
      <c r="B332" s="70">
        <v>330.0</v>
      </c>
      <c r="C332" s="116" t="s">
        <v>3688</v>
      </c>
      <c r="D332" s="71" t="s">
        <v>51</v>
      </c>
      <c r="E332" s="43" t="str">
        <f t="shared" si="1"/>
        <v>Prešovský kraj, &amp;#32celé Slovensko</v>
      </c>
      <c r="F332" s="44" t="s">
        <v>3689</v>
      </c>
      <c r="G332" s="43" t="str">
        <f t="shared" si="2"/>
        <v>odevy a obuv, galantéria, bižutéria a darčekové predmety, &amp;#32všetky kategórie</v>
      </c>
      <c r="H332" s="44" t="s">
        <v>53</v>
      </c>
      <c r="I332" s="45" t="str">
        <f t="shared" si="3"/>
        <v>1 - 5, &amp;#32všetky možnosti</v>
      </c>
      <c r="J332" s="46" t="str">
        <f t="shared" si="4"/>
        <v>,</v>
      </c>
      <c r="K332" s="47">
        <f t="shared" si="5"/>
        <v>13626.34399</v>
      </c>
      <c r="L332" s="45"/>
      <c r="M332" s="49" t="str">
        <f>IFERROR(__xludf.DUMMYFUNCTION("SPLIT(O332,"","")"),"Pribišova 286/7")</f>
        <v>Pribišova 286/7</v>
      </c>
      <c r="N332" s="48" t="str">
        <f>IFERROR(__xludf.DUMMYFUNCTION("""COMPUTED_VALUE""")," 053 02 Spišský Hrhov")</f>
        <v> 053 02 Spišský Hrhov</v>
      </c>
      <c r="O332" s="122" t="s">
        <v>3690</v>
      </c>
      <c r="P332" s="50">
        <v>48.9980738</v>
      </c>
      <c r="Q332" s="109">
        <v>20.6389727</v>
      </c>
      <c r="R332" s="123" t="s">
        <v>3691</v>
      </c>
      <c r="S332" s="51" t="s">
        <v>3692</v>
      </c>
      <c r="T332" s="155" t="s">
        <v>3693</v>
      </c>
      <c r="U332" s="152" t="s">
        <v>3694</v>
      </c>
      <c r="V332" s="143" t="s">
        <v>3695</v>
      </c>
      <c r="W332" s="36" t="s">
        <v>3696</v>
      </c>
      <c r="X332" s="64" t="s">
        <v>3688</v>
      </c>
      <c r="Y332" s="121" t="s">
        <v>3697</v>
      </c>
      <c r="Z332" s="119" t="s">
        <v>3698</v>
      </c>
      <c r="AA332" s="125" t="s">
        <v>64</v>
      </c>
      <c r="AB332" s="65"/>
      <c r="AC332" s="65"/>
      <c r="AD332" s="65"/>
      <c r="AE332" s="65"/>
      <c r="AF332" s="65"/>
      <c r="AG332" s="65"/>
      <c r="AH332" s="65"/>
      <c r="AI332" s="65"/>
      <c r="AJ332" s="65"/>
      <c r="AK332" s="65"/>
      <c r="AL332" s="65"/>
      <c r="AM332" s="36"/>
      <c r="AN332" s="36"/>
      <c r="AO332" s="68" t="str">
        <f t="shared" si="6"/>
        <v>Dvakrat dobre, oz, r.s.p. odevy a obuv, galanteria, bizuteria a darcekove predmety, &amp;#32vsetky kategorie  053 02 Spissky Hrhov Nase obcianske zdruzenie sa venuje sitiu, krajcirstvu, oprave odevov; sijeme roznych druhov vyrobkov. Nase sluzby su urcene pre fyzicke osoby aj firmy. Zamestnavanim znevyhodnenych osob, najma zien po 50-ke a zdravotne znevyhodnenych. Dvakrat dobre, oz, r.s.p. Sitie, krajcirstvo roznych druhov produktov podla potreby zakaznika. sitie, krajcirstvo, oprava odevov, bazar odevov           </v>
      </c>
      <c r="AP332" s="144"/>
    </row>
    <row r="333" ht="15.75" customHeight="1">
      <c r="A333" s="45"/>
      <c r="B333" s="70">
        <v>331.0</v>
      </c>
      <c r="C333" s="116" t="s">
        <v>3699</v>
      </c>
      <c r="D333" s="71" t="s">
        <v>51</v>
      </c>
      <c r="E333" s="43" t="str">
        <f t="shared" si="1"/>
        <v>Prešovský kraj, &amp;#32celé Slovensko</v>
      </c>
      <c r="F333" s="44" t="s">
        <v>108</v>
      </c>
      <c r="G333" s="43" t="str">
        <f t="shared" si="2"/>
        <v>čistiace a upratovacie služby, stavebníctvo, &amp;#32všetky kategórie</v>
      </c>
      <c r="H333" s="44" t="s">
        <v>96</v>
      </c>
      <c r="I333" s="45" t="str">
        <f t="shared" si="3"/>
        <v>6 - 10, &amp;#32všetky možnosti</v>
      </c>
      <c r="J333" s="46" t="str">
        <f t="shared" si="4"/>
        <v>Servisné poukážky,</v>
      </c>
      <c r="K333" s="47">
        <f t="shared" si="5"/>
        <v>18139.7141</v>
      </c>
      <c r="L333" s="45"/>
      <c r="M333" s="49" t="str">
        <f>IFERROR(__xludf.DUMMYFUNCTION("SPLIT(O333,"","")"),"Hollého 12")</f>
        <v>Hollého 12</v>
      </c>
      <c r="N333" s="48" t="str">
        <f>IFERROR(__xludf.DUMMYFUNCTION("""COMPUTED_VALUE""")," 083 01 Sabinov")</f>
        <v> 083 01 Sabinov</v>
      </c>
      <c r="O333" s="122" t="s">
        <v>3700</v>
      </c>
      <c r="P333" s="50">
        <v>49.1051674</v>
      </c>
      <c r="Q333" s="109">
        <v>21.0894524</v>
      </c>
      <c r="R333" s="123" t="s">
        <v>3701</v>
      </c>
      <c r="S333" s="51" t="s">
        <v>3702</v>
      </c>
      <c r="T333" s="52" t="s">
        <v>3703</v>
      </c>
      <c r="U333" s="147" t="s">
        <v>3704</v>
      </c>
      <c r="V333" s="143" t="s">
        <v>3705</v>
      </c>
      <c r="W333" s="36" t="s">
        <v>3706</v>
      </c>
      <c r="X333" s="64" t="s">
        <v>3707</v>
      </c>
      <c r="Y333" s="121" t="s">
        <v>3708</v>
      </c>
      <c r="Z333" s="119" t="s">
        <v>3709</v>
      </c>
      <c r="AA333" s="125" t="s">
        <v>64</v>
      </c>
      <c r="AB333" s="65"/>
      <c r="AC333" s="65"/>
      <c r="AD333" s="65"/>
      <c r="AE333" s="65"/>
      <c r="AF333" s="65"/>
      <c r="AG333" s="65"/>
      <c r="AH333" s="65"/>
      <c r="AI333" s="65"/>
      <c r="AJ333" s="65"/>
      <c r="AK333" s="65"/>
      <c r="AL333" s="65"/>
      <c r="AM333" s="17" t="s">
        <v>320</v>
      </c>
      <c r="AN333" s="36"/>
      <c r="AO333" s="68" t="str">
        <f t="shared" si="6"/>
        <v>FEBA-ECO s. r. o., r. s. p. cistiace a upratovacie sluzby, stavebnictvo, &amp;#32vsetky kategorie  083 01 Sabinov Cistenie a pranie textilii, pranie, cistenie a tepovanie kobercov, upratovacie sluzby,
stavebna cinnost.
 Nasa firma prednostne zamestnava znevyhodnene osoby na trhu prace, dalej vzdelava a pripravuje osoby na ziskanie trvaleho zamestnania. Cistiaren, pracovna Feba - eco Cistenie a pranie textilii, upratovacie sluzby, cistenie a pranie kobercov. pranie, cistenie, tepovanie, stavebna cinnost          Servisne poukazky </v>
      </c>
      <c r="AP333" s="145" t="s">
        <v>41</v>
      </c>
    </row>
    <row r="334" ht="15.75" customHeight="1">
      <c r="A334" s="45"/>
      <c r="B334" s="70">
        <v>332.0</v>
      </c>
      <c r="C334" s="116" t="s">
        <v>3710</v>
      </c>
      <c r="D334" s="71" t="s">
        <v>66</v>
      </c>
      <c r="E334" s="43" t="str">
        <f t="shared" si="1"/>
        <v>Žilinský kraj, &amp;#32celé Slovensko</v>
      </c>
      <c r="F334" s="44" t="s">
        <v>2762</v>
      </c>
      <c r="G334" s="43" t="str">
        <f t="shared" si="2"/>
        <v>účtovníctvo a poradenstvo, iné (tovary a služby), &amp;#32všetky kategórie</v>
      </c>
      <c r="H334" s="44" t="s">
        <v>96</v>
      </c>
      <c r="I334" s="45" t="str">
        <f t="shared" si="3"/>
        <v>6 - 10, &amp;#32všetky možnosti</v>
      </c>
      <c r="J334" s="46" t="str">
        <f t="shared" si="4"/>
        <v>,Register partnerov VS</v>
      </c>
      <c r="K334" s="47">
        <f t="shared" si="5"/>
        <v>13469.99212</v>
      </c>
      <c r="L334" s="45"/>
      <c r="M334" s="49" t="str">
        <f>IFERROR(__xludf.DUMMYFUNCTION("SPLIT(O334,"","")"),"Trnavská 1355/7")</f>
        <v>Trnavská 1355/7</v>
      </c>
      <c r="N334" s="48" t="str">
        <f>IFERROR(__xludf.DUMMYFUNCTION("""COMPUTED_VALUE""")," 010 08 Žilina")</f>
        <v> 010 08 Žilina</v>
      </c>
      <c r="O334" s="122" t="s">
        <v>3711</v>
      </c>
      <c r="P334" s="156">
        <v>49.2061661</v>
      </c>
      <c r="Q334" s="157">
        <v>18.7646476</v>
      </c>
      <c r="R334" s="158" t="s">
        <v>3712</v>
      </c>
      <c r="S334" s="158" t="s">
        <v>3713</v>
      </c>
      <c r="T334" s="159" t="s">
        <v>86</v>
      </c>
      <c r="U334" s="160" t="s">
        <v>3714</v>
      </c>
      <c r="V334" s="143" t="s">
        <v>3715</v>
      </c>
      <c r="W334" s="149" t="s">
        <v>3716</v>
      </c>
      <c r="X334" s="149" t="s">
        <v>3710</v>
      </c>
      <c r="Y334" s="121" t="s">
        <v>3717</v>
      </c>
      <c r="Z334" s="119" t="s">
        <v>3718</v>
      </c>
      <c r="AA334" s="125" t="s">
        <v>64</v>
      </c>
      <c r="AB334" s="65"/>
      <c r="AC334" s="65"/>
      <c r="AD334" s="65"/>
      <c r="AE334" s="65"/>
      <c r="AF334" s="65"/>
      <c r="AG334" s="65"/>
      <c r="AH334" s="65"/>
      <c r="AI334" s="65"/>
      <c r="AJ334" s="65"/>
      <c r="AK334" s="65"/>
      <c r="AL334" s="65"/>
      <c r="AM334" s="52"/>
      <c r="AN334" s="17" t="s">
        <v>39</v>
      </c>
      <c r="AO334" s="68" t="str">
        <f t="shared" si="6"/>
        <v>Projman s.r.o. uctovnictvo a poradenstvo, ine (tovary a sluzby), &amp;#32vsetky kategorie  010 08 Zilina Sme spolocnost, ktora poskytuje sluzby v oblasti ziskavania grantov a dotacii, pripravy a riadenia projektov, poskytovania administrativnych sluzieb a tvorby strategickych dokumentov. Nasimi zakaznikmi su spolocnosti, ktore chcu ziskat grant, potrebuju pomoct s realizaciou projektu alebo nemaju dostatocne administrativne kapacity.  Cielom nasho podnikania nie je maximalizacia zisku, ktory sa rozdeluje medzi individualnych vlastnikov, ale poskytovanie spolocensky prospesnych sluzieb.
Znevyhodnenym zamestnancom davame moznost na sebarealizaciu. Vdaka tomu sa popri zamestnani zapajaju do bezneho zivota. Projman s.r.o. Poskytujeme poradenske a administrativne sluzby dotacie, granty, administrativne sluzby, poradenstvo,           Register partnerov VS</v>
      </c>
      <c r="AP334" s="144"/>
    </row>
    <row r="335" ht="15.75" customHeight="1">
      <c r="A335" s="161"/>
      <c r="B335" s="161"/>
      <c r="C335" s="161"/>
      <c r="D335" s="161"/>
      <c r="E335" s="161"/>
      <c r="F335" s="161"/>
      <c r="G335" s="161"/>
      <c r="H335" s="161"/>
      <c r="I335" s="161"/>
      <c r="J335" s="161"/>
      <c r="K335" s="161"/>
      <c r="L335" s="161"/>
      <c r="M335" s="161"/>
      <c r="N335" s="161"/>
      <c r="O335" s="161"/>
      <c r="P335" s="161"/>
      <c r="Q335" s="161"/>
      <c r="R335" s="161"/>
      <c r="S335" s="161"/>
      <c r="T335" s="161"/>
      <c r="U335" s="162"/>
      <c r="V335" s="162"/>
      <c r="W335" s="161"/>
      <c r="X335" s="161"/>
      <c r="Y335" s="161"/>
      <c r="Z335" s="162"/>
      <c r="AA335" s="162"/>
      <c r="AB335" s="161"/>
      <c r="AC335" s="161"/>
      <c r="AD335" s="161"/>
      <c r="AE335" s="161"/>
      <c r="AF335" s="161"/>
      <c r="AG335" s="161"/>
      <c r="AH335" s="161"/>
      <c r="AI335" s="161"/>
      <c r="AJ335" s="161"/>
      <c r="AK335" s="161"/>
      <c r="AL335" s="161"/>
      <c r="AM335" s="163"/>
      <c r="AN335" s="163"/>
      <c r="AO335" s="68"/>
      <c r="AP335" s="164"/>
    </row>
    <row r="336" ht="15.75" customHeight="1">
      <c r="A336" s="161"/>
      <c r="B336" s="161"/>
      <c r="C336" s="161"/>
      <c r="D336" s="161"/>
      <c r="E336" s="161"/>
      <c r="F336" s="161"/>
      <c r="G336" s="161"/>
      <c r="H336" s="161"/>
      <c r="I336" s="161"/>
      <c r="J336" s="161"/>
      <c r="K336" s="161"/>
      <c r="L336" s="161"/>
      <c r="M336" s="161"/>
      <c r="N336" s="161"/>
      <c r="O336" s="161"/>
      <c r="P336" s="161"/>
      <c r="Q336" s="161"/>
      <c r="R336" s="161"/>
      <c r="S336" s="161"/>
      <c r="T336" s="161"/>
      <c r="U336" s="162"/>
      <c r="V336" s="162"/>
      <c r="W336" s="161"/>
      <c r="X336" s="161"/>
      <c r="Y336" s="161"/>
      <c r="Z336" s="162"/>
      <c r="AA336" s="162"/>
      <c r="AB336" s="161"/>
      <c r="AC336" s="161"/>
      <c r="AD336" s="161"/>
      <c r="AE336" s="161"/>
      <c r="AF336" s="161"/>
      <c r="AG336" s="161"/>
      <c r="AH336" s="161"/>
      <c r="AI336" s="161"/>
      <c r="AJ336" s="161"/>
      <c r="AK336" s="161"/>
      <c r="AL336" s="161"/>
      <c r="AM336" s="163"/>
      <c r="AN336" s="163"/>
      <c r="AO336" s="68"/>
      <c r="AP336" s="164"/>
    </row>
    <row r="337" ht="15.75" customHeight="1">
      <c r="A337" s="161"/>
      <c r="B337" s="161"/>
      <c r="C337" s="161"/>
      <c r="D337" s="161"/>
      <c r="E337" s="161"/>
      <c r="F337" s="161"/>
      <c r="G337" s="161"/>
      <c r="H337" s="161"/>
      <c r="I337" s="161"/>
      <c r="J337" s="161"/>
      <c r="K337" s="161"/>
      <c r="L337" s="161"/>
      <c r="M337" s="161"/>
      <c r="N337" s="161"/>
      <c r="O337" s="161"/>
      <c r="P337" s="161"/>
      <c r="Q337" s="161"/>
      <c r="R337" s="161"/>
      <c r="S337" s="161"/>
      <c r="T337" s="161"/>
      <c r="U337" s="162"/>
      <c r="V337" s="162"/>
      <c r="W337" s="161"/>
      <c r="X337" s="161"/>
      <c r="Y337" s="161"/>
      <c r="Z337" s="162"/>
      <c r="AA337" s="162"/>
      <c r="AB337" s="161"/>
      <c r="AC337" s="161"/>
      <c r="AD337" s="161"/>
      <c r="AE337" s="161"/>
      <c r="AF337" s="161"/>
      <c r="AG337" s="161"/>
      <c r="AH337" s="161"/>
      <c r="AI337" s="161"/>
      <c r="AJ337" s="161"/>
      <c r="AK337" s="161"/>
      <c r="AL337" s="161"/>
      <c r="AM337" s="163"/>
      <c r="AN337" s="163"/>
      <c r="AO337" s="68"/>
      <c r="AP337" s="164"/>
    </row>
    <row r="338" ht="15.75" customHeight="1">
      <c r="A338" s="161"/>
      <c r="B338" s="161"/>
      <c r="C338" s="161"/>
      <c r="D338" s="161"/>
      <c r="E338" s="161"/>
      <c r="F338" s="161"/>
      <c r="G338" s="161"/>
      <c r="H338" s="161"/>
      <c r="I338" s="161"/>
      <c r="J338" s="161"/>
      <c r="K338" s="161"/>
      <c r="L338" s="161"/>
      <c r="M338" s="161"/>
      <c r="N338" s="161"/>
      <c r="O338" s="161"/>
      <c r="P338" s="161"/>
      <c r="Q338" s="161"/>
      <c r="R338" s="161"/>
      <c r="S338" s="161"/>
      <c r="T338" s="161"/>
      <c r="U338" s="162"/>
      <c r="V338" s="162"/>
      <c r="W338" s="161"/>
      <c r="X338" s="161"/>
      <c r="Y338" s="161"/>
      <c r="Z338" s="162"/>
      <c r="AA338" s="162"/>
      <c r="AB338" s="161"/>
      <c r="AC338" s="161"/>
      <c r="AD338" s="161"/>
      <c r="AE338" s="161"/>
      <c r="AF338" s="161"/>
      <c r="AG338" s="161"/>
      <c r="AH338" s="161"/>
      <c r="AI338" s="161"/>
      <c r="AJ338" s="161"/>
      <c r="AK338" s="161"/>
      <c r="AL338" s="161"/>
      <c r="AM338" s="163"/>
      <c r="AN338" s="163"/>
      <c r="AO338" s="68"/>
      <c r="AP338" s="164"/>
    </row>
    <row r="339" ht="15.75" customHeight="1">
      <c r="A339" s="161"/>
      <c r="B339" s="161"/>
      <c r="C339" s="161"/>
      <c r="D339" s="161"/>
      <c r="E339" s="161"/>
      <c r="F339" s="161"/>
      <c r="G339" s="161"/>
      <c r="H339" s="161"/>
      <c r="I339" s="161"/>
      <c r="J339" s="161"/>
      <c r="K339" s="161"/>
      <c r="L339" s="161"/>
      <c r="M339" s="161"/>
      <c r="N339" s="161"/>
      <c r="O339" s="161"/>
      <c r="P339" s="161"/>
      <c r="Q339" s="161"/>
      <c r="R339" s="161"/>
      <c r="S339" s="161"/>
      <c r="T339" s="161"/>
      <c r="U339" s="162"/>
      <c r="V339" s="162"/>
      <c r="W339" s="161"/>
      <c r="X339" s="161"/>
      <c r="Y339" s="161"/>
      <c r="Z339" s="162"/>
      <c r="AA339" s="162"/>
      <c r="AB339" s="161"/>
      <c r="AC339" s="161"/>
      <c r="AD339" s="161"/>
      <c r="AE339" s="161"/>
      <c r="AF339" s="161"/>
      <c r="AG339" s="161"/>
      <c r="AH339" s="161"/>
      <c r="AI339" s="161"/>
      <c r="AJ339" s="161"/>
      <c r="AK339" s="161"/>
      <c r="AL339" s="161"/>
      <c r="AM339" s="163"/>
      <c r="AN339" s="163"/>
      <c r="AO339" s="68"/>
      <c r="AP339" s="164"/>
    </row>
    <row r="340" ht="15.75" customHeight="1">
      <c r="A340" s="161"/>
      <c r="B340" s="161"/>
      <c r="C340" s="161"/>
      <c r="D340" s="161"/>
      <c r="E340" s="161"/>
      <c r="F340" s="161"/>
      <c r="G340" s="161"/>
      <c r="H340" s="161"/>
      <c r="I340" s="161"/>
      <c r="J340" s="161"/>
      <c r="K340" s="161"/>
      <c r="L340" s="161"/>
      <c r="M340" s="161"/>
      <c r="N340" s="161"/>
      <c r="O340" s="161"/>
      <c r="P340" s="161"/>
      <c r="Q340" s="161"/>
      <c r="R340" s="161"/>
      <c r="S340" s="161"/>
      <c r="T340" s="161"/>
      <c r="U340" s="162"/>
      <c r="V340" s="162"/>
      <c r="W340" s="161"/>
      <c r="X340" s="161"/>
      <c r="Y340" s="161"/>
      <c r="Z340" s="162"/>
      <c r="AA340" s="162"/>
      <c r="AB340" s="161"/>
      <c r="AC340" s="161"/>
      <c r="AD340" s="161"/>
      <c r="AE340" s="161"/>
      <c r="AF340" s="161"/>
      <c r="AG340" s="161"/>
      <c r="AH340" s="161"/>
      <c r="AI340" s="161"/>
      <c r="AJ340" s="161"/>
      <c r="AK340" s="161"/>
      <c r="AL340" s="161"/>
      <c r="AM340" s="163"/>
      <c r="AN340" s="163"/>
      <c r="AO340" s="68"/>
      <c r="AP340" s="164"/>
    </row>
    <row r="341" ht="15.75" customHeight="1">
      <c r="A341" s="161"/>
      <c r="B341" s="161"/>
      <c r="C341" s="161"/>
      <c r="D341" s="161"/>
      <c r="E341" s="161"/>
      <c r="F341" s="161"/>
      <c r="G341" s="161"/>
      <c r="H341" s="161"/>
      <c r="I341" s="161"/>
      <c r="J341" s="161"/>
      <c r="K341" s="161"/>
      <c r="L341" s="161"/>
      <c r="M341" s="161"/>
      <c r="N341" s="161"/>
      <c r="O341" s="161"/>
      <c r="P341" s="161"/>
      <c r="Q341" s="161"/>
      <c r="R341" s="161"/>
      <c r="S341" s="161"/>
      <c r="T341" s="161"/>
      <c r="U341" s="162"/>
      <c r="V341" s="162"/>
      <c r="W341" s="161"/>
      <c r="X341" s="161"/>
      <c r="Y341" s="161"/>
      <c r="Z341" s="162"/>
      <c r="AA341" s="162"/>
      <c r="AB341" s="161"/>
      <c r="AC341" s="161"/>
      <c r="AD341" s="161"/>
      <c r="AE341" s="161"/>
      <c r="AF341" s="161"/>
      <c r="AG341" s="161"/>
      <c r="AH341" s="161"/>
      <c r="AI341" s="161"/>
      <c r="AJ341" s="161"/>
      <c r="AK341" s="161"/>
      <c r="AL341" s="161"/>
      <c r="AM341" s="163"/>
      <c r="AN341" s="163"/>
      <c r="AO341" s="68"/>
      <c r="AP341" s="164"/>
    </row>
    <row r="342" ht="15.75" customHeight="1">
      <c r="A342" s="161"/>
      <c r="B342" s="161"/>
      <c r="C342" s="161"/>
      <c r="D342" s="161"/>
      <c r="E342" s="161"/>
      <c r="F342" s="161"/>
      <c r="G342" s="161"/>
      <c r="H342" s="161"/>
      <c r="I342" s="161"/>
      <c r="J342" s="161"/>
      <c r="K342" s="161"/>
      <c r="L342" s="161"/>
      <c r="M342" s="161"/>
      <c r="N342" s="161"/>
      <c r="O342" s="161"/>
      <c r="P342" s="161"/>
      <c r="Q342" s="161"/>
      <c r="R342" s="161"/>
      <c r="S342" s="161"/>
      <c r="T342" s="161"/>
      <c r="U342" s="162"/>
      <c r="V342" s="162"/>
      <c r="W342" s="161"/>
      <c r="X342" s="161"/>
      <c r="Y342" s="161"/>
      <c r="Z342" s="162"/>
      <c r="AA342" s="162"/>
      <c r="AB342" s="161"/>
      <c r="AC342" s="161"/>
      <c r="AD342" s="161"/>
      <c r="AE342" s="161"/>
      <c r="AF342" s="161"/>
      <c r="AG342" s="161"/>
      <c r="AH342" s="161"/>
      <c r="AI342" s="161"/>
      <c r="AJ342" s="161"/>
      <c r="AK342" s="161"/>
      <c r="AL342" s="161"/>
      <c r="AM342" s="163"/>
      <c r="AN342" s="163"/>
      <c r="AO342" s="68"/>
      <c r="AP342" s="164"/>
    </row>
    <row r="343" ht="15.75" customHeight="1">
      <c r="A343" s="161"/>
      <c r="B343" s="161"/>
      <c r="C343" s="161"/>
      <c r="D343" s="161"/>
      <c r="E343" s="161"/>
      <c r="F343" s="161"/>
      <c r="G343" s="161"/>
      <c r="H343" s="161"/>
      <c r="I343" s="161"/>
      <c r="J343" s="161"/>
      <c r="K343" s="161"/>
      <c r="L343" s="161"/>
      <c r="M343" s="161"/>
      <c r="N343" s="161"/>
      <c r="O343" s="161"/>
      <c r="P343" s="161"/>
      <c r="Q343" s="161"/>
      <c r="R343" s="161"/>
      <c r="S343" s="161"/>
      <c r="T343" s="161"/>
      <c r="U343" s="162"/>
      <c r="V343" s="162"/>
      <c r="W343" s="161"/>
      <c r="X343" s="161"/>
      <c r="Y343" s="161"/>
      <c r="Z343" s="162"/>
      <c r="AA343" s="162"/>
      <c r="AB343" s="161"/>
      <c r="AC343" s="161"/>
      <c r="AD343" s="161"/>
      <c r="AE343" s="161"/>
      <c r="AF343" s="161"/>
      <c r="AG343" s="161"/>
      <c r="AH343" s="161"/>
      <c r="AI343" s="161"/>
      <c r="AJ343" s="161"/>
      <c r="AK343" s="161"/>
      <c r="AL343" s="161"/>
      <c r="AM343" s="163"/>
      <c r="AN343" s="163"/>
      <c r="AO343" s="68"/>
      <c r="AP343" s="164"/>
    </row>
    <row r="344" ht="15.75" customHeight="1">
      <c r="A344" s="161"/>
      <c r="B344" s="161"/>
      <c r="C344" s="161"/>
      <c r="D344" s="161"/>
      <c r="E344" s="161"/>
      <c r="F344" s="161"/>
      <c r="G344" s="161"/>
      <c r="H344" s="161"/>
      <c r="I344" s="161"/>
      <c r="J344" s="161"/>
      <c r="K344" s="161"/>
      <c r="L344" s="161"/>
      <c r="M344" s="161"/>
      <c r="N344" s="161"/>
      <c r="O344" s="161"/>
      <c r="P344" s="161"/>
      <c r="Q344" s="161"/>
      <c r="R344" s="161"/>
      <c r="S344" s="161"/>
      <c r="T344" s="161"/>
      <c r="U344" s="162"/>
      <c r="V344" s="162"/>
      <c r="W344" s="161"/>
      <c r="X344" s="161"/>
      <c r="Y344" s="161"/>
      <c r="Z344" s="162"/>
      <c r="AA344" s="162"/>
      <c r="AB344" s="161"/>
      <c r="AC344" s="161"/>
      <c r="AD344" s="161"/>
      <c r="AE344" s="161"/>
      <c r="AF344" s="161"/>
      <c r="AG344" s="161"/>
      <c r="AH344" s="161"/>
      <c r="AI344" s="161"/>
      <c r="AJ344" s="161"/>
      <c r="AK344" s="161"/>
      <c r="AL344" s="161"/>
      <c r="AM344" s="163"/>
      <c r="AN344" s="163"/>
      <c r="AO344" s="68"/>
      <c r="AP344" s="164"/>
    </row>
    <row r="345" ht="15.75" customHeight="1">
      <c r="A345" s="161"/>
      <c r="B345" s="161"/>
      <c r="C345" s="161"/>
      <c r="D345" s="161"/>
      <c r="E345" s="161"/>
      <c r="F345" s="161"/>
      <c r="G345" s="161"/>
      <c r="H345" s="161"/>
      <c r="I345" s="161"/>
      <c r="J345" s="161"/>
      <c r="K345" s="161"/>
      <c r="L345" s="161"/>
      <c r="M345" s="161"/>
      <c r="N345" s="161"/>
      <c r="O345" s="161"/>
      <c r="P345" s="161"/>
      <c r="Q345" s="161"/>
      <c r="R345" s="161"/>
      <c r="S345" s="161"/>
      <c r="T345" s="161"/>
      <c r="U345" s="162"/>
      <c r="V345" s="162"/>
      <c r="W345" s="161"/>
      <c r="X345" s="161"/>
      <c r="Y345" s="161"/>
      <c r="Z345" s="162"/>
      <c r="AA345" s="162"/>
      <c r="AB345" s="161"/>
      <c r="AC345" s="161"/>
      <c r="AD345" s="161"/>
      <c r="AE345" s="161"/>
      <c r="AF345" s="161"/>
      <c r="AG345" s="161"/>
      <c r="AH345" s="161"/>
      <c r="AI345" s="161"/>
      <c r="AJ345" s="161"/>
      <c r="AK345" s="161"/>
      <c r="AL345" s="161"/>
      <c r="AM345" s="163"/>
      <c r="AN345" s="163"/>
      <c r="AO345" s="68"/>
      <c r="AP345" s="164"/>
    </row>
    <row r="346" ht="15.75" customHeight="1">
      <c r="A346" s="161"/>
      <c r="B346" s="161"/>
      <c r="C346" s="161"/>
      <c r="D346" s="161"/>
      <c r="E346" s="161"/>
      <c r="F346" s="161"/>
      <c r="G346" s="161"/>
      <c r="H346" s="161"/>
      <c r="I346" s="161"/>
      <c r="J346" s="161"/>
      <c r="K346" s="161"/>
      <c r="L346" s="161"/>
      <c r="M346" s="161"/>
      <c r="N346" s="161"/>
      <c r="O346" s="161"/>
      <c r="P346" s="161"/>
      <c r="Q346" s="161"/>
      <c r="R346" s="161"/>
      <c r="S346" s="161"/>
      <c r="T346" s="161"/>
      <c r="U346" s="162"/>
      <c r="V346" s="162"/>
      <c r="W346" s="161"/>
      <c r="X346" s="161"/>
      <c r="Y346" s="161"/>
      <c r="Z346" s="162"/>
      <c r="AA346" s="162"/>
      <c r="AB346" s="161"/>
      <c r="AC346" s="161"/>
      <c r="AD346" s="161"/>
      <c r="AE346" s="161"/>
      <c r="AF346" s="161"/>
      <c r="AG346" s="161"/>
      <c r="AH346" s="161"/>
      <c r="AI346" s="161"/>
      <c r="AJ346" s="161"/>
      <c r="AK346" s="161"/>
      <c r="AL346" s="161"/>
      <c r="AM346" s="163"/>
      <c r="AN346" s="163"/>
      <c r="AO346" s="68"/>
      <c r="AP346" s="164"/>
    </row>
    <row r="347" ht="15.75" customHeight="1">
      <c r="A347" s="161"/>
      <c r="B347" s="161"/>
      <c r="C347" s="161"/>
      <c r="D347" s="161"/>
      <c r="E347" s="161"/>
      <c r="F347" s="161"/>
      <c r="G347" s="161"/>
      <c r="H347" s="161"/>
      <c r="I347" s="161"/>
      <c r="J347" s="161"/>
      <c r="K347" s="161"/>
      <c r="L347" s="161"/>
      <c r="M347" s="161"/>
      <c r="N347" s="161"/>
      <c r="O347" s="161"/>
      <c r="P347" s="161"/>
      <c r="Q347" s="161"/>
      <c r="R347" s="161"/>
      <c r="S347" s="161"/>
      <c r="T347" s="161"/>
      <c r="U347" s="162"/>
      <c r="V347" s="162"/>
      <c r="W347" s="161"/>
      <c r="X347" s="161"/>
      <c r="Y347" s="161"/>
      <c r="Z347" s="162"/>
      <c r="AA347" s="162"/>
      <c r="AB347" s="161"/>
      <c r="AC347" s="161"/>
      <c r="AD347" s="161"/>
      <c r="AE347" s="161"/>
      <c r="AF347" s="161"/>
      <c r="AG347" s="161"/>
      <c r="AH347" s="161"/>
      <c r="AI347" s="161"/>
      <c r="AJ347" s="161"/>
      <c r="AK347" s="161"/>
      <c r="AL347" s="161"/>
      <c r="AM347" s="163"/>
      <c r="AN347" s="163"/>
      <c r="AO347" s="68"/>
      <c r="AP347" s="164"/>
    </row>
    <row r="348" ht="15.75" customHeight="1">
      <c r="A348" s="161"/>
      <c r="B348" s="161"/>
      <c r="C348" s="161"/>
      <c r="D348" s="161"/>
      <c r="E348" s="161"/>
      <c r="F348" s="161"/>
      <c r="G348" s="161"/>
      <c r="H348" s="161"/>
      <c r="I348" s="161"/>
      <c r="J348" s="161"/>
      <c r="K348" s="161"/>
      <c r="L348" s="161"/>
      <c r="M348" s="161"/>
      <c r="N348" s="161"/>
      <c r="O348" s="161"/>
      <c r="P348" s="161"/>
      <c r="Q348" s="161"/>
      <c r="R348" s="161"/>
      <c r="S348" s="161"/>
      <c r="T348" s="161"/>
      <c r="U348" s="162"/>
      <c r="V348" s="162"/>
      <c r="W348" s="161"/>
      <c r="X348" s="161"/>
      <c r="Y348" s="161"/>
      <c r="Z348" s="162"/>
      <c r="AA348" s="162"/>
      <c r="AB348" s="161"/>
      <c r="AC348" s="161"/>
      <c r="AD348" s="161"/>
      <c r="AE348" s="161"/>
      <c r="AF348" s="161"/>
      <c r="AG348" s="161"/>
      <c r="AH348" s="161"/>
      <c r="AI348" s="161"/>
      <c r="AJ348" s="161"/>
      <c r="AK348" s="161"/>
      <c r="AL348" s="161"/>
      <c r="AM348" s="163"/>
      <c r="AN348" s="163"/>
      <c r="AO348" s="68"/>
      <c r="AP348" s="164"/>
    </row>
    <row r="349" ht="15.75" customHeight="1">
      <c r="A349" s="161"/>
      <c r="B349" s="161"/>
      <c r="C349" s="161"/>
      <c r="D349" s="161"/>
      <c r="E349" s="161"/>
      <c r="F349" s="161"/>
      <c r="G349" s="161"/>
      <c r="H349" s="161"/>
      <c r="I349" s="161"/>
      <c r="J349" s="161"/>
      <c r="K349" s="161"/>
      <c r="L349" s="161"/>
      <c r="M349" s="161"/>
      <c r="N349" s="161"/>
      <c r="O349" s="161"/>
      <c r="P349" s="161"/>
      <c r="Q349" s="161"/>
      <c r="R349" s="161"/>
      <c r="S349" s="161"/>
      <c r="T349" s="161"/>
      <c r="U349" s="162"/>
      <c r="V349" s="162"/>
      <c r="W349" s="161"/>
      <c r="X349" s="161"/>
      <c r="Y349" s="161"/>
      <c r="Z349" s="162"/>
      <c r="AA349" s="162"/>
      <c r="AB349" s="161"/>
      <c r="AC349" s="161"/>
      <c r="AD349" s="161"/>
      <c r="AE349" s="161"/>
      <c r="AF349" s="161"/>
      <c r="AG349" s="161"/>
      <c r="AH349" s="161"/>
      <c r="AI349" s="161"/>
      <c r="AJ349" s="161"/>
      <c r="AK349" s="161"/>
      <c r="AL349" s="161"/>
      <c r="AM349" s="163"/>
      <c r="AN349" s="163"/>
      <c r="AO349" s="68"/>
      <c r="AP349" s="164"/>
    </row>
    <row r="350" ht="15.75" customHeight="1">
      <c r="A350" s="161"/>
      <c r="B350" s="161"/>
      <c r="C350" s="161"/>
      <c r="D350" s="161"/>
      <c r="E350" s="161"/>
      <c r="F350" s="161"/>
      <c r="G350" s="161"/>
      <c r="H350" s="161"/>
      <c r="I350" s="161"/>
      <c r="J350" s="161"/>
      <c r="K350" s="161"/>
      <c r="L350" s="161"/>
      <c r="M350" s="161"/>
      <c r="N350" s="161"/>
      <c r="O350" s="161"/>
      <c r="P350" s="161"/>
      <c r="Q350" s="161"/>
      <c r="R350" s="161"/>
      <c r="S350" s="161"/>
      <c r="T350" s="161"/>
      <c r="U350" s="162"/>
      <c r="V350" s="162"/>
      <c r="W350" s="161"/>
      <c r="X350" s="161"/>
      <c r="Y350" s="161"/>
      <c r="Z350" s="162"/>
      <c r="AA350" s="162"/>
      <c r="AB350" s="161"/>
      <c r="AC350" s="161"/>
      <c r="AD350" s="161"/>
      <c r="AE350" s="161"/>
      <c r="AF350" s="161"/>
      <c r="AG350" s="161"/>
      <c r="AH350" s="161"/>
      <c r="AI350" s="161"/>
      <c r="AJ350" s="161"/>
      <c r="AK350" s="161"/>
      <c r="AL350" s="161"/>
      <c r="AM350" s="163"/>
      <c r="AN350" s="163"/>
      <c r="AO350" s="68"/>
      <c r="AP350" s="164"/>
    </row>
    <row r="351" ht="15.75" customHeight="1">
      <c r="A351" s="161"/>
      <c r="B351" s="161"/>
      <c r="C351" s="161"/>
      <c r="D351" s="161"/>
      <c r="E351" s="161"/>
      <c r="F351" s="161"/>
      <c r="G351" s="161"/>
      <c r="H351" s="161"/>
      <c r="I351" s="161"/>
      <c r="J351" s="161"/>
      <c r="K351" s="161"/>
      <c r="L351" s="161"/>
      <c r="M351" s="161"/>
      <c r="N351" s="161"/>
      <c r="O351" s="161"/>
      <c r="P351" s="161"/>
      <c r="Q351" s="161"/>
      <c r="R351" s="161"/>
      <c r="S351" s="161"/>
      <c r="T351" s="161"/>
      <c r="U351" s="162"/>
      <c r="V351" s="162"/>
      <c r="W351" s="161"/>
      <c r="X351" s="161"/>
      <c r="Y351" s="161"/>
      <c r="Z351" s="162"/>
      <c r="AA351" s="162"/>
      <c r="AB351" s="161"/>
      <c r="AC351" s="161"/>
      <c r="AD351" s="161"/>
      <c r="AE351" s="161"/>
      <c r="AF351" s="161"/>
      <c r="AG351" s="161"/>
      <c r="AH351" s="161"/>
      <c r="AI351" s="161"/>
      <c r="AJ351" s="161"/>
      <c r="AK351" s="161"/>
      <c r="AL351" s="161"/>
      <c r="AM351" s="163"/>
      <c r="AN351" s="163"/>
      <c r="AO351" s="68"/>
      <c r="AP351" s="164"/>
    </row>
    <row r="352" ht="15.75" customHeight="1">
      <c r="A352" s="161"/>
      <c r="B352" s="161"/>
      <c r="C352" s="161"/>
      <c r="D352" s="161"/>
      <c r="E352" s="161"/>
      <c r="F352" s="161"/>
      <c r="G352" s="161"/>
      <c r="H352" s="161"/>
      <c r="I352" s="161"/>
      <c r="J352" s="161"/>
      <c r="K352" s="161"/>
      <c r="L352" s="161"/>
      <c r="M352" s="161"/>
      <c r="N352" s="161"/>
      <c r="O352" s="161"/>
      <c r="P352" s="161"/>
      <c r="Q352" s="161"/>
      <c r="R352" s="161"/>
      <c r="S352" s="161"/>
      <c r="T352" s="161"/>
      <c r="U352" s="162"/>
      <c r="V352" s="162"/>
      <c r="W352" s="161"/>
      <c r="X352" s="161"/>
      <c r="Y352" s="161"/>
      <c r="Z352" s="162"/>
      <c r="AA352" s="162"/>
      <c r="AB352" s="161"/>
      <c r="AC352" s="161"/>
      <c r="AD352" s="161"/>
      <c r="AE352" s="161"/>
      <c r="AF352" s="161"/>
      <c r="AG352" s="161"/>
      <c r="AH352" s="161"/>
      <c r="AI352" s="161"/>
      <c r="AJ352" s="161"/>
      <c r="AK352" s="161"/>
      <c r="AL352" s="161"/>
      <c r="AM352" s="163"/>
      <c r="AN352" s="163"/>
      <c r="AO352" s="68"/>
      <c r="AP352" s="164"/>
    </row>
    <row r="353" ht="15.75" customHeight="1">
      <c r="A353" s="161"/>
      <c r="B353" s="161"/>
      <c r="C353" s="161"/>
      <c r="D353" s="161"/>
      <c r="E353" s="161"/>
      <c r="F353" s="161"/>
      <c r="G353" s="161"/>
      <c r="H353" s="161"/>
      <c r="I353" s="161"/>
      <c r="J353" s="161"/>
      <c r="K353" s="161"/>
      <c r="L353" s="161"/>
      <c r="M353" s="161"/>
      <c r="N353" s="161"/>
      <c r="O353" s="161"/>
      <c r="P353" s="161"/>
      <c r="Q353" s="161"/>
      <c r="R353" s="161"/>
      <c r="S353" s="161"/>
      <c r="T353" s="161"/>
      <c r="U353" s="162"/>
      <c r="V353" s="162"/>
      <c r="W353" s="161"/>
      <c r="X353" s="161"/>
      <c r="Y353" s="161"/>
      <c r="Z353" s="162"/>
      <c r="AA353" s="162"/>
      <c r="AB353" s="161"/>
      <c r="AC353" s="161"/>
      <c r="AD353" s="161"/>
      <c r="AE353" s="161"/>
      <c r="AF353" s="161"/>
      <c r="AG353" s="161"/>
      <c r="AH353" s="161"/>
      <c r="AI353" s="161"/>
      <c r="AJ353" s="161"/>
      <c r="AK353" s="161"/>
      <c r="AL353" s="161"/>
      <c r="AM353" s="163"/>
      <c r="AN353" s="163"/>
      <c r="AO353" s="68"/>
      <c r="AP353" s="164"/>
    </row>
    <row r="354" ht="15.75" customHeight="1">
      <c r="A354" s="161"/>
      <c r="B354" s="161"/>
      <c r="C354" s="161"/>
      <c r="D354" s="161"/>
      <c r="E354" s="161"/>
      <c r="F354" s="161"/>
      <c r="G354" s="161"/>
      <c r="H354" s="161"/>
      <c r="I354" s="161"/>
      <c r="J354" s="161"/>
      <c r="K354" s="161"/>
      <c r="L354" s="161"/>
      <c r="M354" s="161"/>
      <c r="N354" s="161"/>
      <c r="O354" s="161"/>
      <c r="P354" s="161"/>
      <c r="Q354" s="161"/>
      <c r="R354" s="161"/>
      <c r="S354" s="161"/>
      <c r="T354" s="161"/>
      <c r="U354" s="162"/>
      <c r="V354" s="162"/>
      <c r="W354" s="161"/>
      <c r="X354" s="161"/>
      <c r="Y354" s="161"/>
      <c r="Z354" s="162"/>
      <c r="AA354" s="162"/>
      <c r="AB354" s="161"/>
      <c r="AC354" s="161"/>
      <c r="AD354" s="161"/>
      <c r="AE354" s="161"/>
      <c r="AF354" s="161"/>
      <c r="AG354" s="161"/>
      <c r="AH354" s="161"/>
      <c r="AI354" s="161"/>
      <c r="AJ354" s="161"/>
      <c r="AK354" s="161"/>
      <c r="AL354" s="161"/>
      <c r="AM354" s="163"/>
      <c r="AN354" s="163"/>
      <c r="AO354" s="68"/>
      <c r="AP354" s="164"/>
    </row>
    <row r="355" ht="15.75" customHeight="1">
      <c r="A355" s="161"/>
      <c r="B355" s="161"/>
      <c r="C355" s="161"/>
      <c r="D355" s="161"/>
      <c r="E355" s="161"/>
      <c r="F355" s="161"/>
      <c r="G355" s="161"/>
      <c r="H355" s="161"/>
      <c r="I355" s="161"/>
      <c r="J355" s="161"/>
      <c r="K355" s="161"/>
      <c r="L355" s="161"/>
      <c r="M355" s="161"/>
      <c r="N355" s="161"/>
      <c r="O355" s="161"/>
      <c r="P355" s="161"/>
      <c r="Q355" s="161"/>
      <c r="R355" s="161"/>
      <c r="S355" s="161"/>
      <c r="T355" s="161"/>
      <c r="U355" s="162"/>
      <c r="V355" s="162"/>
      <c r="W355" s="161"/>
      <c r="X355" s="161"/>
      <c r="Y355" s="161"/>
      <c r="Z355" s="162"/>
      <c r="AA355" s="162"/>
      <c r="AB355" s="161"/>
      <c r="AC355" s="161"/>
      <c r="AD355" s="161"/>
      <c r="AE355" s="161"/>
      <c r="AF355" s="161"/>
      <c r="AG355" s="161"/>
      <c r="AH355" s="161"/>
      <c r="AI355" s="161"/>
      <c r="AJ355" s="161"/>
      <c r="AK355" s="161"/>
      <c r="AL355" s="161"/>
      <c r="AM355" s="163"/>
      <c r="AN355" s="163"/>
      <c r="AO355" s="68"/>
      <c r="AP355" s="164"/>
    </row>
    <row r="356" ht="15.75" customHeight="1">
      <c r="A356" s="161"/>
      <c r="B356" s="161"/>
      <c r="C356" s="161"/>
      <c r="D356" s="161"/>
      <c r="E356" s="161"/>
      <c r="F356" s="161"/>
      <c r="G356" s="161"/>
      <c r="H356" s="161"/>
      <c r="I356" s="161"/>
      <c r="J356" s="161"/>
      <c r="K356" s="161"/>
      <c r="L356" s="161"/>
      <c r="M356" s="161"/>
      <c r="N356" s="161"/>
      <c r="O356" s="161"/>
      <c r="P356" s="161"/>
      <c r="Q356" s="161"/>
      <c r="R356" s="161"/>
      <c r="S356" s="161"/>
      <c r="T356" s="161"/>
      <c r="U356" s="162"/>
      <c r="V356" s="162"/>
      <c r="W356" s="161"/>
      <c r="X356" s="161"/>
      <c r="Y356" s="161"/>
      <c r="Z356" s="162"/>
      <c r="AA356" s="162"/>
      <c r="AB356" s="161"/>
      <c r="AC356" s="161"/>
      <c r="AD356" s="161"/>
      <c r="AE356" s="161"/>
      <c r="AF356" s="161"/>
      <c r="AG356" s="161"/>
      <c r="AH356" s="161"/>
      <c r="AI356" s="161"/>
      <c r="AJ356" s="161"/>
      <c r="AK356" s="161"/>
      <c r="AL356" s="161"/>
      <c r="AM356" s="163"/>
      <c r="AN356" s="163"/>
      <c r="AO356" s="68"/>
      <c r="AP356" s="164"/>
    </row>
    <row r="357" ht="15.75" customHeight="1">
      <c r="A357" s="161"/>
      <c r="B357" s="161"/>
      <c r="C357" s="161"/>
      <c r="D357" s="161"/>
      <c r="E357" s="161"/>
      <c r="F357" s="161"/>
      <c r="G357" s="161"/>
      <c r="H357" s="161"/>
      <c r="I357" s="161"/>
      <c r="J357" s="161"/>
      <c r="K357" s="161"/>
      <c r="L357" s="161"/>
      <c r="M357" s="161"/>
      <c r="N357" s="161"/>
      <c r="O357" s="161"/>
      <c r="P357" s="161"/>
      <c r="Q357" s="161"/>
      <c r="R357" s="161"/>
      <c r="S357" s="161"/>
      <c r="T357" s="161"/>
      <c r="U357" s="162"/>
      <c r="V357" s="162"/>
      <c r="W357" s="161"/>
      <c r="X357" s="161"/>
      <c r="Y357" s="161"/>
      <c r="Z357" s="162"/>
      <c r="AA357" s="162"/>
      <c r="AB357" s="161"/>
      <c r="AC357" s="161"/>
      <c r="AD357" s="161"/>
      <c r="AE357" s="161"/>
      <c r="AF357" s="161"/>
      <c r="AG357" s="161"/>
      <c r="AH357" s="161"/>
      <c r="AI357" s="161"/>
      <c r="AJ357" s="161"/>
      <c r="AK357" s="161"/>
      <c r="AL357" s="161"/>
      <c r="AM357" s="163"/>
      <c r="AN357" s="163"/>
      <c r="AO357" s="68"/>
      <c r="AP357" s="164"/>
    </row>
    <row r="358" ht="15.75" customHeight="1">
      <c r="A358" s="161"/>
      <c r="B358" s="161"/>
      <c r="C358" s="161"/>
      <c r="D358" s="161"/>
      <c r="E358" s="161"/>
      <c r="F358" s="161"/>
      <c r="G358" s="161"/>
      <c r="H358" s="161"/>
      <c r="I358" s="161"/>
      <c r="J358" s="161"/>
      <c r="K358" s="161"/>
      <c r="L358" s="161"/>
      <c r="M358" s="161"/>
      <c r="N358" s="161"/>
      <c r="O358" s="161"/>
      <c r="P358" s="161"/>
      <c r="Q358" s="161"/>
      <c r="R358" s="161"/>
      <c r="S358" s="161"/>
      <c r="T358" s="161"/>
      <c r="U358" s="162"/>
      <c r="V358" s="162"/>
      <c r="W358" s="161"/>
      <c r="X358" s="161"/>
      <c r="Y358" s="161"/>
      <c r="Z358" s="162"/>
      <c r="AA358" s="162"/>
      <c r="AB358" s="161"/>
      <c r="AC358" s="161"/>
      <c r="AD358" s="161"/>
      <c r="AE358" s="161"/>
      <c r="AF358" s="161"/>
      <c r="AG358" s="161"/>
      <c r="AH358" s="161"/>
      <c r="AI358" s="161"/>
      <c r="AJ358" s="161"/>
      <c r="AK358" s="161"/>
      <c r="AL358" s="161"/>
      <c r="AM358" s="163"/>
      <c r="AN358" s="163"/>
      <c r="AO358" s="68"/>
      <c r="AP358" s="164"/>
    </row>
    <row r="359" ht="15.75" customHeight="1">
      <c r="A359" s="161"/>
      <c r="B359" s="161"/>
      <c r="C359" s="161"/>
      <c r="D359" s="161"/>
      <c r="E359" s="161"/>
      <c r="F359" s="161"/>
      <c r="G359" s="161"/>
      <c r="H359" s="161"/>
      <c r="I359" s="161"/>
      <c r="J359" s="161"/>
      <c r="K359" s="161"/>
      <c r="L359" s="161"/>
      <c r="M359" s="161"/>
      <c r="N359" s="161"/>
      <c r="O359" s="161"/>
      <c r="P359" s="161"/>
      <c r="Q359" s="161"/>
      <c r="R359" s="161"/>
      <c r="S359" s="161"/>
      <c r="T359" s="161"/>
      <c r="U359" s="162"/>
      <c r="V359" s="162"/>
      <c r="W359" s="161"/>
      <c r="X359" s="161"/>
      <c r="Y359" s="161"/>
      <c r="Z359" s="162"/>
      <c r="AA359" s="162"/>
      <c r="AB359" s="161"/>
      <c r="AC359" s="161"/>
      <c r="AD359" s="161"/>
      <c r="AE359" s="161"/>
      <c r="AF359" s="161"/>
      <c r="AG359" s="161"/>
      <c r="AH359" s="161"/>
      <c r="AI359" s="161"/>
      <c r="AJ359" s="161"/>
      <c r="AK359" s="161"/>
      <c r="AL359" s="161"/>
      <c r="AM359" s="163"/>
      <c r="AN359" s="163"/>
      <c r="AO359" s="68"/>
      <c r="AP359" s="164"/>
    </row>
    <row r="360" ht="15.75" customHeight="1">
      <c r="A360" s="161"/>
      <c r="B360" s="161"/>
      <c r="C360" s="161"/>
      <c r="D360" s="161"/>
      <c r="E360" s="161"/>
      <c r="F360" s="161"/>
      <c r="G360" s="161"/>
      <c r="H360" s="161"/>
      <c r="I360" s="161"/>
      <c r="J360" s="161"/>
      <c r="K360" s="161"/>
      <c r="L360" s="161"/>
      <c r="M360" s="161"/>
      <c r="N360" s="161"/>
      <c r="O360" s="161"/>
      <c r="P360" s="161"/>
      <c r="Q360" s="161"/>
      <c r="R360" s="161"/>
      <c r="S360" s="161"/>
      <c r="T360" s="161"/>
      <c r="U360" s="162"/>
      <c r="V360" s="162"/>
      <c r="W360" s="161"/>
      <c r="X360" s="161"/>
      <c r="Y360" s="161"/>
      <c r="Z360" s="162"/>
      <c r="AA360" s="162"/>
      <c r="AB360" s="161"/>
      <c r="AC360" s="161"/>
      <c r="AD360" s="161"/>
      <c r="AE360" s="161"/>
      <c r="AF360" s="161"/>
      <c r="AG360" s="161"/>
      <c r="AH360" s="161"/>
      <c r="AI360" s="161"/>
      <c r="AJ360" s="161"/>
      <c r="AK360" s="161"/>
      <c r="AL360" s="161"/>
      <c r="AM360" s="163"/>
      <c r="AN360" s="163"/>
      <c r="AO360" s="68"/>
      <c r="AP360" s="164"/>
    </row>
    <row r="361" ht="15.75" customHeight="1">
      <c r="A361" s="161"/>
      <c r="B361" s="161"/>
      <c r="C361" s="161"/>
      <c r="D361" s="161"/>
      <c r="E361" s="161"/>
      <c r="F361" s="161"/>
      <c r="G361" s="161"/>
      <c r="H361" s="161"/>
      <c r="I361" s="161"/>
      <c r="J361" s="161"/>
      <c r="K361" s="161"/>
      <c r="L361" s="161"/>
      <c r="M361" s="161"/>
      <c r="N361" s="161"/>
      <c r="O361" s="161"/>
      <c r="P361" s="161"/>
      <c r="Q361" s="161"/>
      <c r="R361" s="161"/>
      <c r="S361" s="161"/>
      <c r="T361" s="161"/>
      <c r="U361" s="162"/>
      <c r="V361" s="162"/>
      <c r="W361" s="161"/>
      <c r="X361" s="161"/>
      <c r="Y361" s="161"/>
      <c r="Z361" s="162"/>
      <c r="AA361" s="162"/>
      <c r="AB361" s="161"/>
      <c r="AC361" s="161"/>
      <c r="AD361" s="161"/>
      <c r="AE361" s="161"/>
      <c r="AF361" s="161"/>
      <c r="AG361" s="161"/>
      <c r="AH361" s="161"/>
      <c r="AI361" s="161"/>
      <c r="AJ361" s="161"/>
      <c r="AK361" s="161"/>
      <c r="AL361" s="161"/>
      <c r="AM361" s="163"/>
      <c r="AN361" s="163"/>
      <c r="AO361" s="68"/>
      <c r="AP361" s="164"/>
    </row>
    <row r="362" ht="15.75" customHeight="1">
      <c r="A362" s="161"/>
      <c r="B362" s="161"/>
      <c r="C362" s="161"/>
      <c r="D362" s="161"/>
      <c r="E362" s="161"/>
      <c r="F362" s="161"/>
      <c r="G362" s="161"/>
      <c r="H362" s="161"/>
      <c r="I362" s="161"/>
      <c r="J362" s="161"/>
      <c r="K362" s="161"/>
      <c r="L362" s="161"/>
      <c r="M362" s="161"/>
      <c r="N362" s="161"/>
      <c r="O362" s="161"/>
      <c r="P362" s="161"/>
      <c r="Q362" s="161"/>
      <c r="R362" s="161"/>
      <c r="S362" s="161"/>
      <c r="T362" s="161"/>
      <c r="U362" s="162"/>
      <c r="V362" s="162"/>
      <c r="W362" s="161"/>
      <c r="X362" s="161"/>
      <c r="Y362" s="161"/>
      <c r="Z362" s="162"/>
      <c r="AA362" s="162"/>
      <c r="AB362" s="161"/>
      <c r="AC362" s="161"/>
      <c r="AD362" s="161"/>
      <c r="AE362" s="161"/>
      <c r="AF362" s="161"/>
      <c r="AG362" s="161"/>
      <c r="AH362" s="161"/>
      <c r="AI362" s="161"/>
      <c r="AJ362" s="161"/>
      <c r="AK362" s="161"/>
      <c r="AL362" s="161"/>
      <c r="AM362" s="163"/>
      <c r="AN362" s="163"/>
      <c r="AO362" s="68"/>
      <c r="AP362" s="164"/>
    </row>
    <row r="363" ht="15.75" customHeight="1">
      <c r="A363" s="161"/>
      <c r="B363" s="161"/>
      <c r="C363" s="161"/>
      <c r="D363" s="161"/>
      <c r="E363" s="161"/>
      <c r="F363" s="161"/>
      <c r="G363" s="161"/>
      <c r="H363" s="161"/>
      <c r="I363" s="161"/>
      <c r="J363" s="161"/>
      <c r="K363" s="161"/>
      <c r="L363" s="161"/>
      <c r="M363" s="161"/>
      <c r="N363" s="161"/>
      <c r="O363" s="161"/>
      <c r="P363" s="161"/>
      <c r="Q363" s="161"/>
      <c r="R363" s="161"/>
      <c r="S363" s="161"/>
      <c r="T363" s="161"/>
      <c r="U363" s="162"/>
      <c r="V363" s="162"/>
      <c r="W363" s="161"/>
      <c r="X363" s="161"/>
      <c r="Y363" s="161"/>
      <c r="Z363" s="162"/>
      <c r="AA363" s="162"/>
      <c r="AB363" s="161"/>
      <c r="AC363" s="161"/>
      <c r="AD363" s="161"/>
      <c r="AE363" s="161"/>
      <c r="AF363" s="161"/>
      <c r="AG363" s="161"/>
      <c r="AH363" s="161"/>
      <c r="AI363" s="161"/>
      <c r="AJ363" s="161"/>
      <c r="AK363" s="161"/>
      <c r="AL363" s="161"/>
      <c r="AM363" s="163"/>
      <c r="AN363" s="163"/>
      <c r="AO363" s="68"/>
      <c r="AP363" s="164"/>
    </row>
    <row r="364" ht="15.75" customHeight="1">
      <c r="A364" s="161"/>
      <c r="B364" s="161"/>
      <c r="C364" s="161"/>
      <c r="D364" s="161"/>
      <c r="E364" s="161"/>
      <c r="F364" s="161"/>
      <c r="G364" s="161"/>
      <c r="H364" s="161"/>
      <c r="I364" s="161"/>
      <c r="J364" s="161"/>
      <c r="K364" s="161"/>
      <c r="L364" s="161"/>
      <c r="M364" s="161"/>
      <c r="N364" s="161"/>
      <c r="O364" s="161"/>
      <c r="P364" s="161"/>
      <c r="Q364" s="161"/>
      <c r="R364" s="161"/>
      <c r="S364" s="161"/>
      <c r="T364" s="161"/>
      <c r="U364" s="162"/>
      <c r="V364" s="162"/>
      <c r="W364" s="161"/>
      <c r="X364" s="161"/>
      <c r="Y364" s="161"/>
      <c r="Z364" s="162"/>
      <c r="AA364" s="162"/>
      <c r="AB364" s="161"/>
      <c r="AC364" s="161"/>
      <c r="AD364" s="161"/>
      <c r="AE364" s="161"/>
      <c r="AF364" s="161"/>
      <c r="AG364" s="161"/>
      <c r="AH364" s="161"/>
      <c r="AI364" s="161"/>
      <c r="AJ364" s="161"/>
      <c r="AK364" s="161"/>
      <c r="AL364" s="161"/>
      <c r="AM364" s="163"/>
      <c r="AN364" s="163"/>
      <c r="AO364" s="68"/>
      <c r="AP364" s="164"/>
    </row>
    <row r="365" ht="15.75" customHeight="1">
      <c r="A365" s="161"/>
      <c r="B365" s="161"/>
      <c r="C365" s="161"/>
      <c r="D365" s="161"/>
      <c r="E365" s="161"/>
      <c r="F365" s="161"/>
      <c r="G365" s="161"/>
      <c r="H365" s="161"/>
      <c r="I365" s="161"/>
      <c r="J365" s="161"/>
      <c r="K365" s="161"/>
      <c r="L365" s="161"/>
      <c r="M365" s="161"/>
      <c r="N365" s="161"/>
      <c r="O365" s="161"/>
      <c r="P365" s="161"/>
      <c r="Q365" s="161"/>
      <c r="R365" s="161"/>
      <c r="S365" s="161"/>
      <c r="T365" s="161"/>
      <c r="U365" s="162"/>
      <c r="V365" s="162"/>
      <c r="W365" s="161"/>
      <c r="X365" s="161"/>
      <c r="Y365" s="161"/>
      <c r="Z365" s="162"/>
      <c r="AA365" s="162"/>
      <c r="AB365" s="161"/>
      <c r="AC365" s="161"/>
      <c r="AD365" s="161"/>
      <c r="AE365" s="161"/>
      <c r="AF365" s="161"/>
      <c r="AG365" s="161"/>
      <c r="AH365" s="161"/>
      <c r="AI365" s="161"/>
      <c r="AJ365" s="161"/>
      <c r="AK365" s="161"/>
      <c r="AL365" s="161"/>
      <c r="AM365" s="163"/>
      <c r="AN365" s="163"/>
      <c r="AO365" s="68"/>
      <c r="AP365" s="164"/>
    </row>
    <row r="366" ht="15.75" customHeight="1">
      <c r="A366" s="161"/>
      <c r="B366" s="161"/>
      <c r="C366" s="161"/>
      <c r="D366" s="161"/>
      <c r="E366" s="161"/>
      <c r="F366" s="161"/>
      <c r="G366" s="161"/>
      <c r="H366" s="161"/>
      <c r="I366" s="161"/>
      <c r="J366" s="161"/>
      <c r="K366" s="161"/>
      <c r="L366" s="161"/>
      <c r="M366" s="161"/>
      <c r="N366" s="161"/>
      <c r="O366" s="161"/>
      <c r="P366" s="161"/>
      <c r="Q366" s="161"/>
      <c r="R366" s="161"/>
      <c r="S366" s="161"/>
      <c r="T366" s="161"/>
      <c r="U366" s="162"/>
      <c r="V366" s="162"/>
      <c r="W366" s="161"/>
      <c r="X366" s="161"/>
      <c r="Y366" s="161"/>
      <c r="Z366" s="162"/>
      <c r="AA366" s="162"/>
      <c r="AB366" s="161"/>
      <c r="AC366" s="161"/>
      <c r="AD366" s="161"/>
      <c r="AE366" s="161"/>
      <c r="AF366" s="161"/>
      <c r="AG366" s="161"/>
      <c r="AH366" s="161"/>
      <c r="AI366" s="161"/>
      <c r="AJ366" s="161"/>
      <c r="AK366" s="161"/>
      <c r="AL366" s="161"/>
      <c r="AM366" s="163"/>
      <c r="AN366" s="163"/>
      <c r="AO366" s="68"/>
      <c r="AP366" s="164"/>
    </row>
    <row r="367" ht="15.75" customHeight="1">
      <c r="A367" s="161"/>
      <c r="B367" s="161"/>
      <c r="C367" s="161"/>
      <c r="D367" s="161"/>
      <c r="E367" s="161"/>
      <c r="F367" s="161"/>
      <c r="G367" s="161"/>
      <c r="H367" s="161"/>
      <c r="I367" s="161"/>
      <c r="J367" s="161"/>
      <c r="K367" s="161"/>
      <c r="L367" s="161"/>
      <c r="M367" s="161"/>
      <c r="N367" s="161"/>
      <c r="O367" s="161"/>
      <c r="P367" s="161"/>
      <c r="Q367" s="161"/>
      <c r="R367" s="161"/>
      <c r="S367" s="161"/>
      <c r="T367" s="161"/>
      <c r="U367" s="162"/>
      <c r="V367" s="162"/>
      <c r="W367" s="161"/>
      <c r="X367" s="161"/>
      <c r="Y367" s="161"/>
      <c r="Z367" s="162"/>
      <c r="AA367" s="162"/>
      <c r="AB367" s="161"/>
      <c r="AC367" s="161"/>
      <c r="AD367" s="161"/>
      <c r="AE367" s="161"/>
      <c r="AF367" s="161"/>
      <c r="AG367" s="161"/>
      <c r="AH367" s="161"/>
      <c r="AI367" s="161"/>
      <c r="AJ367" s="161"/>
      <c r="AK367" s="161"/>
      <c r="AL367" s="161"/>
      <c r="AM367" s="163"/>
      <c r="AN367" s="163"/>
      <c r="AO367" s="68"/>
      <c r="AP367" s="164"/>
    </row>
    <row r="368" ht="15.75" customHeight="1">
      <c r="A368" s="161"/>
      <c r="B368" s="161"/>
      <c r="C368" s="161"/>
      <c r="D368" s="161"/>
      <c r="E368" s="161"/>
      <c r="F368" s="161"/>
      <c r="G368" s="161"/>
      <c r="H368" s="161"/>
      <c r="I368" s="161"/>
      <c r="J368" s="161"/>
      <c r="K368" s="161"/>
      <c r="L368" s="161"/>
      <c r="M368" s="161"/>
      <c r="N368" s="161"/>
      <c r="O368" s="161"/>
      <c r="P368" s="161"/>
      <c r="Q368" s="161"/>
      <c r="R368" s="161"/>
      <c r="S368" s="161"/>
      <c r="T368" s="161"/>
      <c r="U368" s="162"/>
      <c r="V368" s="162"/>
      <c r="W368" s="161"/>
      <c r="X368" s="161"/>
      <c r="Y368" s="161"/>
      <c r="Z368" s="162"/>
      <c r="AA368" s="162"/>
      <c r="AB368" s="161"/>
      <c r="AC368" s="161"/>
      <c r="AD368" s="161"/>
      <c r="AE368" s="161"/>
      <c r="AF368" s="161"/>
      <c r="AG368" s="161"/>
      <c r="AH368" s="161"/>
      <c r="AI368" s="161"/>
      <c r="AJ368" s="161"/>
      <c r="AK368" s="161"/>
      <c r="AL368" s="161"/>
      <c r="AM368" s="163"/>
      <c r="AN368" s="163"/>
      <c r="AO368" s="68"/>
      <c r="AP368" s="164"/>
    </row>
    <row r="369" ht="15.75" customHeight="1">
      <c r="A369" s="161"/>
      <c r="B369" s="161"/>
      <c r="C369" s="161"/>
      <c r="D369" s="161"/>
      <c r="E369" s="161"/>
      <c r="F369" s="161"/>
      <c r="G369" s="161"/>
      <c r="H369" s="161"/>
      <c r="I369" s="161"/>
      <c r="J369" s="161"/>
      <c r="K369" s="161"/>
      <c r="L369" s="161"/>
      <c r="M369" s="161"/>
      <c r="N369" s="161"/>
      <c r="O369" s="161"/>
      <c r="P369" s="161"/>
      <c r="Q369" s="161"/>
      <c r="R369" s="161"/>
      <c r="S369" s="161"/>
      <c r="T369" s="161"/>
      <c r="U369" s="162"/>
      <c r="V369" s="162"/>
      <c r="W369" s="161"/>
      <c r="X369" s="161"/>
      <c r="Y369" s="161"/>
      <c r="Z369" s="162"/>
      <c r="AA369" s="162"/>
      <c r="AB369" s="161"/>
      <c r="AC369" s="161"/>
      <c r="AD369" s="161"/>
      <c r="AE369" s="161"/>
      <c r="AF369" s="161"/>
      <c r="AG369" s="161"/>
      <c r="AH369" s="161"/>
      <c r="AI369" s="161"/>
      <c r="AJ369" s="161"/>
      <c r="AK369" s="161"/>
      <c r="AL369" s="161"/>
      <c r="AM369" s="163"/>
      <c r="AN369" s="163"/>
      <c r="AO369" s="68"/>
      <c r="AP369" s="164"/>
    </row>
    <row r="370" ht="15.75" customHeight="1">
      <c r="A370" s="161"/>
      <c r="B370" s="161"/>
      <c r="C370" s="161"/>
      <c r="D370" s="161"/>
      <c r="E370" s="161"/>
      <c r="F370" s="161"/>
      <c r="G370" s="161"/>
      <c r="H370" s="161"/>
      <c r="I370" s="161"/>
      <c r="J370" s="161"/>
      <c r="K370" s="161"/>
      <c r="L370" s="161"/>
      <c r="M370" s="161"/>
      <c r="N370" s="161"/>
      <c r="O370" s="161"/>
      <c r="P370" s="161"/>
      <c r="Q370" s="161"/>
      <c r="R370" s="161"/>
      <c r="S370" s="161"/>
      <c r="T370" s="161"/>
      <c r="U370" s="162"/>
      <c r="V370" s="162"/>
      <c r="W370" s="161"/>
      <c r="X370" s="161"/>
      <c r="Y370" s="161"/>
      <c r="Z370" s="162"/>
      <c r="AA370" s="162"/>
      <c r="AB370" s="161"/>
      <c r="AC370" s="161"/>
      <c r="AD370" s="161"/>
      <c r="AE370" s="161"/>
      <c r="AF370" s="161"/>
      <c r="AG370" s="161"/>
      <c r="AH370" s="161"/>
      <c r="AI370" s="161"/>
      <c r="AJ370" s="161"/>
      <c r="AK370" s="161"/>
      <c r="AL370" s="161"/>
      <c r="AM370" s="163"/>
      <c r="AN370" s="163"/>
      <c r="AO370" s="68"/>
      <c r="AP370" s="164"/>
    </row>
    <row r="371" ht="15.75" customHeight="1">
      <c r="A371" s="161"/>
      <c r="B371" s="161"/>
      <c r="C371" s="161"/>
      <c r="D371" s="161"/>
      <c r="E371" s="161"/>
      <c r="F371" s="161"/>
      <c r="G371" s="161"/>
      <c r="H371" s="161"/>
      <c r="I371" s="161"/>
      <c r="J371" s="161"/>
      <c r="K371" s="161"/>
      <c r="L371" s="161"/>
      <c r="M371" s="161"/>
      <c r="N371" s="161"/>
      <c r="O371" s="161"/>
      <c r="P371" s="161"/>
      <c r="Q371" s="161"/>
      <c r="R371" s="161"/>
      <c r="S371" s="161"/>
      <c r="T371" s="161"/>
      <c r="U371" s="162"/>
      <c r="V371" s="162"/>
      <c r="W371" s="161"/>
      <c r="X371" s="161"/>
      <c r="Y371" s="161"/>
      <c r="Z371" s="162"/>
      <c r="AA371" s="162"/>
      <c r="AB371" s="161"/>
      <c r="AC371" s="161"/>
      <c r="AD371" s="161"/>
      <c r="AE371" s="161"/>
      <c r="AF371" s="161"/>
      <c r="AG371" s="161"/>
      <c r="AH371" s="161"/>
      <c r="AI371" s="161"/>
      <c r="AJ371" s="161"/>
      <c r="AK371" s="161"/>
      <c r="AL371" s="161"/>
      <c r="AM371" s="163"/>
      <c r="AN371" s="163"/>
      <c r="AO371" s="68"/>
      <c r="AP371" s="164"/>
    </row>
    <row r="372" ht="15.75" customHeight="1">
      <c r="A372" s="161"/>
      <c r="B372" s="161"/>
      <c r="C372" s="161"/>
      <c r="D372" s="161"/>
      <c r="E372" s="161"/>
      <c r="F372" s="161"/>
      <c r="G372" s="161"/>
      <c r="H372" s="161"/>
      <c r="I372" s="161"/>
      <c r="J372" s="161"/>
      <c r="K372" s="161"/>
      <c r="L372" s="161"/>
      <c r="M372" s="161"/>
      <c r="N372" s="161"/>
      <c r="O372" s="161"/>
      <c r="P372" s="161"/>
      <c r="Q372" s="161"/>
      <c r="R372" s="161"/>
      <c r="S372" s="161"/>
      <c r="T372" s="161"/>
      <c r="U372" s="162"/>
      <c r="V372" s="162"/>
      <c r="W372" s="161"/>
      <c r="X372" s="161"/>
      <c r="Y372" s="161"/>
      <c r="Z372" s="162"/>
      <c r="AA372" s="162"/>
      <c r="AB372" s="161"/>
      <c r="AC372" s="161"/>
      <c r="AD372" s="161"/>
      <c r="AE372" s="161"/>
      <c r="AF372" s="161"/>
      <c r="AG372" s="161"/>
      <c r="AH372" s="161"/>
      <c r="AI372" s="161"/>
      <c r="AJ372" s="161"/>
      <c r="AK372" s="161"/>
      <c r="AL372" s="161"/>
      <c r="AM372" s="163"/>
      <c r="AN372" s="163"/>
      <c r="AO372" s="68"/>
      <c r="AP372" s="164"/>
    </row>
    <row r="373" ht="15.75" customHeight="1">
      <c r="A373" s="161"/>
      <c r="B373" s="161"/>
      <c r="C373" s="161"/>
      <c r="D373" s="161"/>
      <c r="E373" s="161"/>
      <c r="F373" s="161"/>
      <c r="G373" s="161"/>
      <c r="H373" s="161"/>
      <c r="I373" s="161"/>
      <c r="J373" s="161"/>
      <c r="K373" s="161"/>
      <c r="L373" s="161"/>
      <c r="M373" s="161"/>
      <c r="N373" s="161"/>
      <c r="O373" s="161"/>
      <c r="P373" s="161"/>
      <c r="Q373" s="161"/>
      <c r="R373" s="161"/>
      <c r="S373" s="161"/>
      <c r="T373" s="161"/>
      <c r="U373" s="162"/>
      <c r="V373" s="162"/>
      <c r="W373" s="161"/>
      <c r="X373" s="161"/>
      <c r="Y373" s="161"/>
      <c r="Z373" s="162"/>
      <c r="AA373" s="162"/>
      <c r="AB373" s="161"/>
      <c r="AC373" s="161"/>
      <c r="AD373" s="161"/>
      <c r="AE373" s="161"/>
      <c r="AF373" s="161"/>
      <c r="AG373" s="161"/>
      <c r="AH373" s="161"/>
      <c r="AI373" s="161"/>
      <c r="AJ373" s="161"/>
      <c r="AK373" s="161"/>
      <c r="AL373" s="161"/>
      <c r="AM373" s="163"/>
      <c r="AN373" s="163"/>
      <c r="AO373" s="68"/>
      <c r="AP373" s="164"/>
    </row>
    <row r="374" ht="15.75" customHeight="1">
      <c r="A374" s="161"/>
      <c r="B374" s="161"/>
      <c r="C374" s="161"/>
      <c r="D374" s="161"/>
      <c r="E374" s="161"/>
      <c r="F374" s="161"/>
      <c r="G374" s="161"/>
      <c r="H374" s="161"/>
      <c r="I374" s="161"/>
      <c r="J374" s="161"/>
      <c r="K374" s="161"/>
      <c r="L374" s="161"/>
      <c r="M374" s="161"/>
      <c r="N374" s="161"/>
      <c r="O374" s="161"/>
      <c r="P374" s="161"/>
      <c r="Q374" s="161"/>
      <c r="R374" s="161"/>
      <c r="S374" s="161"/>
      <c r="T374" s="161"/>
      <c r="U374" s="162"/>
      <c r="V374" s="162"/>
      <c r="W374" s="161"/>
      <c r="X374" s="161"/>
      <c r="Y374" s="161"/>
      <c r="Z374" s="162"/>
      <c r="AA374" s="162"/>
      <c r="AB374" s="161"/>
      <c r="AC374" s="161"/>
      <c r="AD374" s="161"/>
      <c r="AE374" s="161"/>
      <c r="AF374" s="161"/>
      <c r="AG374" s="161"/>
      <c r="AH374" s="161"/>
      <c r="AI374" s="161"/>
      <c r="AJ374" s="161"/>
      <c r="AK374" s="161"/>
      <c r="AL374" s="161"/>
      <c r="AM374" s="163"/>
      <c r="AN374" s="163"/>
      <c r="AO374" s="68"/>
      <c r="AP374" s="164"/>
    </row>
    <row r="375" ht="15.75" customHeight="1">
      <c r="A375" s="161"/>
      <c r="B375" s="161"/>
      <c r="C375" s="161"/>
      <c r="D375" s="161"/>
      <c r="E375" s="161"/>
      <c r="F375" s="161"/>
      <c r="G375" s="161"/>
      <c r="H375" s="161"/>
      <c r="I375" s="161"/>
      <c r="J375" s="161"/>
      <c r="K375" s="161"/>
      <c r="L375" s="161"/>
      <c r="M375" s="161"/>
      <c r="N375" s="161"/>
      <c r="O375" s="161"/>
      <c r="P375" s="161"/>
      <c r="Q375" s="161"/>
      <c r="R375" s="161"/>
      <c r="S375" s="161"/>
      <c r="T375" s="161"/>
      <c r="U375" s="162"/>
      <c r="V375" s="162"/>
      <c r="W375" s="161"/>
      <c r="X375" s="161"/>
      <c r="Y375" s="161"/>
      <c r="Z375" s="162"/>
      <c r="AA375" s="162"/>
      <c r="AB375" s="161"/>
      <c r="AC375" s="161"/>
      <c r="AD375" s="161"/>
      <c r="AE375" s="161"/>
      <c r="AF375" s="161"/>
      <c r="AG375" s="161"/>
      <c r="AH375" s="161"/>
      <c r="AI375" s="161"/>
      <c r="AJ375" s="161"/>
      <c r="AK375" s="161"/>
      <c r="AL375" s="161"/>
      <c r="AM375" s="163"/>
      <c r="AN375" s="163"/>
      <c r="AO375" s="68"/>
      <c r="AP375" s="164"/>
    </row>
    <row r="376" ht="15.75" customHeight="1">
      <c r="A376" s="161"/>
      <c r="B376" s="161"/>
      <c r="C376" s="161"/>
      <c r="D376" s="161"/>
      <c r="E376" s="161"/>
      <c r="F376" s="161"/>
      <c r="G376" s="161"/>
      <c r="H376" s="161"/>
      <c r="I376" s="161"/>
      <c r="J376" s="161"/>
      <c r="K376" s="161"/>
      <c r="L376" s="161"/>
      <c r="M376" s="161"/>
      <c r="N376" s="161"/>
      <c r="O376" s="161"/>
      <c r="P376" s="161"/>
      <c r="Q376" s="161"/>
      <c r="R376" s="161"/>
      <c r="S376" s="161"/>
      <c r="T376" s="161"/>
      <c r="U376" s="162"/>
      <c r="V376" s="162"/>
      <c r="W376" s="161"/>
      <c r="X376" s="161"/>
      <c r="Y376" s="161"/>
      <c r="Z376" s="162"/>
      <c r="AA376" s="162"/>
      <c r="AB376" s="161"/>
      <c r="AC376" s="161"/>
      <c r="AD376" s="161"/>
      <c r="AE376" s="161"/>
      <c r="AF376" s="161"/>
      <c r="AG376" s="161"/>
      <c r="AH376" s="161"/>
      <c r="AI376" s="161"/>
      <c r="AJ376" s="161"/>
      <c r="AK376" s="161"/>
      <c r="AL376" s="161"/>
      <c r="AM376" s="163"/>
      <c r="AN376" s="163"/>
      <c r="AO376" s="68"/>
      <c r="AP376" s="164"/>
    </row>
    <row r="377" ht="15.75" customHeight="1">
      <c r="A377" s="161"/>
      <c r="B377" s="161"/>
      <c r="C377" s="161"/>
      <c r="D377" s="161"/>
      <c r="E377" s="161"/>
      <c r="F377" s="161"/>
      <c r="G377" s="161"/>
      <c r="H377" s="161"/>
      <c r="I377" s="161"/>
      <c r="J377" s="161"/>
      <c r="K377" s="161"/>
      <c r="L377" s="161"/>
      <c r="M377" s="161"/>
      <c r="N377" s="161"/>
      <c r="O377" s="161"/>
      <c r="P377" s="161"/>
      <c r="Q377" s="161"/>
      <c r="R377" s="161"/>
      <c r="S377" s="161"/>
      <c r="T377" s="161"/>
      <c r="U377" s="162"/>
      <c r="V377" s="162"/>
      <c r="W377" s="161"/>
      <c r="X377" s="161"/>
      <c r="Y377" s="161"/>
      <c r="Z377" s="162"/>
      <c r="AA377" s="162"/>
      <c r="AB377" s="161"/>
      <c r="AC377" s="161"/>
      <c r="AD377" s="161"/>
      <c r="AE377" s="161"/>
      <c r="AF377" s="161"/>
      <c r="AG377" s="161"/>
      <c r="AH377" s="161"/>
      <c r="AI377" s="161"/>
      <c r="AJ377" s="161"/>
      <c r="AK377" s="161"/>
      <c r="AL377" s="161"/>
      <c r="AM377" s="163"/>
      <c r="AN377" s="163"/>
      <c r="AO377" s="68"/>
      <c r="AP377" s="164"/>
    </row>
    <row r="378" ht="15.75" customHeight="1">
      <c r="A378" s="161"/>
      <c r="B378" s="161"/>
      <c r="C378" s="161"/>
      <c r="D378" s="161"/>
      <c r="E378" s="161"/>
      <c r="F378" s="161"/>
      <c r="G378" s="161"/>
      <c r="H378" s="161"/>
      <c r="I378" s="161"/>
      <c r="J378" s="161"/>
      <c r="K378" s="161"/>
      <c r="L378" s="161"/>
      <c r="M378" s="161"/>
      <c r="N378" s="161"/>
      <c r="O378" s="161"/>
      <c r="P378" s="161"/>
      <c r="Q378" s="161"/>
      <c r="R378" s="161"/>
      <c r="S378" s="161"/>
      <c r="T378" s="161"/>
      <c r="U378" s="162"/>
      <c r="V378" s="162"/>
      <c r="W378" s="161"/>
      <c r="X378" s="161"/>
      <c r="Y378" s="161"/>
      <c r="Z378" s="162"/>
      <c r="AA378" s="162"/>
      <c r="AB378" s="161"/>
      <c r="AC378" s="161"/>
      <c r="AD378" s="161"/>
      <c r="AE378" s="161"/>
      <c r="AF378" s="161"/>
      <c r="AG378" s="161"/>
      <c r="AH378" s="161"/>
      <c r="AI378" s="161"/>
      <c r="AJ378" s="161"/>
      <c r="AK378" s="161"/>
      <c r="AL378" s="161"/>
      <c r="AM378" s="163"/>
      <c r="AN378" s="163"/>
      <c r="AO378" s="68"/>
      <c r="AP378" s="164"/>
    </row>
    <row r="379" ht="15.75" customHeight="1">
      <c r="A379" s="161"/>
      <c r="B379" s="161"/>
      <c r="C379" s="161"/>
      <c r="D379" s="161"/>
      <c r="E379" s="161"/>
      <c r="F379" s="161"/>
      <c r="G379" s="161"/>
      <c r="H379" s="161"/>
      <c r="I379" s="161"/>
      <c r="J379" s="161"/>
      <c r="K379" s="161"/>
      <c r="L379" s="161"/>
      <c r="M379" s="161"/>
      <c r="N379" s="161"/>
      <c r="O379" s="161"/>
      <c r="P379" s="161"/>
      <c r="Q379" s="161"/>
      <c r="R379" s="161"/>
      <c r="S379" s="161"/>
      <c r="T379" s="161"/>
      <c r="U379" s="162"/>
      <c r="V379" s="162"/>
      <c r="W379" s="161"/>
      <c r="X379" s="161"/>
      <c r="Y379" s="161"/>
      <c r="Z379" s="162"/>
      <c r="AA379" s="162"/>
      <c r="AB379" s="161"/>
      <c r="AC379" s="161"/>
      <c r="AD379" s="161"/>
      <c r="AE379" s="161"/>
      <c r="AF379" s="161"/>
      <c r="AG379" s="161"/>
      <c r="AH379" s="161"/>
      <c r="AI379" s="161"/>
      <c r="AJ379" s="161"/>
      <c r="AK379" s="161"/>
      <c r="AL379" s="161"/>
      <c r="AM379" s="163"/>
      <c r="AN379" s="163"/>
      <c r="AO379" s="68"/>
      <c r="AP379" s="164"/>
    </row>
    <row r="380" ht="15.75" customHeight="1">
      <c r="A380" s="161"/>
      <c r="B380" s="161"/>
      <c r="C380" s="161"/>
      <c r="D380" s="161"/>
      <c r="E380" s="161"/>
      <c r="F380" s="161"/>
      <c r="G380" s="161"/>
      <c r="H380" s="161"/>
      <c r="I380" s="161"/>
      <c r="J380" s="161"/>
      <c r="K380" s="161"/>
      <c r="L380" s="161"/>
      <c r="M380" s="161"/>
      <c r="N380" s="161"/>
      <c r="O380" s="161"/>
      <c r="P380" s="161"/>
      <c r="Q380" s="161"/>
      <c r="R380" s="161"/>
      <c r="S380" s="161"/>
      <c r="T380" s="161"/>
      <c r="U380" s="162"/>
      <c r="V380" s="162"/>
      <c r="W380" s="161"/>
      <c r="X380" s="161"/>
      <c r="Y380" s="161"/>
      <c r="Z380" s="162"/>
      <c r="AA380" s="162"/>
      <c r="AB380" s="161"/>
      <c r="AC380" s="161"/>
      <c r="AD380" s="161"/>
      <c r="AE380" s="161"/>
      <c r="AF380" s="161"/>
      <c r="AG380" s="161"/>
      <c r="AH380" s="161"/>
      <c r="AI380" s="161"/>
      <c r="AJ380" s="161"/>
      <c r="AK380" s="161"/>
      <c r="AL380" s="161"/>
      <c r="AM380" s="163"/>
      <c r="AN380" s="163"/>
      <c r="AO380" s="68"/>
      <c r="AP380" s="164"/>
    </row>
    <row r="381" ht="15.75" customHeight="1">
      <c r="A381" s="161"/>
      <c r="B381" s="161"/>
      <c r="C381" s="161"/>
      <c r="D381" s="161"/>
      <c r="E381" s="161"/>
      <c r="F381" s="161"/>
      <c r="G381" s="161"/>
      <c r="H381" s="161"/>
      <c r="I381" s="161"/>
      <c r="J381" s="161"/>
      <c r="K381" s="161"/>
      <c r="L381" s="161"/>
      <c r="M381" s="161"/>
      <c r="N381" s="161"/>
      <c r="O381" s="161"/>
      <c r="P381" s="161"/>
      <c r="Q381" s="161"/>
      <c r="R381" s="161"/>
      <c r="S381" s="161"/>
      <c r="T381" s="161"/>
      <c r="U381" s="162"/>
      <c r="V381" s="162"/>
      <c r="W381" s="161"/>
      <c r="X381" s="161"/>
      <c r="Y381" s="161"/>
      <c r="Z381" s="162"/>
      <c r="AA381" s="162"/>
      <c r="AB381" s="161"/>
      <c r="AC381" s="161"/>
      <c r="AD381" s="161"/>
      <c r="AE381" s="161"/>
      <c r="AF381" s="161"/>
      <c r="AG381" s="161"/>
      <c r="AH381" s="161"/>
      <c r="AI381" s="161"/>
      <c r="AJ381" s="161"/>
      <c r="AK381" s="161"/>
      <c r="AL381" s="161"/>
      <c r="AM381" s="163"/>
      <c r="AN381" s="163"/>
      <c r="AO381" s="68"/>
      <c r="AP381" s="164"/>
    </row>
    <row r="382" ht="15.75" customHeight="1">
      <c r="A382" s="161"/>
      <c r="B382" s="161"/>
      <c r="C382" s="161"/>
      <c r="D382" s="161"/>
      <c r="E382" s="161"/>
      <c r="F382" s="161"/>
      <c r="G382" s="161"/>
      <c r="H382" s="161"/>
      <c r="I382" s="161"/>
      <c r="J382" s="161"/>
      <c r="K382" s="161"/>
      <c r="L382" s="161"/>
      <c r="M382" s="161"/>
      <c r="N382" s="161"/>
      <c r="O382" s="161"/>
      <c r="P382" s="161"/>
      <c r="Q382" s="161"/>
      <c r="R382" s="161"/>
      <c r="S382" s="161"/>
      <c r="T382" s="161"/>
      <c r="U382" s="162"/>
      <c r="V382" s="162"/>
      <c r="W382" s="161"/>
      <c r="X382" s="161"/>
      <c r="Y382" s="161"/>
      <c r="Z382" s="162"/>
      <c r="AA382" s="162"/>
      <c r="AB382" s="161"/>
      <c r="AC382" s="161"/>
      <c r="AD382" s="161"/>
      <c r="AE382" s="161"/>
      <c r="AF382" s="161"/>
      <c r="AG382" s="161"/>
      <c r="AH382" s="161"/>
      <c r="AI382" s="161"/>
      <c r="AJ382" s="161"/>
      <c r="AK382" s="161"/>
      <c r="AL382" s="161"/>
      <c r="AM382" s="163"/>
      <c r="AN382" s="163"/>
      <c r="AO382" s="68"/>
      <c r="AP382" s="164"/>
    </row>
    <row r="383" ht="15.75" customHeight="1">
      <c r="A383" s="161"/>
      <c r="B383" s="161"/>
      <c r="C383" s="161"/>
      <c r="D383" s="161"/>
      <c r="E383" s="161"/>
      <c r="F383" s="161"/>
      <c r="G383" s="161"/>
      <c r="H383" s="161"/>
      <c r="I383" s="161"/>
      <c r="J383" s="161"/>
      <c r="K383" s="161"/>
      <c r="L383" s="161"/>
      <c r="M383" s="161"/>
      <c r="N383" s="161"/>
      <c r="O383" s="161"/>
      <c r="P383" s="161"/>
      <c r="Q383" s="161"/>
      <c r="R383" s="161"/>
      <c r="S383" s="161"/>
      <c r="T383" s="161"/>
      <c r="U383" s="162"/>
      <c r="V383" s="162"/>
      <c r="W383" s="161"/>
      <c r="X383" s="161"/>
      <c r="Y383" s="161"/>
      <c r="Z383" s="162"/>
      <c r="AA383" s="162"/>
      <c r="AB383" s="161"/>
      <c r="AC383" s="161"/>
      <c r="AD383" s="161"/>
      <c r="AE383" s="161"/>
      <c r="AF383" s="161"/>
      <c r="AG383" s="161"/>
      <c r="AH383" s="161"/>
      <c r="AI383" s="161"/>
      <c r="AJ383" s="161"/>
      <c r="AK383" s="161"/>
      <c r="AL383" s="161"/>
      <c r="AM383" s="163"/>
      <c r="AN383" s="163"/>
      <c r="AO383" s="68"/>
      <c r="AP383" s="164"/>
    </row>
    <row r="384" ht="15.75" customHeight="1">
      <c r="A384" s="161"/>
      <c r="B384" s="161"/>
      <c r="C384" s="161"/>
      <c r="D384" s="161"/>
      <c r="E384" s="161"/>
      <c r="F384" s="161"/>
      <c r="G384" s="161"/>
      <c r="H384" s="161"/>
      <c r="I384" s="161"/>
      <c r="J384" s="161"/>
      <c r="K384" s="161"/>
      <c r="L384" s="161"/>
      <c r="M384" s="161"/>
      <c r="N384" s="161"/>
      <c r="O384" s="161"/>
      <c r="P384" s="161"/>
      <c r="Q384" s="161"/>
      <c r="R384" s="161"/>
      <c r="S384" s="161"/>
      <c r="T384" s="161"/>
      <c r="U384" s="162"/>
      <c r="V384" s="162"/>
      <c r="W384" s="161"/>
      <c r="X384" s="161"/>
      <c r="Y384" s="161"/>
      <c r="Z384" s="162"/>
      <c r="AA384" s="162"/>
      <c r="AB384" s="161"/>
      <c r="AC384" s="161"/>
      <c r="AD384" s="161"/>
      <c r="AE384" s="161"/>
      <c r="AF384" s="161"/>
      <c r="AG384" s="161"/>
      <c r="AH384" s="161"/>
      <c r="AI384" s="161"/>
      <c r="AJ384" s="161"/>
      <c r="AK384" s="161"/>
      <c r="AL384" s="161"/>
      <c r="AM384" s="163"/>
      <c r="AN384" s="163"/>
      <c r="AO384" s="68"/>
      <c r="AP384" s="164"/>
    </row>
    <row r="385" ht="15.75" customHeight="1">
      <c r="A385" s="161"/>
      <c r="B385" s="161"/>
      <c r="C385" s="161"/>
      <c r="D385" s="161"/>
      <c r="E385" s="161"/>
      <c r="F385" s="161"/>
      <c r="G385" s="161"/>
      <c r="H385" s="161"/>
      <c r="I385" s="161"/>
      <c r="J385" s="161"/>
      <c r="K385" s="161"/>
      <c r="L385" s="161"/>
      <c r="M385" s="161"/>
      <c r="N385" s="161"/>
      <c r="O385" s="161"/>
      <c r="P385" s="161"/>
      <c r="Q385" s="161"/>
      <c r="R385" s="161"/>
      <c r="S385" s="161"/>
      <c r="T385" s="161"/>
      <c r="U385" s="162"/>
      <c r="V385" s="162"/>
      <c r="W385" s="161"/>
      <c r="X385" s="161"/>
      <c r="Y385" s="161"/>
      <c r="Z385" s="162"/>
      <c r="AA385" s="162"/>
      <c r="AB385" s="161"/>
      <c r="AC385" s="161"/>
      <c r="AD385" s="161"/>
      <c r="AE385" s="161"/>
      <c r="AF385" s="161"/>
      <c r="AG385" s="161"/>
      <c r="AH385" s="161"/>
      <c r="AI385" s="161"/>
      <c r="AJ385" s="161"/>
      <c r="AK385" s="161"/>
      <c r="AL385" s="161"/>
      <c r="AM385" s="163"/>
      <c r="AN385" s="163"/>
      <c r="AO385" s="68"/>
      <c r="AP385" s="164"/>
    </row>
    <row r="386" ht="15.75" customHeight="1">
      <c r="A386" s="161"/>
      <c r="B386" s="161"/>
      <c r="C386" s="161"/>
      <c r="D386" s="161"/>
      <c r="E386" s="161"/>
      <c r="F386" s="161"/>
      <c r="G386" s="161"/>
      <c r="H386" s="161"/>
      <c r="I386" s="161"/>
      <c r="J386" s="161"/>
      <c r="K386" s="161"/>
      <c r="L386" s="161"/>
      <c r="M386" s="161"/>
      <c r="N386" s="161"/>
      <c r="O386" s="161"/>
      <c r="P386" s="161"/>
      <c r="Q386" s="161"/>
      <c r="R386" s="161"/>
      <c r="S386" s="161"/>
      <c r="T386" s="161"/>
      <c r="U386" s="162"/>
      <c r="V386" s="162"/>
      <c r="W386" s="161"/>
      <c r="X386" s="161"/>
      <c r="Y386" s="161"/>
      <c r="Z386" s="162"/>
      <c r="AA386" s="162"/>
      <c r="AB386" s="161"/>
      <c r="AC386" s="161"/>
      <c r="AD386" s="161"/>
      <c r="AE386" s="161"/>
      <c r="AF386" s="161"/>
      <c r="AG386" s="161"/>
      <c r="AH386" s="161"/>
      <c r="AI386" s="161"/>
      <c r="AJ386" s="161"/>
      <c r="AK386" s="161"/>
      <c r="AL386" s="161"/>
      <c r="AM386" s="163"/>
      <c r="AN386" s="163"/>
      <c r="AO386" s="68"/>
      <c r="AP386" s="164"/>
    </row>
    <row r="387" ht="15.75" customHeight="1">
      <c r="A387" s="161"/>
      <c r="B387" s="161"/>
      <c r="C387" s="161"/>
      <c r="D387" s="161"/>
      <c r="E387" s="161"/>
      <c r="F387" s="161"/>
      <c r="G387" s="161"/>
      <c r="H387" s="161"/>
      <c r="I387" s="161"/>
      <c r="J387" s="161"/>
      <c r="K387" s="161"/>
      <c r="L387" s="161"/>
      <c r="M387" s="161"/>
      <c r="N387" s="161"/>
      <c r="O387" s="161"/>
      <c r="P387" s="161"/>
      <c r="Q387" s="161"/>
      <c r="R387" s="161"/>
      <c r="S387" s="161"/>
      <c r="T387" s="161"/>
      <c r="U387" s="162"/>
      <c r="V387" s="162"/>
      <c r="W387" s="161"/>
      <c r="X387" s="161"/>
      <c r="Y387" s="161"/>
      <c r="Z387" s="162"/>
      <c r="AA387" s="162"/>
      <c r="AB387" s="161"/>
      <c r="AC387" s="161"/>
      <c r="AD387" s="161"/>
      <c r="AE387" s="161"/>
      <c r="AF387" s="161"/>
      <c r="AG387" s="161"/>
      <c r="AH387" s="161"/>
      <c r="AI387" s="161"/>
      <c r="AJ387" s="161"/>
      <c r="AK387" s="161"/>
      <c r="AL387" s="161"/>
      <c r="AM387" s="163"/>
      <c r="AN387" s="163"/>
      <c r="AO387" s="68"/>
      <c r="AP387" s="164"/>
    </row>
    <row r="388" ht="15.75" customHeight="1">
      <c r="A388" s="161"/>
      <c r="B388" s="161"/>
      <c r="C388" s="161"/>
      <c r="D388" s="161"/>
      <c r="E388" s="161"/>
      <c r="F388" s="161"/>
      <c r="G388" s="161"/>
      <c r="H388" s="161"/>
      <c r="I388" s="161"/>
      <c r="J388" s="161"/>
      <c r="K388" s="161"/>
      <c r="L388" s="161"/>
      <c r="M388" s="161"/>
      <c r="N388" s="161"/>
      <c r="O388" s="161"/>
      <c r="P388" s="161"/>
      <c r="Q388" s="161"/>
      <c r="R388" s="161"/>
      <c r="S388" s="161"/>
      <c r="T388" s="161"/>
      <c r="U388" s="162"/>
      <c r="V388" s="162"/>
      <c r="W388" s="161"/>
      <c r="X388" s="161"/>
      <c r="Y388" s="161"/>
      <c r="Z388" s="162"/>
      <c r="AA388" s="162"/>
      <c r="AB388" s="161"/>
      <c r="AC388" s="161"/>
      <c r="AD388" s="161"/>
      <c r="AE388" s="161"/>
      <c r="AF388" s="161"/>
      <c r="AG388" s="161"/>
      <c r="AH388" s="161"/>
      <c r="AI388" s="161"/>
      <c r="AJ388" s="161"/>
      <c r="AK388" s="161"/>
      <c r="AL388" s="161"/>
      <c r="AM388" s="163"/>
      <c r="AN388" s="163"/>
      <c r="AO388" s="68"/>
      <c r="AP388" s="164"/>
    </row>
    <row r="389" ht="15.75" customHeight="1">
      <c r="A389" s="161"/>
      <c r="B389" s="161"/>
      <c r="C389" s="161"/>
      <c r="D389" s="161"/>
      <c r="E389" s="161"/>
      <c r="F389" s="161"/>
      <c r="G389" s="161"/>
      <c r="H389" s="161"/>
      <c r="I389" s="161"/>
      <c r="J389" s="161"/>
      <c r="K389" s="161"/>
      <c r="L389" s="161"/>
      <c r="M389" s="161"/>
      <c r="N389" s="161"/>
      <c r="O389" s="161"/>
      <c r="P389" s="161"/>
      <c r="Q389" s="161"/>
      <c r="R389" s="161"/>
      <c r="S389" s="161"/>
      <c r="T389" s="161"/>
      <c r="U389" s="162"/>
      <c r="V389" s="162"/>
      <c r="W389" s="161"/>
      <c r="X389" s="161"/>
      <c r="Y389" s="161"/>
      <c r="Z389" s="162"/>
      <c r="AA389" s="162"/>
      <c r="AB389" s="161"/>
      <c r="AC389" s="161"/>
      <c r="AD389" s="161"/>
      <c r="AE389" s="161"/>
      <c r="AF389" s="161"/>
      <c r="AG389" s="161"/>
      <c r="AH389" s="161"/>
      <c r="AI389" s="161"/>
      <c r="AJ389" s="161"/>
      <c r="AK389" s="161"/>
      <c r="AL389" s="161"/>
      <c r="AM389" s="163"/>
      <c r="AN389" s="163"/>
      <c r="AO389" s="68"/>
      <c r="AP389" s="164"/>
    </row>
    <row r="390" ht="15.75" customHeight="1">
      <c r="A390" s="161"/>
      <c r="B390" s="161"/>
      <c r="C390" s="161"/>
      <c r="D390" s="161"/>
      <c r="E390" s="161"/>
      <c r="F390" s="161"/>
      <c r="G390" s="161"/>
      <c r="H390" s="161"/>
      <c r="I390" s="161"/>
      <c r="J390" s="161"/>
      <c r="K390" s="161"/>
      <c r="L390" s="161"/>
      <c r="M390" s="161"/>
      <c r="N390" s="161"/>
      <c r="O390" s="161"/>
      <c r="P390" s="161"/>
      <c r="Q390" s="161"/>
      <c r="R390" s="161"/>
      <c r="S390" s="161"/>
      <c r="T390" s="161"/>
      <c r="U390" s="162"/>
      <c r="V390" s="162"/>
      <c r="W390" s="161"/>
      <c r="X390" s="161"/>
      <c r="Y390" s="161"/>
      <c r="Z390" s="162"/>
      <c r="AA390" s="162"/>
      <c r="AB390" s="161"/>
      <c r="AC390" s="161"/>
      <c r="AD390" s="161"/>
      <c r="AE390" s="161"/>
      <c r="AF390" s="161"/>
      <c r="AG390" s="161"/>
      <c r="AH390" s="161"/>
      <c r="AI390" s="161"/>
      <c r="AJ390" s="161"/>
      <c r="AK390" s="161"/>
      <c r="AL390" s="161"/>
      <c r="AM390" s="163"/>
      <c r="AN390" s="163"/>
      <c r="AO390" s="68"/>
      <c r="AP390" s="164"/>
    </row>
    <row r="391" ht="15.75" customHeight="1">
      <c r="A391" s="161"/>
      <c r="B391" s="161"/>
      <c r="C391" s="161"/>
      <c r="D391" s="161"/>
      <c r="E391" s="161"/>
      <c r="F391" s="161"/>
      <c r="G391" s="161"/>
      <c r="H391" s="161"/>
      <c r="I391" s="161"/>
      <c r="J391" s="161"/>
      <c r="K391" s="161"/>
      <c r="L391" s="161"/>
      <c r="M391" s="161"/>
      <c r="N391" s="161"/>
      <c r="O391" s="161"/>
      <c r="P391" s="161"/>
      <c r="Q391" s="161"/>
      <c r="R391" s="161"/>
      <c r="S391" s="161"/>
      <c r="T391" s="161"/>
      <c r="U391" s="162"/>
      <c r="V391" s="162"/>
      <c r="W391" s="161"/>
      <c r="X391" s="161"/>
      <c r="Y391" s="161"/>
      <c r="Z391" s="162"/>
      <c r="AA391" s="162"/>
      <c r="AB391" s="161"/>
      <c r="AC391" s="161"/>
      <c r="AD391" s="161"/>
      <c r="AE391" s="161"/>
      <c r="AF391" s="161"/>
      <c r="AG391" s="161"/>
      <c r="AH391" s="161"/>
      <c r="AI391" s="161"/>
      <c r="AJ391" s="161"/>
      <c r="AK391" s="161"/>
      <c r="AL391" s="161"/>
      <c r="AM391" s="163"/>
      <c r="AN391" s="163"/>
      <c r="AO391" s="68"/>
      <c r="AP391" s="164"/>
    </row>
    <row r="392" ht="15.75" customHeight="1">
      <c r="A392" s="161"/>
      <c r="B392" s="161"/>
      <c r="C392" s="161"/>
      <c r="D392" s="161"/>
      <c r="E392" s="161"/>
      <c r="F392" s="161"/>
      <c r="G392" s="161"/>
      <c r="H392" s="161"/>
      <c r="I392" s="161"/>
      <c r="J392" s="161"/>
      <c r="K392" s="161"/>
      <c r="L392" s="161"/>
      <c r="M392" s="161"/>
      <c r="N392" s="161"/>
      <c r="O392" s="161"/>
      <c r="P392" s="161"/>
      <c r="Q392" s="161"/>
      <c r="R392" s="161"/>
      <c r="S392" s="161"/>
      <c r="T392" s="161"/>
      <c r="U392" s="162"/>
      <c r="V392" s="162"/>
      <c r="W392" s="161"/>
      <c r="X392" s="161"/>
      <c r="Y392" s="161"/>
      <c r="Z392" s="162"/>
      <c r="AA392" s="162"/>
      <c r="AB392" s="161"/>
      <c r="AC392" s="161"/>
      <c r="AD392" s="161"/>
      <c r="AE392" s="161"/>
      <c r="AF392" s="161"/>
      <c r="AG392" s="161"/>
      <c r="AH392" s="161"/>
      <c r="AI392" s="161"/>
      <c r="AJ392" s="161"/>
      <c r="AK392" s="161"/>
      <c r="AL392" s="161"/>
      <c r="AM392" s="163"/>
      <c r="AN392" s="163"/>
      <c r="AO392" s="68"/>
      <c r="AP392" s="164"/>
    </row>
    <row r="393" ht="15.75" customHeight="1">
      <c r="A393" s="161"/>
      <c r="B393" s="161"/>
      <c r="C393" s="161"/>
      <c r="D393" s="161"/>
      <c r="E393" s="161"/>
      <c r="F393" s="161"/>
      <c r="G393" s="161"/>
      <c r="H393" s="161"/>
      <c r="I393" s="161"/>
      <c r="J393" s="161"/>
      <c r="K393" s="161"/>
      <c r="L393" s="161"/>
      <c r="M393" s="161"/>
      <c r="N393" s="161"/>
      <c r="O393" s="161"/>
      <c r="P393" s="161"/>
      <c r="Q393" s="161"/>
      <c r="R393" s="161"/>
      <c r="S393" s="161"/>
      <c r="T393" s="161"/>
      <c r="U393" s="162"/>
      <c r="V393" s="162"/>
      <c r="W393" s="161"/>
      <c r="X393" s="161"/>
      <c r="Y393" s="161"/>
      <c r="Z393" s="162"/>
      <c r="AA393" s="162"/>
      <c r="AB393" s="161"/>
      <c r="AC393" s="161"/>
      <c r="AD393" s="161"/>
      <c r="AE393" s="161"/>
      <c r="AF393" s="161"/>
      <c r="AG393" s="161"/>
      <c r="AH393" s="161"/>
      <c r="AI393" s="161"/>
      <c r="AJ393" s="161"/>
      <c r="AK393" s="161"/>
      <c r="AL393" s="161"/>
      <c r="AM393" s="163"/>
      <c r="AN393" s="163"/>
      <c r="AO393" s="68"/>
      <c r="AP393" s="164"/>
    </row>
    <row r="394" ht="15.75" customHeight="1">
      <c r="A394" s="161"/>
      <c r="B394" s="161"/>
      <c r="C394" s="161"/>
      <c r="D394" s="161"/>
      <c r="E394" s="161"/>
      <c r="F394" s="161"/>
      <c r="G394" s="161"/>
      <c r="H394" s="161"/>
      <c r="I394" s="161"/>
      <c r="J394" s="161"/>
      <c r="K394" s="161"/>
      <c r="L394" s="161"/>
      <c r="M394" s="161"/>
      <c r="N394" s="161"/>
      <c r="O394" s="161"/>
      <c r="P394" s="161"/>
      <c r="Q394" s="161"/>
      <c r="R394" s="161"/>
      <c r="S394" s="161"/>
      <c r="T394" s="161"/>
      <c r="U394" s="162"/>
      <c r="V394" s="162"/>
      <c r="W394" s="161"/>
      <c r="X394" s="161"/>
      <c r="Y394" s="161"/>
      <c r="Z394" s="162"/>
      <c r="AA394" s="162"/>
      <c r="AB394" s="161"/>
      <c r="AC394" s="161"/>
      <c r="AD394" s="161"/>
      <c r="AE394" s="161"/>
      <c r="AF394" s="161"/>
      <c r="AG394" s="161"/>
      <c r="AH394" s="161"/>
      <c r="AI394" s="161"/>
      <c r="AJ394" s="161"/>
      <c r="AK394" s="161"/>
      <c r="AL394" s="161"/>
      <c r="AM394" s="163"/>
      <c r="AN394" s="163"/>
      <c r="AO394" s="68"/>
      <c r="AP394" s="164"/>
    </row>
    <row r="395" ht="15.75" customHeight="1">
      <c r="A395" s="161"/>
      <c r="B395" s="161"/>
      <c r="C395" s="161"/>
      <c r="D395" s="161"/>
      <c r="E395" s="161"/>
      <c r="F395" s="161"/>
      <c r="G395" s="161"/>
      <c r="H395" s="161"/>
      <c r="I395" s="161"/>
      <c r="J395" s="161"/>
      <c r="K395" s="161"/>
      <c r="L395" s="161"/>
      <c r="M395" s="161"/>
      <c r="N395" s="161"/>
      <c r="O395" s="161"/>
      <c r="P395" s="161"/>
      <c r="Q395" s="161"/>
      <c r="R395" s="161"/>
      <c r="S395" s="161"/>
      <c r="T395" s="161"/>
      <c r="U395" s="162"/>
      <c r="V395" s="162"/>
      <c r="W395" s="161"/>
      <c r="X395" s="161"/>
      <c r="Y395" s="161"/>
      <c r="Z395" s="162"/>
      <c r="AA395" s="162"/>
      <c r="AB395" s="161"/>
      <c r="AC395" s="161"/>
      <c r="AD395" s="161"/>
      <c r="AE395" s="161"/>
      <c r="AF395" s="161"/>
      <c r="AG395" s="161"/>
      <c r="AH395" s="161"/>
      <c r="AI395" s="161"/>
      <c r="AJ395" s="161"/>
      <c r="AK395" s="161"/>
      <c r="AL395" s="161"/>
      <c r="AM395" s="163"/>
      <c r="AN395" s="163"/>
      <c r="AO395" s="68"/>
      <c r="AP395" s="164"/>
    </row>
    <row r="396" ht="15.75" customHeight="1">
      <c r="A396" s="161"/>
      <c r="B396" s="161"/>
      <c r="C396" s="161"/>
      <c r="D396" s="161"/>
      <c r="E396" s="161"/>
      <c r="F396" s="161"/>
      <c r="G396" s="161"/>
      <c r="H396" s="161"/>
      <c r="I396" s="161"/>
      <c r="J396" s="161"/>
      <c r="K396" s="161"/>
      <c r="L396" s="161"/>
      <c r="M396" s="161"/>
      <c r="N396" s="161"/>
      <c r="O396" s="161"/>
      <c r="P396" s="161"/>
      <c r="Q396" s="161"/>
      <c r="R396" s="161"/>
      <c r="S396" s="161"/>
      <c r="T396" s="161"/>
      <c r="U396" s="162"/>
      <c r="V396" s="162"/>
      <c r="W396" s="161"/>
      <c r="X396" s="161"/>
      <c r="Y396" s="161"/>
      <c r="Z396" s="162"/>
      <c r="AA396" s="162"/>
      <c r="AB396" s="161"/>
      <c r="AC396" s="161"/>
      <c r="AD396" s="161"/>
      <c r="AE396" s="161"/>
      <c r="AF396" s="161"/>
      <c r="AG396" s="161"/>
      <c r="AH396" s="161"/>
      <c r="AI396" s="161"/>
      <c r="AJ396" s="161"/>
      <c r="AK396" s="161"/>
      <c r="AL396" s="161"/>
      <c r="AM396" s="163"/>
      <c r="AN396" s="163"/>
      <c r="AO396" s="68"/>
      <c r="AP396" s="164"/>
    </row>
    <row r="397" ht="15.75" customHeight="1">
      <c r="A397" s="161"/>
      <c r="B397" s="161"/>
      <c r="C397" s="161"/>
      <c r="D397" s="161"/>
      <c r="E397" s="161"/>
      <c r="F397" s="161"/>
      <c r="G397" s="161"/>
      <c r="H397" s="161"/>
      <c r="I397" s="161"/>
      <c r="J397" s="161"/>
      <c r="K397" s="161"/>
      <c r="L397" s="161"/>
      <c r="M397" s="161"/>
      <c r="N397" s="161"/>
      <c r="O397" s="161"/>
      <c r="P397" s="161"/>
      <c r="Q397" s="161"/>
      <c r="R397" s="161"/>
      <c r="S397" s="161"/>
      <c r="T397" s="161"/>
      <c r="U397" s="162"/>
      <c r="V397" s="162"/>
      <c r="W397" s="161"/>
      <c r="X397" s="161"/>
      <c r="Y397" s="161"/>
      <c r="Z397" s="162"/>
      <c r="AA397" s="162"/>
      <c r="AB397" s="161"/>
      <c r="AC397" s="161"/>
      <c r="AD397" s="161"/>
      <c r="AE397" s="161"/>
      <c r="AF397" s="161"/>
      <c r="AG397" s="161"/>
      <c r="AH397" s="161"/>
      <c r="AI397" s="161"/>
      <c r="AJ397" s="161"/>
      <c r="AK397" s="161"/>
      <c r="AL397" s="161"/>
      <c r="AM397" s="163"/>
      <c r="AN397" s="163"/>
      <c r="AO397" s="68"/>
      <c r="AP397" s="164"/>
    </row>
    <row r="398" ht="15.75" customHeight="1">
      <c r="A398" s="161"/>
      <c r="B398" s="161"/>
      <c r="C398" s="161"/>
      <c r="D398" s="161"/>
      <c r="E398" s="161"/>
      <c r="F398" s="161"/>
      <c r="G398" s="161"/>
      <c r="H398" s="161"/>
      <c r="I398" s="161"/>
      <c r="J398" s="161"/>
      <c r="K398" s="161"/>
      <c r="L398" s="161"/>
      <c r="M398" s="161"/>
      <c r="N398" s="161"/>
      <c r="O398" s="161"/>
      <c r="P398" s="161"/>
      <c r="Q398" s="161"/>
      <c r="R398" s="161"/>
      <c r="S398" s="161"/>
      <c r="T398" s="161"/>
      <c r="U398" s="162"/>
      <c r="V398" s="162"/>
      <c r="W398" s="161"/>
      <c r="X398" s="161"/>
      <c r="Y398" s="161"/>
      <c r="Z398" s="162"/>
      <c r="AA398" s="162"/>
      <c r="AB398" s="161"/>
      <c r="AC398" s="161"/>
      <c r="AD398" s="161"/>
      <c r="AE398" s="161"/>
      <c r="AF398" s="161"/>
      <c r="AG398" s="161"/>
      <c r="AH398" s="161"/>
      <c r="AI398" s="161"/>
      <c r="AJ398" s="161"/>
      <c r="AK398" s="161"/>
      <c r="AL398" s="161"/>
      <c r="AM398" s="163"/>
      <c r="AN398" s="163"/>
      <c r="AO398" s="68"/>
      <c r="AP398" s="164"/>
    </row>
    <row r="399" ht="15.75" customHeight="1">
      <c r="A399" s="161"/>
      <c r="B399" s="161"/>
      <c r="C399" s="161"/>
      <c r="D399" s="161"/>
      <c r="E399" s="161"/>
      <c r="F399" s="161"/>
      <c r="G399" s="161"/>
      <c r="H399" s="161"/>
      <c r="I399" s="161"/>
      <c r="J399" s="161"/>
      <c r="K399" s="161"/>
      <c r="L399" s="161"/>
      <c r="M399" s="161"/>
      <c r="N399" s="161"/>
      <c r="O399" s="161"/>
      <c r="P399" s="161"/>
      <c r="Q399" s="161"/>
      <c r="R399" s="161"/>
      <c r="S399" s="161"/>
      <c r="T399" s="161"/>
      <c r="U399" s="162"/>
      <c r="V399" s="162"/>
      <c r="W399" s="161"/>
      <c r="X399" s="161"/>
      <c r="Y399" s="161"/>
      <c r="Z399" s="162"/>
      <c r="AA399" s="162"/>
      <c r="AB399" s="161"/>
      <c r="AC399" s="161"/>
      <c r="AD399" s="161"/>
      <c r="AE399" s="161"/>
      <c r="AF399" s="161"/>
      <c r="AG399" s="161"/>
      <c r="AH399" s="161"/>
      <c r="AI399" s="161"/>
      <c r="AJ399" s="161"/>
      <c r="AK399" s="161"/>
      <c r="AL399" s="161"/>
      <c r="AM399" s="163"/>
      <c r="AN399" s="163"/>
      <c r="AO399" s="68"/>
      <c r="AP399" s="164"/>
    </row>
    <row r="400" ht="15.75" customHeight="1">
      <c r="A400" s="161"/>
      <c r="B400" s="161"/>
      <c r="C400" s="161"/>
      <c r="D400" s="161"/>
      <c r="E400" s="161"/>
      <c r="F400" s="161"/>
      <c r="G400" s="161"/>
      <c r="H400" s="161"/>
      <c r="I400" s="161"/>
      <c r="J400" s="161"/>
      <c r="K400" s="161"/>
      <c r="L400" s="161"/>
      <c r="M400" s="161"/>
      <c r="N400" s="161"/>
      <c r="O400" s="161"/>
      <c r="P400" s="161"/>
      <c r="Q400" s="161"/>
      <c r="R400" s="161"/>
      <c r="S400" s="161"/>
      <c r="T400" s="161"/>
      <c r="U400" s="162"/>
      <c r="V400" s="162"/>
      <c r="W400" s="161"/>
      <c r="X400" s="161"/>
      <c r="Y400" s="161"/>
      <c r="Z400" s="162"/>
      <c r="AA400" s="162"/>
      <c r="AB400" s="161"/>
      <c r="AC400" s="161"/>
      <c r="AD400" s="161"/>
      <c r="AE400" s="161"/>
      <c r="AF400" s="161"/>
      <c r="AG400" s="161"/>
      <c r="AH400" s="161"/>
      <c r="AI400" s="161"/>
      <c r="AJ400" s="161"/>
      <c r="AK400" s="161"/>
      <c r="AL400" s="161"/>
      <c r="AM400" s="163"/>
      <c r="AN400" s="163"/>
      <c r="AO400" s="68"/>
      <c r="AP400" s="164"/>
    </row>
    <row r="401" ht="15.75" customHeight="1">
      <c r="A401" s="161"/>
      <c r="B401" s="161"/>
      <c r="C401" s="161"/>
      <c r="D401" s="161"/>
      <c r="E401" s="161"/>
      <c r="F401" s="161"/>
      <c r="G401" s="161"/>
      <c r="H401" s="161"/>
      <c r="I401" s="161"/>
      <c r="J401" s="161"/>
      <c r="K401" s="161"/>
      <c r="L401" s="161"/>
      <c r="M401" s="161"/>
      <c r="N401" s="161"/>
      <c r="O401" s="161"/>
      <c r="P401" s="161"/>
      <c r="Q401" s="161"/>
      <c r="R401" s="161"/>
      <c r="S401" s="161"/>
      <c r="T401" s="161"/>
      <c r="U401" s="162"/>
      <c r="V401" s="162"/>
      <c r="W401" s="161"/>
      <c r="X401" s="161"/>
      <c r="Y401" s="161"/>
      <c r="Z401" s="162"/>
      <c r="AA401" s="162"/>
      <c r="AB401" s="161"/>
      <c r="AC401" s="161"/>
      <c r="AD401" s="161"/>
      <c r="AE401" s="161"/>
      <c r="AF401" s="161"/>
      <c r="AG401" s="161"/>
      <c r="AH401" s="161"/>
      <c r="AI401" s="161"/>
      <c r="AJ401" s="161"/>
      <c r="AK401" s="161"/>
      <c r="AL401" s="161"/>
      <c r="AM401" s="163"/>
      <c r="AN401" s="163"/>
      <c r="AO401" s="68"/>
      <c r="AP401" s="164"/>
    </row>
    <row r="402" ht="15.75" customHeight="1">
      <c r="A402" s="161"/>
      <c r="B402" s="161"/>
      <c r="C402" s="161"/>
      <c r="D402" s="161"/>
      <c r="E402" s="161"/>
      <c r="F402" s="161"/>
      <c r="G402" s="161"/>
      <c r="H402" s="161"/>
      <c r="I402" s="161"/>
      <c r="J402" s="161"/>
      <c r="K402" s="161"/>
      <c r="L402" s="161"/>
      <c r="M402" s="161"/>
      <c r="N402" s="161"/>
      <c r="O402" s="161"/>
      <c r="P402" s="161"/>
      <c r="Q402" s="161"/>
      <c r="R402" s="161"/>
      <c r="S402" s="161"/>
      <c r="T402" s="161"/>
      <c r="U402" s="162"/>
      <c r="V402" s="162"/>
      <c r="W402" s="161"/>
      <c r="X402" s="161"/>
      <c r="Y402" s="161"/>
      <c r="Z402" s="162"/>
      <c r="AA402" s="162"/>
      <c r="AB402" s="161"/>
      <c r="AC402" s="161"/>
      <c r="AD402" s="161"/>
      <c r="AE402" s="161"/>
      <c r="AF402" s="161"/>
      <c r="AG402" s="161"/>
      <c r="AH402" s="161"/>
      <c r="AI402" s="161"/>
      <c r="AJ402" s="161"/>
      <c r="AK402" s="161"/>
      <c r="AL402" s="161"/>
      <c r="AM402" s="163"/>
      <c r="AN402" s="163"/>
      <c r="AO402" s="68"/>
      <c r="AP402" s="164"/>
    </row>
    <row r="403" ht="15.75" customHeight="1">
      <c r="A403" s="161"/>
      <c r="B403" s="161"/>
      <c r="C403" s="161"/>
      <c r="D403" s="161"/>
      <c r="E403" s="161"/>
      <c r="F403" s="161"/>
      <c r="G403" s="161"/>
      <c r="H403" s="161"/>
      <c r="I403" s="161"/>
      <c r="J403" s="161"/>
      <c r="K403" s="161"/>
      <c r="L403" s="161"/>
      <c r="M403" s="161"/>
      <c r="N403" s="161"/>
      <c r="O403" s="161"/>
      <c r="P403" s="161"/>
      <c r="Q403" s="161"/>
      <c r="R403" s="161"/>
      <c r="S403" s="161"/>
      <c r="T403" s="161"/>
      <c r="U403" s="162"/>
      <c r="V403" s="162"/>
      <c r="W403" s="161"/>
      <c r="X403" s="161"/>
      <c r="Y403" s="161"/>
      <c r="Z403" s="162"/>
      <c r="AA403" s="162"/>
      <c r="AB403" s="161"/>
      <c r="AC403" s="161"/>
      <c r="AD403" s="161"/>
      <c r="AE403" s="161"/>
      <c r="AF403" s="161"/>
      <c r="AG403" s="161"/>
      <c r="AH403" s="161"/>
      <c r="AI403" s="161"/>
      <c r="AJ403" s="161"/>
      <c r="AK403" s="161"/>
      <c r="AL403" s="161"/>
      <c r="AM403" s="163"/>
      <c r="AN403" s="163"/>
      <c r="AO403" s="68"/>
      <c r="AP403" s="164"/>
    </row>
    <row r="404" ht="15.75" customHeight="1">
      <c r="A404" s="161"/>
      <c r="B404" s="161"/>
      <c r="C404" s="161"/>
      <c r="D404" s="161"/>
      <c r="E404" s="161"/>
      <c r="F404" s="161"/>
      <c r="G404" s="161"/>
      <c r="H404" s="161"/>
      <c r="I404" s="161"/>
      <c r="J404" s="161"/>
      <c r="K404" s="161"/>
      <c r="L404" s="161"/>
      <c r="M404" s="161"/>
      <c r="N404" s="161"/>
      <c r="O404" s="161"/>
      <c r="P404" s="161"/>
      <c r="Q404" s="161"/>
      <c r="R404" s="161"/>
      <c r="S404" s="161"/>
      <c r="T404" s="161"/>
      <c r="U404" s="162"/>
      <c r="V404" s="162"/>
      <c r="W404" s="161"/>
      <c r="X404" s="161"/>
      <c r="Y404" s="161"/>
      <c r="Z404" s="162"/>
      <c r="AA404" s="162"/>
      <c r="AB404" s="161"/>
      <c r="AC404" s="161"/>
      <c r="AD404" s="161"/>
      <c r="AE404" s="161"/>
      <c r="AF404" s="161"/>
      <c r="AG404" s="161"/>
      <c r="AH404" s="161"/>
      <c r="AI404" s="161"/>
      <c r="AJ404" s="161"/>
      <c r="AK404" s="161"/>
      <c r="AL404" s="161"/>
      <c r="AM404" s="163"/>
      <c r="AN404" s="163"/>
      <c r="AO404" s="68"/>
      <c r="AP404" s="164"/>
    </row>
    <row r="405" ht="15.75" customHeight="1">
      <c r="A405" s="161"/>
      <c r="B405" s="161"/>
      <c r="C405" s="161"/>
      <c r="D405" s="161"/>
      <c r="E405" s="161"/>
      <c r="F405" s="161"/>
      <c r="G405" s="161"/>
      <c r="H405" s="161"/>
      <c r="I405" s="161"/>
      <c r="J405" s="161"/>
      <c r="K405" s="161"/>
      <c r="L405" s="161"/>
      <c r="M405" s="161"/>
      <c r="N405" s="161"/>
      <c r="O405" s="161"/>
      <c r="P405" s="161"/>
      <c r="Q405" s="161"/>
      <c r="R405" s="161"/>
      <c r="S405" s="161"/>
      <c r="T405" s="161"/>
      <c r="U405" s="162"/>
      <c r="V405" s="162"/>
      <c r="W405" s="161"/>
      <c r="X405" s="161"/>
      <c r="Y405" s="161"/>
      <c r="Z405" s="162"/>
      <c r="AA405" s="162"/>
      <c r="AB405" s="161"/>
      <c r="AC405" s="161"/>
      <c r="AD405" s="161"/>
      <c r="AE405" s="161"/>
      <c r="AF405" s="161"/>
      <c r="AG405" s="161"/>
      <c r="AH405" s="161"/>
      <c r="AI405" s="161"/>
      <c r="AJ405" s="161"/>
      <c r="AK405" s="161"/>
      <c r="AL405" s="161"/>
      <c r="AM405" s="163"/>
      <c r="AN405" s="163"/>
      <c r="AO405" s="68"/>
      <c r="AP405" s="164"/>
    </row>
    <row r="406" ht="15.75" customHeight="1">
      <c r="A406" s="161"/>
      <c r="B406" s="161"/>
      <c r="C406" s="161"/>
      <c r="D406" s="161"/>
      <c r="E406" s="161"/>
      <c r="F406" s="161"/>
      <c r="G406" s="161"/>
      <c r="H406" s="161"/>
      <c r="I406" s="161"/>
      <c r="J406" s="161"/>
      <c r="K406" s="161"/>
      <c r="L406" s="161"/>
      <c r="M406" s="161"/>
      <c r="N406" s="161"/>
      <c r="O406" s="161"/>
      <c r="P406" s="161"/>
      <c r="Q406" s="161"/>
      <c r="R406" s="161"/>
      <c r="S406" s="161"/>
      <c r="T406" s="161"/>
      <c r="U406" s="162"/>
      <c r="V406" s="162"/>
      <c r="W406" s="161"/>
      <c r="X406" s="161"/>
      <c r="Y406" s="161"/>
      <c r="Z406" s="162"/>
      <c r="AA406" s="162"/>
      <c r="AB406" s="161"/>
      <c r="AC406" s="161"/>
      <c r="AD406" s="161"/>
      <c r="AE406" s="161"/>
      <c r="AF406" s="161"/>
      <c r="AG406" s="161"/>
      <c r="AH406" s="161"/>
      <c r="AI406" s="161"/>
      <c r="AJ406" s="161"/>
      <c r="AK406" s="161"/>
      <c r="AL406" s="161"/>
      <c r="AM406" s="163"/>
      <c r="AN406" s="163"/>
      <c r="AO406" s="68"/>
      <c r="AP406" s="164"/>
    </row>
    <row r="407" ht="15.75" customHeight="1">
      <c r="A407" s="161"/>
      <c r="B407" s="161"/>
      <c r="C407" s="161"/>
      <c r="D407" s="161"/>
      <c r="E407" s="161"/>
      <c r="F407" s="161"/>
      <c r="G407" s="161"/>
      <c r="H407" s="161"/>
      <c r="I407" s="161"/>
      <c r="J407" s="161"/>
      <c r="K407" s="161"/>
      <c r="L407" s="161"/>
      <c r="M407" s="161"/>
      <c r="N407" s="161"/>
      <c r="O407" s="161"/>
      <c r="P407" s="161"/>
      <c r="Q407" s="161"/>
      <c r="R407" s="161"/>
      <c r="S407" s="161"/>
      <c r="T407" s="161"/>
      <c r="U407" s="162"/>
      <c r="V407" s="162"/>
      <c r="W407" s="161"/>
      <c r="X407" s="161"/>
      <c r="Y407" s="161"/>
      <c r="Z407" s="162"/>
      <c r="AA407" s="162"/>
      <c r="AB407" s="161"/>
      <c r="AC407" s="161"/>
      <c r="AD407" s="161"/>
      <c r="AE407" s="161"/>
      <c r="AF407" s="161"/>
      <c r="AG407" s="161"/>
      <c r="AH407" s="161"/>
      <c r="AI407" s="161"/>
      <c r="AJ407" s="161"/>
      <c r="AK407" s="161"/>
      <c r="AL407" s="161"/>
      <c r="AM407" s="163"/>
      <c r="AN407" s="163"/>
      <c r="AO407" s="68"/>
      <c r="AP407" s="164"/>
    </row>
    <row r="408" ht="15.75" customHeight="1">
      <c r="A408" s="161"/>
      <c r="B408" s="161"/>
      <c r="C408" s="161"/>
      <c r="D408" s="161"/>
      <c r="E408" s="161"/>
      <c r="F408" s="161"/>
      <c r="G408" s="161"/>
      <c r="H408" s="161"/>
      <c r="I408" s="161"/>
      <c r="J408" s="161"/>
      <c r="K408" s="161"/>
      <c r="L408" s="161"/>
      <c r="M408" s="161"/>
      <c r="N408" s="161"/>
      <c r="O408" s="161"/>
      <c r="P408" s="161"/>
      <c r="Q408" s="161"/>
      <c r="R408" s="161"/>
      <c r="S408" s="161"/>
      <c r="T408" s="161"/>
      <c r="U408" s="162"/>
      <c r="V408" s="162"/>
      <c r="W408" s="161"/>
      <c r="X408" s="161"/>
      <c r="Y408" s="161"/>
      <c r="Z408" s="162"/>
      <c r="AA408" s="162"/>
      <c r="AB408" s="161"/>
      <c r="AC408" s="161"/>
      <c r="AD408" s="161"/>
      <c r="AE408" s="161"/>
      <c r="AF408" s="161"/>
      <c r="AG408" s="161"/>
      <c r="AH408" s="161"/>
      <c r="AI408" s="161"/>
      <c r="AJ408" s="161"/>
      <c r="AK408" s="161"/>
      <c r="AL408" s="161"/>
      <c r="AM408" s="163"/>
      <c r="AN408" s="163"/>
      <c r="AO408" s="68"/>
      <c r="AP408" s="164"/>
    </row>
    <row r="409" ht="15.75" customHeight="1">
      <c r="A409" s="161"/>
      <c r="B409" s="161"/>
      <c r="C409" s="161"/>
      <c r="D409" s="161"/>
      <c r="E409" s="161"/>
      <c r="F409" s="161"/>
      <c r="G409" s="161"/>
      <c r="H409" s="161"/>
      <c r="I409" s="161"/>
      <c r="J409" s="161"/>
      <c r="K409" s="161"/>
      <c r="L409" s="161"/>
      <c r="M409" s="161"/>
      <c r="N409" s="161"/>
      <c r="O409" s="161"/>
      <c r="P409" s="161"/>
      <c r="Q409" s="161"/>
      <c r="R409" s="161"/>
      <c r="S409" s="161"/>
      <c r="T409" s="161"/>
      <c r="U409" s="162"/>
      <c r="V409" s="162"/>
      <c r="W409" s="161"/>
      <c r="X409" s="161"/>
      <c r="Y409" s="161"/>
      <c r="Z409" s="162"/>
      <c r="AA409" s="162"/>
      <c r="AB409" s="161"/>
      <c r="AC409" s="161"/>
      <c r="AD409" s="161"/>
      <c r="AE409" s="161"/>
      <c r="AF409" s="161"/>
      <c r="AG409" s="161"/>
      <c r="AH409" s="161"/>
      <c r="AI409" s="161"/>
      <c r="AJ409" s="161"/>
      <c r="AK409" s="161"/>
      <c r="AL409" s="161"/>
      <c r="AM409" s="163"/>
      <c r="AN409" s="163"/>
      <c r="AO409" s="68"/>
      <c r="AP409" s="164"/>
    </row>
    <row r="410" ht="15.75" customHeight="1">
      <c r="A410" s="161"/>
      <c r="B410" s="161"/>
      <c r="C410" s="161"/>
      <c r="D410" s="161"/>
      <c r="E410" s="161"/>
      <c r="F410" s="161"/>
      <c r="G410" s="161"/>
      <c r="H410" s="161"/>
      <c r="I410" s="161"/>
      <c r="J410" s="161"/>
      <c r="K410" s="161"/>
      <c r="L410" s="161"/>
      <c r="M410" s="161"/>
      <c r="N410" s="161"/>
      <c r="O410" s="161"/>
      <c r="P410" s="161"/>
      <c r="Q410" s="161"/>
      <c r="R410" s="161"/>
      <c r="S410" s="161"/>
      <c r="T410" s="161"/>
      <c r="U410" s="162"/>
      <c r="V410" s="162"/>
      <c r="W410" s="161"/>
      <c r="X410" s="161"/>
      <c r="Y410" s="161"/>
      <c r="Z410" s="162"/>
      <c r="AA410" s="162"/>
      <c r="AB410" s="161"/>
      <c r="AC410" s="161"/>
      <c r="AD410" s="161"/>
      <c r="AE410" s="161"/>
      <c r="AF410" s="161"/>
      <c r="AG410" s="161"/>
      <c r="AH410" s="161"/>
      <c r="AI410" s="161"/>
      <c r="AJ410" s="161"/>
      <c r="AK410" s="161"/>
      <c r="AL410" s="161"/>
      <c r="AM410" s="163"/>
      <c r="AN410" s="163"/>
      <c r="AO410" s="68"/>
      <c r="AP410" s="164"/>
    </row>
    <row r="411" ht="15.75" customHeight="1">
      <c r="A411" s="161"/>
      <c r="B411" s="161"/>
      <c r="C411" s="161"/>
      <c r="D411" s="161"/>
      <c r="E411" s="161"/>
      <c r="F411" s="161"/>
      <c r="G411" s="161"/>
      <c r="H411" s="161"/>
      <c r="I411" s="161"/>
      <c r="J411" s="161"/>
      <c r="K411" s="161"/>
      <c r="L411" s="161"/>
      <c r="M411" s="161"/>
      <c r="N411" s="161"/>
      <c r="O411" s="161"/>
      <c r="P411" s="161"/>
      <c r="Q411" s="161"/>
      <c r="R411" s="161"/>
      <c r="S411" s="161"/>
      <c r="T411" s="161"/>
      <c r="U411" s="162"/>
      <c r="V411" s="162"/>
      <c r="W411" s="161"/>
      <c r="X411" s="161"/>
      <c r="Y411" s="161"/>
      <c r="Z411" s="162"/>
      <c r="AA411" s="162"/>
      <c r="AB411" s="161"/>
      <c r="AC411" s="161"/>
      <c r="AD411" s="161"/>
      <c r="AE411" s="161"/>
      <c r="AF411" s="161"/>
      <c r="AG411" s="161"/>
      <c r="AH411" s="161"/>
      <c r="AI411" s="161"/>
      <c r="AJ411" s="161"/>
      <c r="AK411" s="161"/>
      <c r="AL411" s="161"/>
      <c r="AM411" s="163"/>
      <c r="AN411" s="163"/>
      <c r="AO411" s="68"/>
      <c r="AP411" s="164"/>
    </row>
    <row r="412" ht="15.75" customHeight="1">
      <c r="A412" s="161"/>
      <c r="B412" s="161"/>
      <c r="C412" s="161"/>
      <c r="D412" s="161"/>
      <c r="E412" s="161"/>
      <c r="F412" s="161"/>
      <c r="G412" s="161"/>
      <c r="H412" s="161"/>
      <c r="I412" s="161"/>
      <c r="J412" s="161"/>
      <c r="K412" s="161"/>
      <c r="L412" s="161"/>
      <c r="M412" s="161"/>
      <c r="N412" s="161"/>
      <c r="O412" s="161"/>
      <c r="P412" s="161"/>
      <c r="Q412" s="161"/>
      <c r="R412" s="161"/>
      <c r="S412" s="161"/>
      <c r="T412" s="161"/>
      <c r="U412" s="162"/>
      <c r="V412" s="162"/>
      <c r="W412" s="161"/>
      <c r="X412" s="161"/>
      <c r="Y412" s="161"/>
      <c r="Z412" s="162"/>
      <c r="AA412" s="162"/>
      <c r="AB412" s="161"/>
      <c r="AC412" s="161"/>
      <c r="AD412" s="161"/>
      <c r="AE412" s="161"/>
      <c r="AF412" s="161"/>
      <c r="AG412" s="161"/>
      <c r="AH412" s="161"/>
      <c r="AI412" s="161"/>
      <c r="AJ412" s="161"/>
      <c r="AK412" s="161"/>
      <c r="AL412" s="161"/>
      <c r="AM412" s="163"/>
      <c r="AN412" s="163"/>
      <c r="AO412" s="68"/>
      <c r="AP412" s="164"/>
    </row>
    <row r="413" ht="15.75" customHeight="1">
      <c r="A413" s="161"/>
      <c r="B413" s="161"/>
      <c r="C413" s="161"/>
      <c r="D413" s="161"/>
      <c r="E413" s="161"/>
      <c r="F413" s="161"/>
      <c r="G413" s="161"/>
      <c r="H413" s="161"/>
      <c r="I413" s="161"/>
      <c r="J413" s="161"/>
      <c r="K413" s="161"/>
      <c r="L413" s="161"/>
      <c r="M413" s="161"/>
      <c r="N413" s="161"/>
      <c r="O413" s="161"/>
      <c r="P413" s="161"/>
      <c r="Q413" s="161"/>
      <c r="R413" s="161"/>
      <c r="S413" s="161"/>
      <c r="T413" s="161"/>
      <c r="U413" s="162"/>
      <c r="V413" s="162"/>
      <c r="W413" s="161"/>
      <c r="X413" s="161"/>
      <c r="Y413" s="161"/>
      <c r="Z413" s="162"/>
      <c r="AA413" s="162"/>
      <c r="AB413" s="161"/>
      <c r="AC413" s="161"/>
      <c r="AD413" s="161"/>
      <c r="AE413" s="161"/>
      <c r="AF413" s="161"/>
      <c r="AG413" s="161"/>
      <c r="AH413" s="161"/>
      <c r="AI413" s="161"/>
      <c r="AJ413" s="161"/>
      <c r="AK413" s="161"/>
      <c r="AL413" s="161"/>
      <c r="AM413" s="163"/>
      <c r="AN413" s="163"/>
      <c r="AO413" s="68"/>
      <c r="AP413" s="164"/>
    </row>
    <row r="414" ht="15.75" customHeight="1">
      <c r="A414" s="161"/>
      <c r="B414" s="161"/>
      <c r="C414" s="161"/>
      <c r="D414" s="161"/>
      <c r="E414" s="161"/>
      <c r="F414" s="161"/>
      <c r="G414" s="161"/>
      <c r="H414" s="161"/>
      <c r="I414" s="161"/>
      <c r="J414" s="161"/>
      <c r="K414" s="161"/>
      <c r="L414" s="161"/>
      <c r="M414" s="161"/>
      <c r="N414" s="161"/>
      <c r="O414" s="161"/>
      <c r="P414" s="161"/>
      <c r="Q414" s="161"/>
      <c r="R414" s="161"/>
      <c r="S414" s="161"/>
      <c r="T414" s="161"/>
      <c r="U414" s="162"/>
      <c r="V414" s="162"/>
      <c r="W414" s="161"/>
      <c r="X414" s="161"/>
      <c r="Y414" s="161"/>
      <c r="Z414" s="162"/>
      <c r="AA414" s="162"/>
      <c r="AB414" s="161"/>
      <c r="AC414" s="161"/>
      <c r="AD414" s="161"/>
      <c r="AE414" s="161"/>
      <c r="AF414" s="161"/>
      <c r="AG414" s="161"/>
      <c r="AH414" s="161"/>
      <c r="AI414" s="161"/>
      <c r="AJ414" s="161"/>
      <c r="AK414" s="161"/>
      <c r="AL414" s="161"/>
      <c r="AM414" s="163"/>
      <c r="AN414" s="163"/>
      <c r="AO414" s="68"/>
      <c r="AP414" s="164"/>
    </row>
    <row r="415" ht="15.75" customHeight="1">
      <c r="A415" s="161"/>
      <c r="B415" s="161"/>
      <c r="C415" s="161"/>
      <c r="D415" s="161"/>
      <c r="E415" s="161"/>
      <c r="F415" s="161"/>
      <c r="G415" s="161"/>
      <c r="H415" s="161"/>
      <c r="I415" s="161"/>
      <c r="J415" s="161"/>
      <c r="K415" s="161"/>
      <c r="L415" s="161"/>
      <c r="M415" s="161"/>
      <c r="N415" s="161"/>
      <c r="O415" s="161"/>
      <c r="P415" s="161"/>
      <c r="Q415" s="161"/>
      <c r="R415" s="161"/>
      <c r="S415" s="161"/>
      <c r="T415" s="161"/>
      <c r="U415" s="162"/>
      <c r="V415" s="162"/>
      <c r="W415" s="161"/>
      <c r="X415" s="161"/>
      <c r="Y415" s="161"/>
      <c r="Z415" s="162"/>
      <c r="AA415" s="162"/>
      <c r="AB415" s="161"/>
      <c r="AC415" s="161"/>
      <c r="AD415" s="161"/>
      <c r="AE415" s="161"/>
      <c r="AF415" s="161"/>
      <c r="AG415" s="161"/>
      <c r="AH415" s="161"/>
      <c r="AI415" s="161"/>
      <c r="AJ415" s="161"/>
      <c r="AK415" s="161"/>
      <c r="AL415" s="161"/>
      <c r="AM415" s="163"/>
      <c r="AN415" s="163"/>
      <c r="AO415" s="68"/>
      <c r="AP415" s="164"/>
    </row>
    <row r="416" ht="15.75" customHeight="1">
      <c r="A416" s="161"/>
      <c r="B416" s="161"/>
      <c r="C416" s="161"/>
      <c r="D416" s="161"/>
      <c r="E416" s="161"/>
      <c r="F416" s="161"/>
      <c r="G416" s="161"/>
      <c r="H416" s="161"/>
      <c r="I416" s="161"/>
      <c r="J416" s="161"/>
      <c r="K416" s="161"/>
      <c r="L416" s="161"/>
      <c r="M416" s="161"/>
      <c r="N416" s="161"/>
      <c r="O416" s="161"/>
      <c r="P416" s="161"/>
      <c r="Q416" s="161"/>
      <c r="R416" s="161"/>
      <c r="S416" s="161"/>
      <c r="T416" s="161"/>
      <c r="U416" s="162"/>
      <c r="V416" s="162"/>
      <c r="W416" s="161"/>
      <c r="X416" s="161"/>
      <c r="Y416" s="161"/>
      <c r="Z416" s="162"/>
      <c r="AA416" s="162"/>
      <c r="AB416" s="161"/>
      <c r="AC416" s="161"/>
      <c r="AD416" s="161"/>
      <c r="AE416" s="161"/>
      <c r="AF416" s="161"/>
      <c r="AG416" s="161"/>
      <c r="AH416" s="161"/>
      <c r="AI416" s="161"/>
      <c r="AJ416" s="161"/>
      <c r="AK416" s="161"/>
      <c r="AL416" s="161"/>
      <c r="AM416" s="163"/>
      <c r="AN416" s="163"/>
      <c r="AO416" s="68"/>
      <c r="AP416" s="164"/>
    </row>
    <row r="417" ht="15.75" customHeight="1">
      <c r="A417" s="161"/>
      <c r="B417" s="161"/>
      <c r="C417" s="161"/>
      <c r="D417" s="161"/>
      <c r="E417" s="161"/>
      <c r="F417" s="161"/>
      <c r="G417" s="161"/>
      <c r="H417" s="161"/>
      <c r="I417" s="161"/>
      <c r="J417" s="161"/>
      <c r="K417" s="161"/>
      <c r="L417" s="161"/>
      <c r="M417" s="161"/>
      <c r="N417" s="161"/>
      <c r="O417" s="161"/>
      <c r="P417" s="161"/>
      <c r="Q417" s="161"/>
      <c r="R417" s="161"/>
      <c r="S417" s="161"/>
      <c r="T417" s="161"/>
      <c r="U417" s="162"/>
      <c r="V417" s="162"/>
      <c r="W417" s="161"/>
      <c r="X417" s="161"/>
      <c r="Y417" s="161"/>
      <c r="Z417" s="162"/>
      <c r="AA417" s="162"/>
      <c r="AB417" s="161"/>
      <c r="AC417" s="161"/>
      <c r="AD417" s="161"/>
      <c r="AE417" s="161"/>
      <c r="AF417" s="161"/>
      <c r="AG417" s="161"/>
      <c r="AH417" s="161"/>
      <c r="AI417" s="161"/>
      <c r="AJ417" s="161"/>
      <c r="AK417" s="161"/>
      <c r="AL417" s="161"/>
      <c r="AM417" s="163"/>
      <c r="AN417" s="163"/>
      <c r="AO417" s="68"/>
      <c r="AP417" s="164"/>
    </row>
    <row r="418" ht="15.75" customHeight="1">
      <c r="A418" s="161"/>
      <c r="B418" s="161"/>
      <c r="C418" s="161"/>
      <c r="D418" s="161"/>
      <c r="E418" s="161"/>
      <c r="F418" s="161"/>
      <c r="G418" s="161"/>
      <c r="H418" s="161"/>
      <c r="I418" s="161"/>
      <c r="J418" s="161"/>
      <c r="K418" s="161"/>
      <c r="L418" s="161"/>
      <c r="M418" s="161"/>
      <c r="N418" s="161"/>
      <c r="O418" s="161"/>
      <c r="P418" s="161"/>
      <c r="Q418" s="161"/>
      <c r="R418" s="161"/>
      <c r="S418" s="161"/>
      <c r="T418" s="161"/>
      <c r="U418" s="162"/>
      <c r="V418" s="162"/>
      <c r="W418" s="161"/>
      <c r="X418" s="161"/>
      <c r="Y418" s="161"/>
      <c r="Z418" s="162"/>
      <c r="AA418" s="162"/>
      <c r="AB418" s="161"/>
      <c r="AC418" s="161"/>
      <c r="AD418" s="161"/>
      <c r="AE418" s="161"/>
      <c r="AF418" s="161"/>
      <c r="AG418" s="161"/>
      <c r="AH418" s="161"/>
      <c r="AI418" s="161"/>
      <c r="AJ418" s="161"/>
      <c r="AK418" s="161"/>
      <c r="AL418" s="161"/>
      <c r="AM418" s="163"/>
      <c r="AN418" s="163"/>
      <c r="AO418" s="68"/>
      <c r="AP418" s="164"/>
    </row>
    <row r="419" ht="15.75" customHeight="1">
      <c r="A419" s="161"/>
      <c r="B419" s="161"/>
      <c r="C419" s="161"/>
      <c r="D419" s="161"/>
      <c r="E419" s="161"/>
      <c r="F419" s="161"/>
      <c r="G419" s="161"/>
      <c r="H419" s="161"/>
      <c r="I419" s="161"/>
      <c r="J419" s="161"/>
      <c r="K419" s="161"/>
      <c r="L419" s="161"/>
      <c r="M419" s="161"/>
      <c r="N419" s="161"/>
      <c r="O419" s="161"/>
      <c r="P419" s="161"/>
      <c r="Q419" s="161"/>
      <c r="R419" s="161"/>
      <c r="S419" s="161"/>
      <c r="T419" s="161"/>
      <c r="U419" s="162"/>
      <c r="V419" s="162"/>
      <c r="W419" s="161"/>
      <c r="X419" s="161"/>
      <c r="Y419" s="161"/>
      <c r="Z419" s="162"/>
      <c r="AA419" s="162"/>
      <c r="AB419" s="161"/>
      <c r="AC419" s="161"/>
      <c r="AD419" s="161"/>
      <c r="AE419" s="161"/>
      <c r="AF419" s="161"/>
      <c r="AG419" s="161"/>
      <c r="AH419" s="161"/>
      <c r="AI419" s="161"/>
      <c r="AJ419" s="161"/>
      <c r="AK419" s="161"/>
      <c r="AL419" s="161"/>
      <c r="AM419" s="163"/>
      <c r="AN419" s="163"/>
      <c r="AO419" s="68"/>
      <c r="AP419" s="164"/>
    </row>
    <row r="420" ht="15.75" customHeight="1">
      <c r="A420" s="161"/>
      <c r="B420" s="161"/>
      <c r="C420" s="161"/>
      <c r="D420" s="161"/>
      <c r="E420" s="161"/>
      <c r="F420" s="161"/>
      <c r="G420" s="161"/>
      <c r="H420" s="161"/>
      <c r="I420" s="161"/>
      <c r="J420" s="161"/>
      <c r="K420" s="161"/>
      <c r="L420" s="161"/>
      <c r="M420" s="161"/>
      <c r="N420" s="161"/>
      <c r="O420" s="161"/>
      <c r="P420" s="161"/>
      <c r="Q420" s="161"/>
      <c r="R420" s="161"/>
      <c r="S420" s="161"/>
      <c r="T420" s="161"/>
      <c r="U420" s="162"/>
      <c r="V420" s="162"/>
      <c r="W420" s="161"/>
      <c r="X420" s="161"/>
      <c r="Y420" s="161"/>
      <c r="Z420" s="162"/>
      <c r="AA420" s="162"/>
      <c r="AB420" s="161"/>
      <c r="AC420" s="161"/>
      <c r="AD420" s="161"/>
      <c r="AE420" s="161"/>
      <c r="AF420" s="161"/>
      <c r="AG420" s="161"/>
      <c r="AH420" s="161"/>
      <c r="AI420" s="161"/>
      <c r="AJ420" s="161"/>
      <c r="AK420" s="161"/>
      <c r="AL420" s="161"/>
      <c r="AM420" s="163"/>
      <c r="AN420" s="163"/>
      <c r="AO420" s="68"/>
      <c r="AP420" s="164"/>
    </row>
    <row r="421" ht="15.75" customHeight="1">
      <c r="A421" s="161"/>
      <c r="B421" s="161"/>
      <c r="C421" s="161"/>
      <c r="D421" s="161"/>
      <c r="E421" s="161"/>
      <c r="F421" s="161"/>
      <c r="G421" s="161"/>
      <c r="H421" s="161"/>
      <c r="I421" s="161"/>
      <c r="J421" s="161"/>
      <c r="K421" s="161"/>
      <c r="L421" s="161"/>
      <c r="M421" s="161"/>
      <c r="N421" s="161"/>
      <c r="O421" s="161"/>
      <c r="P421" s="161"/>
      <c r="Q421" s="161"/>
      <c r="R421" s="161"/>
      <c r="S421" s="161"/>
      <c r="T421" s="161"/>
      <c r="U421" s="162"/>
      <c r="V421" s="162"/>
      <c r="W421" s="161"/>
      <c r="X421" s="161"/>
      <c r="Y421" s="161"/>
      <c r="Z421" s="162"/>
      <c r="AA421" s="162"/>
      <c r="AB421" s="161"/>
      <c r="AC421" s="161"/>
      <c r="AD421" s="161"/>
      <c r="AE421" s="161"/>
      <c r="AF421" s="161"/>
      <c r="AG421" s="161"/>
      <c r="AH421" s="161"/>
      <c r="AI421" s="161"/>
      <c r="AJ421" s="161"/>
      <c r="AK421" s="161"/>
      <c r="AL421" s="161"/>
      <c r="AM421" s="163"/>
      <c r="AN421" s="163"/>
      <c r="AO421" s="68"/>
      <c r="AP421" s="164"/>
    </row>
    <row r="422" ht="15.75" customHeight="1">
      <c r="A422" s="161"/>
      <c r="B422" s="161"/>
      <c r="C422" s="161"/>
      <c r="D422" s="161"/>
      <c r="E422" s="161"/>
      <c r="F422" s="161"/>
      <c r="G422" s="161"/>
      <c r="H422" s="161"/>
      <c r="I422" s="161"/>
      <c r="J422" s="161"/>
      <c r="K422" s="161"/>
      <c r="L422" s="161"/>
      <c r="M422" s="161"/>
      <c r="N422" s="161"/>
      <c r="O422" s="161"/>
      <c r="P422" s="161"/>
      <c r="Q422" s="161"/>
      <c r="R422" s="161"/>
      <c r="S422" s="161"/>
      <c r="T422" s="161"/>
      <c r="U422" s="162"/>
      <c r="V422" s="162"/>
      <c r="W422" s="161"/>
      <c r="X422" s="161"/>
      <c r="Y422" s="161"/>
      <c r="Z422" s="162"/>
      <c r="AA422" s="162"/>
      <c r="AB422" s="161"/>
      <c r="AC422" s="161"/>
      <c r="AD422" s="161"/>
      <c r="AE422" s="161"/>
      <c r="AF422" s="161"/>
      <c r="AG422" s="161"/>
      <c r="AH422" s="161"/>
      <c r="AI422" s="161"/>
      <c r="AJ422" s="161"/>
      <c r="AK422" s="161"/>
      <c r="AL422" s="161"/>
      <c r="AM422" s="163"/>
      <c r="AN422" s="163"/>
      <c r="AO422" s="68"/>
      <c r="AP422" s="164"/>
    </row>
    <row r="423" ht="15.75" customHeight="1">
      <c r="A423" s="161"/>
      <c r="B423" s="161"/>
      <c r="C423" s="161"/>
      <c r="D423" s="161"/>
      <c r="E423" s="161"/>
      <c r="F423" s="161"/>
      <c r="G423" s="161"/>
      <c r="H423" s="161"/>
      <c r="I423" s="161"/>
      <c r="J423" s="161"/>
      <c r="K423" s="161"/>
      <c r="L423" s="161"/>
      <c r="M423" s="161"/>
      <c r="N423" s="161"/>
      <c r="O423" s="161"/>
      <c r="P423" s="161"/>
      <c r="Q423" s="161"/>
      <c r="R423" s="161"/>
      <c r="S423" s="161"/>
      <c r="T423" s="161"/>
      <c r="U423" s="162"/>
      <c r="V423" s="162"/>
      <c r="W423" s="161"/>
      <c r="X423" s="161"/>
      <c r="Y423" s="161"/>
      <c r="Z423" s="162"/>
      <c r="AA423" s="162"/>
      <c r="AB423" s="161"/>
      <c r="AC423" s="161"/>
      <c r="AD423" s="161"/>
      <c r="AE423" s="161"/>
      <c r="AF423" s="161"/>
      <c r="AG423" s="161"/>
      <c r="AH423" s="161"/>
      <c r="AI423" s="161"/>
      <c r="AJ423" s="161"/>
      <c r="AK423" s="161"/>
      <c r="AL423" s="161"/>
      <c r="AM423" s="163"/>
      <c r="AN423" s="163"/>
      <c r="AO423" s="68"/>
      <c r="AP423" s="164"/>
    </row>
    <row r="424" ht="15.75" customHeight="1">
      <c r="A424" s="161"/>
      <c r="B424" s="161"/>
      <c r="C424" s="161"/>
      <c r="D424" s="161"/>
      <c r="E424" s="161"/>
      <c r="F424" s="161"/>
      <c r="G424" s="161"/>
      <c r="H424" s="161"/>
      <c r="I424" s="161"/>
      <c r="J424" s="161"/>
      <c r="K424" s="161"/>
      <c r="L424" s="161"/>
      <c r="M424" s="161"/>
      <c r="N424" s="161"/>
      <c r="O424" s="161"/>
      <c r="P424" s="161"/>
      <c r="Q424" s="161"/>
      <c r="R424" s="161"/>
      <c r="S424" s="161"/>
      <c r="T424" s="161"/>
      <c r="U424" s="162"/>
      <c r="V424" s="162"/>
      <c r="W424" s="161"/>
      <c r="X424" s="161"/>
      <c r="Y424" s="161"/>
      <c r="Z424" s="162"/>
      <c r="AA424" s="162"/>
      <c r="AB424" s="161"/>
      <c r="AC424" s="161"/>
      <c r="AD424" s="161"/>
      <c r="AE424" s="161"/>
      <c r="AF424" s="161"/>
      <c r="AG424" s="161"/>
      <c r="AH424" s="161"/>
      <c r="AI424" s="161"/>
      <c r="AJ424" s="161"/>
      <c r="AK424" s="161"/>
      <c r="AL424" s="161"/>
      <c r="AM424" s="163"/>
      <c r="AN424" s="163"/>
      <c r="AO424" s="68"/>
      <c r="AP424" s="164"/>
    </row>
    <row r="425" ht="15.75" customHeight="1">
      <c r="A425" s="161"/>
      <c r="B425" s="161"/>
      <c r="C425" s="161"/>
      <c r="D425" s="161"/>
      <c r="E425" s="161"/>
      <c r="F425" s="161"/>
      <c r="G425" s="161"/>
      <c r="H425" s="161"/>
      <c r="I425" s="161"/>
      <c r="J425" s="161"/>
      <c r="K425" s="161"/>
      <c r="L425" s="161"/>
      <c r="M425" s="161"/>
      <c r="N425" s="161"/>
      <c r="O425" s="161"/>
      <c r="P425" s="161"/>
      <c r="Q425" s="161"/>
      <c r="R425" s="161"/>
      <c r="S425" s="161"/>
      <c r="T425" s="161"/>
      <c r="U425" s="162"/>
      <c r="V425" s="162"/>
      <c r="W425" s="161"/>
      <c r="X425" s="161"/>
      <c r="Y425" s="161"/>
      <c r="Z425" s="162"/>
      <c r="AA425" s="162"/>
      <c r="AB425" s="161"/>
      <c r="AC425" s="161"/>
      <c r="AD425" s="161"/>
      <c r="AE425" s="161"/>
      <c r="AF425" s="161"/>
      <c r="AG425" s="161"/>
      <c r="AH425" s="161"/>
      <c r="AI425" s="161"/>
      <c r="AJ425" s="161"/>
      <c r="AK425" s="161"/>
      <c r="AL425" s="161"/>
      <c r="AM425" s="163"/>
      <c r="AN425" s="163"/>
      <c r="AO425" s="68"/>
      <c r="AP425" s="164"/>
    </row>
    <row r="426" ht="15.75" customHeight="1">
      <c r="A426" s="161"/>
      <c r="B426" s="161"/>
      <c r="C426" s="161"/>
      <c r="D426" s="161"/>
      <c r="E426" s="161"/>
      <c r="F426" s="161"/>
      <c r="G426" s="161"/>
      <c r="H426" s="161"/>
      <c r="I426" s="161"/>
      <c r="J426" s="161"/>
      <c r="K426" s="161"/>
      <c r="L426" s="161"/>
      <c r="M426" s="161"/>
      <c r="N426" s="161"/>
      <c r="O426" s="161"/>
      <c r="P426" s="161"/>
      <c r="Q426" s="161"/>
      <c r="R426" s="161"/>
      <c r="S426" s="161"/>
      <c r="T426" s="161"/>
      <c r="U426" s="162"/>
      <c r="V426" s="162"/>
      <c r="W426" s="161"/>
      <c r="X426" s="161"/>
      <c r="Y426" s="161"/>
      <c r="Z426" s="162"/>
      <c r="AA426" s="162"/>
      <c r="AB426" s="161"/>
      <c r="AC426" s="161"/>
      <c r="AD426" s="161"/>
      <c r="AE426" s="161"/>
      <c r="AF426" s="161"/>
      <c r="AG426" s="161"/>
      <c r="AH426" s="161"/>
      <c r="AI426" s="161"/>
      <c r="AJ426" s="161"/>
      <c r="AK426" s="161"/>
      <c r="AL426" s="161"/>
      <c r="AM426" s="163"/>
      <c r="AN426" s="163"/>
      <c r="AO426" s="68"/>
      <c r="AP426" s="164"/>
    </row>
    <row r="427" ht="15.75" customHeight="1">
      <c r="A427" s="161"/>
      <c r="B427" s="161"/>
      <c r="C427" s="161"/>
      <c r="D427" s="161"/>
      <c r="E427" s="161"/>
      <c r="F427" s="161"/>
      <c r="G427" s="161"/>
      <c r="H427" s="161"/>
      <c r="I427" s="161"/>
      <c r="J427" s="161"/>
      <c r="K427" s="161"/>
      <c r="L427" s="161"/>
      <c r="M427" s="161"/>
      <c r="N427" s="161"/>
      <c r="O427" s="161"/>
      <c r="P427" s="161"/>
      <c r="Q427" s="161"/>
      <c r="R427" s="161"/>
      <c r="S427" s="161"/>
      <c r="T427" s="161"/>
      <c r="U427" s="162"/>
      <c r="V427" s="162"/>
      <c r="W427" s="161"/>
      <c r="X427" s="161"/>
      <c r="Y427" s="161"/>
      <c r="Z427" s="162"/>
      <c r="AA427" s="162"/>
      <c r="AB427" s="161"/>
      <c r="AC427" s="161"/>
      <c r="AD427" s="161"/>
      <c r="AE427" s="161"/>
      <c r="AF427" s="161"/>
      <c r="AG427" s="161"/>
      <c r="AH427" s="161"/>
      <c r="AI427" s="161"/>
      <c r="AJ427" s="161"/>
      <c r="AK427" s="161"/>
      <c r="AL427" s="161"/>
      <c r="AM427" s="163"/>
      <c r="AN427" s="163"/>
      <c r="AO427" s="68"/>
      <c r="AP427" s="164"/>
    </row>
    <row r="428" ht="15.75" customHeight="1">
      <c r="A428" s="161"/>
      <c r="B428" s="161"/>
      <c r="C428" s="161"/>
      <c r="D428" s="161"/>
      <c r="E428" s="161"/>
      <c r="F428" s="161"/>
      <c r="G428" s="161"/>
      <c r="H428" s="161"/>
      <c r="I428" s="161"/>
      <c r="J428" s="161"/>
      <c r="K428" s="161"/>
      <c r="L428" s="161"/>
      <c r="M428" s="161"/>
      <c r="N428" s="161"/>
      <c r="O428" s="161"/>
      <c r="P428" s="161"/>
      <c r="Q428" s="161"/>
      <c r="R428" s="161"/>
      <c r="S428" s="161"/>
      <c r="T428" s="161"/>
      <c r="U428" s="162"/>
      <c r="V428" s="162"/>
      <c r="W428" s="161"/>
      <c r="X428" s="161"/>
      <c r="Y428" s="161"/>
      <c r="Z428" s="162"/>
      <c r="AA428" s="162"/>
      <c r="AB428" s="161"/>
      <c r="AC428" s="161"/>
      <c r="AD428" s="161"/>
      <c r="AE428" s="161"/>
      <c r="AF428" s="161"/>
      <c r="AG428" s="161"/>
      <c r="AH428" s="161"/>
      <c r="AI428" s="161"/>
      <c r="AJ428" s="161"/>
      <c r="AK428" s="161"/>
      <c r="AL428" s="161"/>
      <c r="AM428" s="163"/>
      <c r="AN428" s="163"/>
      <c r="AO428" s="68"/>
      <c r="AP428" s="164"/>
    </row>
    <row r="429" ht="15.75" customHeight="1">
      <c r="A429" s="161"/>
      <c r="B429" s="161"/>
      <c r="C429" s="161"/>
      <c r="D429" s="161"/>
      <c r="E429" s="161"/>
      <c r="F429" s="161"/>
      <c r="G429" s="161"/>
      <c r="H429" s="161"/>
      <c r="I429" s="161"/>
      <c r="J429" s="161"/>
      <c r="K429" s="161"/>
      <c r="L429" s="161"/>
      <c r="M429" s="161"/>
      <c r="N429" s="161"/>
      <c r="O429" s="161"/>
      <c r="P429" s="161"/>
      <c r="Q429" s="161"/>
      <c r="R429" s="161"/>
      <c r="S429" s="161"/>
      <c r="T429" s="161"/>
      <c r="U429" s="162"/>
      <c r="V429" s="162"/>
      <c r="W429" s="161"/>
      <c r="X429" s="161"/>
      <c r="Y429" s="161"/>
      <c r="Z429" s="162"/>
      <c r="AA429" s="162"/>
      <c r="AB429" s="161"/>
      <c r="AC429" s="161"/>
      <c r="AD429" s="161"/>
      <c r="AE429" s="161"/>
      <c r="AF429" s="161"/>
      <c r="AG429" s="161"/>
      <c r="AH429" s="161"/>
      <c r="AI429" s="161"/>
      <c r="AJ429" s="161"/>
      <c r="AK429" s="161"/>
      <c r="AL429" s="161"/>
      <c r="AM429" s="163"/>
      <c r="AN429" s="163"/>
      <c r="AO429" s="68"/>
      <c r="AP429" s="164"/>
    </row>
    <row r="430" ht="15.75" customHeight="1">
      <c r="A430" s="161"/>
      <c r="B430" s="161"/>
      <c r="C430" s="161"/>
      <c r="D430" s="161"/>
      <c r="E430" s="161"/>
      <c r="F430" s="161"/>
      <c r="G430" s="161"/>
      <c r="H430" s="161"/>
      <c r="I430" s="161"/>
      <c r="J430" s="161"/>
      <c r="K430" s="161"/>
      <c r="L430" s="161"/>
      <c r="M430" s="161"/>
      <c r="N430" s="161"/>
      <c r="O430" s="161"/>
      <c r="P430" s="161"/>
      <c r="Q430" s="161"/>
      <c r="R430" s="161"/>
      <c r="S430" s="161"/>
      <c r="T430" s="161"/>
      <c r="U430" s="162"/>
      <c r="V430" s="162"/>
      <c r="W430" s="161"/>
      <c r="X430" s="161"/>
      <c r="Y430" s="161"/>
      <c r="Z430" s="162"/>
      <c r="AA430" s="162"/>
      <c r="AB430" s="161"/>
      <c r="AC430" s="161"/>
      <c r="AD430" s="161"/>
      <c r="AE430" s="161"/>
      <c r="AF430" s="161"/>
      <c r="AG430" s="161"/>
      <c r="AH430" s="161"/>
      <c r="AI430" s="161"/>
      <c r="AJ430" s="161"/>
      <c r="AK430" s="161"/>
      <c r="AL430" s="161"/>
      <c r="AM430" s="163"/>
      <c r="AN430" s="163"/>
      <c r="AO430" s="68"/>
      <c r="AP430" s="164"/>
    </row>
    <row r="431" ht="15.75" customHeight="1">
      <c r="A431" s="161"/>
      <c r="B431" s="161"/>
      <c r="C431" s="161"/>
      <c r="D431" s="161"/>
      <c r="E431" s="161"/>
      <c r="F431" s="161"/>
      <c r="G431" s="161"/>
      <c r="H431" s="161"/>
      <c r="I431" s="161"/>
      <c r="J431" s="161"/>
      <c r="K431" s="161"/>
      <c r="L431" s="161"/>
      <c r="M431" s="161"/>
      <c r="N431" s="161"/>
      <c r="O431" s="161"/>
      <c r="P431" s="161"/>
      <c r="Q431" s="161"/>
      <c r="R431" s="161"/>
      <c r="S431" s="161"/>
      <c r="T431" s="161"/>
      <c r="U431" s="162"/>
      <c r="V431" s="162"/>
      <c r="W431" s="161"/>
      <c r="X431" s="161"/>
      <c r="Y431" s="161"/>
      <c r="Z431" s="162"/>
      <c r="AA431" s="162"/>
      <c r="AB431" s="161"/>
      <c r="AC431" s="161"/>
      <c r="AD431" s="161"/>
      <c r="AE431" s="161"/>
      <c r="AF431" s="161"/>
      <c r="AG431" s="161"/>
      <c r="AH431" s="161"/>
      <c r="AI431" s="161"/>
      <c r="AJ431" s="161"/>
      <c r="AK431" s="161"/>
      <c r="AL431" s="161"/>
      <c r="AM431" s="163"/>
      <c r="AN431" s="163"/>
      <c r="AO431" s="68"/>
      <c r="AP431" s="164"/>
    </row>
    <row r="432" ht="15.75" customHeight="1">
      <c r="A432" s="161"/>
      <c r="B432" s="161"/>
      <c r="C432" s="161"/>
      <c r="D432" s="161"/>
      <c r="E432" s="161"/>
      <c r="F432" s="161"/>
      <c r="G432" s="161"/>
      <c r="H432" s="161"/>
      <c r="I432" s="161"/>
      <c r="J432" s="161"/>
      <c r="K432" s="161"/>
      <c r="L432" s="161"/>
      <c r="M432" s="161"/>
      <c r="N432" s="161"/>
      <c r="O432" s="161"/>
      <c r="P432" s="161"/>
      <c r="Q432" s="161"/>
      <c r="R432" s="161"/>
      <c r="S432" s="161"/>
      <c r="T432" s="161"/>
      <c r="U432" s="162"/>
      <c r="V432" s="162"/>
      <c r="W432" s="161"/>
      <c r="X432" s="161"/>
      <c r="Y432" s="161"/>
      <c r="Z432" s="162"/>
      <c r="AA432" s="162"/>
      <c r="AB432" s="161"/>
      <c r="AC432" s="161"/>
      <c r="AD432" s="161"/>
      <c r="AE432" s="161"/>
      <c r="AF432" s="161"/>
      <c r="AG432" s="161"/>
      <c r="AH432" s="161"/>
      <c r="AI432" s="161"/>
      <c r="AJ432" s="161"/>
      <c r="AK432" s="161"/>
      <c r="AL432" s="161"/>
      <c r="AM432" s="163"/>
      <c r="AN432" s="163"/>
      <c r="AO432" s="68"/>
      <c r="AP432" s="164"/>
    </row>
    <row r="433" ht="15.75" customHeight="1">
      <c r="A433" s="161"/>
      <c r="B433" s="161"/>
      <c r="C433" s="161"/>
      <c r="D433" s="161"/>
      <c r="E433" s="161"/>
      <c r="F433" s="161"/>
      <c r="G433" s="161"/>
      <c r="H433" s="161"/>
      <c r="I433" s="161"/>
      <c r="J433" s="161"/>
      <c r="K433" s="161"/>
      <c r="L433" s="161"/>
      <c r="M433" s="161"/>
      <c r="N433" s="161"/>
      <c r="O433" s="161"/>
      <c r="P433" s="161"/>
      <c r="Q433" s="161"/>
      <c r="R433" s="161"/>
      <c r="S433" s="161"/>
      <c r="T433" s="161"/>
      <c r="U433" s="162"/>
      <c r="V433" s="162"/>
      <c r="W433" s="161"/>
      <c r="X433" s="161"/>
      <c r="Y433" s="161"/>
      <c r="Z433" s="162"/>
      <c r="AA433" s="162"/>
      <c r="AB433" s="161"/>
      <c r="AC433" s="161"/>
      <c r="AD433" s="161"/>
      <c r="AE433" s="161"/>
      <c r="AF433" s="161"/>
      <c r="AG433" s="161"/>
      <c r="AH433" s="161"/>
      <c r="AI433" s="161"/>
      <c r="AJ433" s="161"/>
      <c r="AK433" s="161"/>
      <c r="AL433" s="161"/>
      <c r="AM433" s="163"/>
      <c r="AN433" s="163"/>
      <c r="AO433" s="68"/>
      <c r="AP433" s="164"/>
    </row>
    <row r="434" ht="15.75" customHeight="1">
      <c r="A434" s="161"/>
      <c r="B434" s="161"/>
      <c r="C434" s="161"/>
      <c r="D434" s="161"/>
      <c r="E434" s="161"/>
      <c r="F434" s="161"/>
      <c r="G434" s="161"/>
      <c r="H434" s="161"/>
      <c r="I434" s="161"/>
      <c r="J434" s="161"/>
      <c r="K434" s="161"/>
      <c r="L434" s="161"/>
      <c r="M434" s="161"/>
      <c r="N434" s="161"/>
      <c r="O434" s="161"/>
      <c r="P434" s="161"/>
      <c r="Q434" s="161"/>
      <c r="R434" s="161"/>
      <c r="S434" s="161"/>
      <c r="T434" s="161"/>
      <c r="U434" s="162"/>
      <c r="V434" s="162"/>
      <c r="W434" s="161"/>
      <c r="X434" s="161"/>
      <c r="Y434" s="161"/>
      <c r="Z434" s="162"/>
      <c r="AA434" s="162"/>
      <c r="AB434" s="161"/>
      <c r="AC434" s="161"/>
      <c r="AD434" s="161"/>
      <c r="AE434" s="161"/>
      <c r="AF434" s="161"/>
      <c r="AG434" s="161"/>
      <c r="AH434" s="161"/>
      <c r="AI434" s="161"/>
      <c r="AJ434" s="161"/>
      <c r="AK434" s="161"/>
      <c r="AL434" s="161"/>
      <c r="AM434" s="163"/>
      <c r="AN434" s="163"/>
      <c r="AO434" s="68"/>
      <c r="AP434" s="164"/>
    </row>
    <row r="435" ht="15.75" customHeight="1">
      <c r="A435" s="161"/>
      <c r="B435" s="161"/>
      <c r="C435" s="161"/>
      <c r="D435" s="161"/>
      <c r="E435" s="161"/>
      <c r="F435" s="161"/>
      <c r="G435" s="161"/>
      <c r="H435" s="161"/>
      <c r="I435" s="161"/>
      <c r="J435" s="161"/>
      <c r="K435" s="161"/>
      <c r="L435" s="161"/>
      <c r="M435" s="161"/>
      <c r="N435" s="161"/>
      <c r="O435" s="161"/>
      <c r="P435" s="161"/>
      <c r="Q435" s="161"/>
      <c r="R435" s="161"/>
      <c r="S435" s="161"/>
      <c r="T435" s="161"/>
      <c r="U435" s="162"/>
      <c r="V435" s="162"/>
      <c r="W435" s="161"/>
      <c r="X435" s="161"/>
      <c r="Y435" s="161"/>
      <c r="Z435" s="162"/>
      <c r="AA435" s="162"/>
      <c r="AB435" s="161"/>
      <c r="AC435" s="161"/>
      <c r="AD435" s="161"/>
      <c r="AE435" s="161"/>
      <c r="AF435" s="161"/>
      <c r="AG435" s="161"/>
      <c r="AH435" s="161"/>
      <c r="AI435" s="161"/>
      <c r="AJ435" s="161"/>
      <c r="AK435" s="161"/>
      <c r="AL435" s="161"/>
      <c r="AM435" s="163"/>
      <c r="AN435" s="163"/>
      <c r="AO435" s="68"/>
      <c r="AP435" s="164"/>
    </row>
    <row r="436" ht="15.75" customHeight="1">
      <c r="A436" s="161"/>
      <c r="B436" s="161"/>
      <c r="C436" s="161"/>
      <c r="D436" s="161"/>
      <c r="E436" s="161"/>
      <c r="F436" s="161"/>
      <c r="G436" s="161"/>
      <c r="H436" s="161"/>
      <c r="I436" s="161"/>
      <c r="J436" s="161"/>
      <c r="K436" s="161"/>
      <c r="L436" s="161"/>
      <c r="M436" s="161"/>
      <c r="N436" s="161"/>
      <c r="O436" s="161"/>
      <c r="P436" s="161"/>
      <c r="Q436" s="161"/>
      <c r="R436" s="161"/>
      <c r="S436" s="161"/>
      <c r="T436" s="161"/>
      <c r="U436" s="162"/>
      <c r="V436" s="162"/>
      <c r="W436" s="161"/>
      <c r="X436" s="161"/>
      <c r="Y436" s="161"/>
      <c r="Z436" s="162"/>
      <c r="AA436" s="162"/>
      <c r="AB436" s="161"/>
      <c r="AC436" s="161"/>
      <c r="AD436" s="161"/>
      <c r="AE436" s="161"/>
      <c r="AF436" s="161"/>
      <c r="AG436" s="161"/>
      <c r="AH436" s="161"/>
      <c r="AI436" s="161"/>
      <c r="AJ436" s="161"/>
      <c r="AK436" s="161"/>
      <c r="AL436" s="161"/>
      <c r="AM436" s="163"/>
      <c r="AN436" s="163"/>
      <c r="AO436" s="68"/>
      <c r="AP436" s="164"/>
    </row>
    <row r="437" ht="15.75" customHeight="1">
      <c r="A437" s="161"/>
      <c r="B437" s="161"/>
      <c r="C437" s="161"/>
      <c r="D437" s="161"/>
      <c r="E437" s="161"/>
      <c r="F437" s="161"/>
      <c r="G437" s="161"/>
      <c r="H437" s="161"/>
      <c r="I437" s="161"/>
      <c r="J437" s="161"/>
      <c r="K437" s="161"/>
      <c r="L437" s="161"/>
      <c r="M437" s="161"/>
      <c r="N437" s="161"/>
      <c r="O437" s="161"/>
      <c r="P437" s="161"/>
      <c r="Q437" s="161"/>
      <c r="R437" s="161"/>
      <c r="S437" s="161"/>
      <c r="T437" s="161"/>
      <c r="U437" s="162"/>
      <c r="V437" s="162"/>
      <c r="W437" s="161"/>
      <c r="X437" s="161"/>
      <c r="Y437" s="161"/>
      <c r="Z437" s="162"/>
      <c r="AA437" s="162"/>
      <c r="AB437" s="161"/>
      <c r="AC437" s="161"/>
      <c r="AD437" s="161"/>
      <c r="AE437" s="161"/>
      <c r="AF437" s="161"/>
      <c r="AG437" s="161"/>
      <c r="AH437" s="161"/>
      <c r="AI437" s="161"/>
      <c r="AJ437" s="161"/>
      <c r="AK437" s="161"/>
      <c r="AL437" s="161"/>
      <c r="AM437" s="163"/>
      <c r="AN437" s="163"/>
      <c r="AO437" s="68"/>
      <c r="AP437" s="164"/>
    </row>
    <row r="438" ht="15.75" customHeight="1">
      <c r="A438" s="161"/>
      <c r="B438" s="161"/>
      <c r="C438" s="161"/>
      <c r="D438" s="161"/>
      <c r="E438" s="161"/>
      <c r="F438" s="161"/>
      <c r="G438" s="161"/>
      <c r="H438" s="161"/>
      <c r="I438" s="161"/>
      <c r="J438" s="161"/>
      <c r="K438" s="161"/>
      <c r="L438" s="161"/>
      <c r="M438" s="161"/>
      <c r="N438" s="161"/>
      <c r="O438" s="161"/>
      <c r="P438" s="161"/>
      <c r="Q438" s="161"/>
      <c r="R438" s="161"/>
      <c r="S438" s="161"/>
      <c r="T438" s="161"/>
      <c r="U438" s="162"/>
      <c r="V438" s="162"/>
      <c r="W438" s="161"/>
      <c r="X438" s="161"/>
      <c r="Y438" s="161"/>
      <c r="Z438" s="162"/>
      <c r="AA438" s="162"/>
      <c r="AB438" s="161"/>
      <c r="AC438" s="161"/>
      <c r="AD438" s="161"/>
      <c r="AE438" s="161"/>
      <c r="AF438" s="161"/>
      <c r="AG438" s="161"/>
      <c r="AH438" s="161"/>
      <c r="AI438" s="161"/>
      <c r="AJ438" s="161"/>
      <c r="AK438" s="161"/>
      <c r="AL438" s="161"/>
      <c r="AM438" s="163"/>
      <c r="AN438" s="163"/>
      <c r="AO438" s="68"/>
      <c r="AP438" s="164"/>
    </row>
    <row r="439" ht="15.75" customHeight="1">
      <c r="A439" s="161"/>
      <c r="B439" s="161"/>
      <c r="C439" s="161"/>
      <c r="D439" s="161"/>
      <c r="E439" s="161"/>
      <c r="F439" s="161"/>
      <c r="G439" s="161"/>
      <c r="H439" s="161"/>
      <c r="I439" s="161"/>
      <c r="J439" s="161"/>
      <c r="K439" s="161"/>
      <c r="L439" s="161"/>
      <c r="M439" s="161"/>
      <c r="N439" s="161"/>
      <c r="O439" s="161"/>
      <c r="P439" s="161"/>
      <c r="Q439" s="161"/>
      <c r="R439" s="161"/>
      <c r="S439" s="161"/>
      <c r="T439" s="161"/>
      <c r="U439" s="162"/>
      <c r="V439" s="162"/>
      <c r="W439" s="161"/>
      <c r="X439" s="161"/>
      <c r="Y439" s="161"/>
      <c r="Z439" s="162"/>
      <c r="AA439" s="162"/>
      <c r="AB439" s="161"/>
      <c r="AC439" s="161"/>
      <c r="AD439" s="161"/>
      <c r="AE439" s="161"/>
      <c r="AF439" s="161"/>
      <c r="AG439" s="161"/>
      <c r="AH439" s="161"/>
      <c r="AI439" s="161"/>
      <c r="AJ439" s="161"/>
      <c r="AK439" s="161"/>
      <c r="AL439" s="161"/>
      <c r="AM439" s="163"/>
      <c r="AN439" s="163"/>
      <c r="AO439" s="68"/>
      <c r="AP439" s="164"/>
    </row>
    <row r="440" ht="15.75" customHeight="1">
      <c r="A440" s="161"/>
      <c r="B440" s="161"/>
      <c r="C440" s="161"/>
      <c r="D440" s="161"/>
      <c r="E440" s="161"/>
      <c r="F440" s="161"/>
      <c r="G440" s="161"/>
      <c r="H440" s="161"/>
      <c r="I440" s="161"/>
      <c r="J440" s="161"/>
      <c r="K440" s="161"/>
      <c r="L440" s="161"/>
      <c r="M440" s="161"/>
      <c r="N440" s="161"/>
      <c r="O440" s="161"/>
      <c r="P440" s="161"/>
      <c r="Q440" s="161"/>
      <c r="R440" s="161"/>
      <c r="S440" s="161"/>
      <c r="T440" s="161"/>
      <c r="U440" s="162"/>
      <c r="V440" s="162"/>
      <c r="W440" s="161"/>
      <c r="X440" s="161"/>
      <c r="Y440" s="161"/>
      <c r="Z440" s="162"/>
      <c r="AA440" s="162"/>
      <c r="AB440" s="161"/>
      <c r="AC440" s="161"/>
      <c r="AD440" s="161"/>
      <c r="AE440" s="161"/>
      <c r="AF440" s="161"/>
      <c r="AG440" s="161"/>
      <c r="AH440" s="161"/>
      <c r="AI440" s="161"/>
      <c r="AJ440" s="161"/>
      <c r="AK440" s="161"/>
      <c r="AL440" s="161"/>
      <c r="AM440" s="163"/>
      <c r="AN440" s="163"/>
      <c r="AO440" s="68"/>
      <c r="AP440" s="164"/>
    </row>
    <row r="441" ht="15.75" customHeight="1">
      <c r="A441" s="161"/>
      <c r="B441" s="161"/>
      <c r="C441" s="161"/>
      <c r="D441" s="161"/>
      <c r="E441" s="161"/>
      <c r="F441" s="161"/>
      <c r="G441" s="161"/>
      <c r="H441" s="161"/>
      <c r="I441" s="161"/>
      <c r="J441" s="161"/>
      <c r="K441" s="161"/>
      <c r="L441" s="161"/>
      <c r="M441" s="161"/>
      <c r="N441" s="161"/>
      <c r="O441" s="161"/>
      <c r="P441" s="161"/>
      <c r="Q441" s="161"/>
      <c r="R441" s="161"/>
      <c r="S441" s="161"/>
      <c r="T441" s="161"/>
      <c r="U441" s="162"/>
      <c r="V441" s="162"/>
      <c r="W441" s="161"/>
      <c r="X441" s="161"/>
      <c r="Y441" s="161"/>
      <c r="Z441" s="162"/>
      <c r="AA441" s="162"/>
      <c r="AB441" s="161"/>
      <c r="AC441" s="161"/>
      <c r="AD441" s="161"/>
      <c r="AE441" s="165"/>
      <c r="AF441" s="161"/>
      <c r="AG441" s="161"/>
      <c r="AH441" s="161"/>
      <c r="AI441" s="161"/>
      <c r="AJ441" s="161"/>
      <c r="AK441" s="161"/>
      <c r="AL441" s="161"/>
      <c r="AM441" s="163"/>
      <c r="AN441" s="163"/>
      <c r="AO441" s="68"/>
      <c r="AP441" s="164"/>
    </row>
    <row r="442" ht="15.75" customHeight="1">
      <c r="A442" s="161"/>
      <c r="B442" s="161"/>
      <c r="C442" s="161"/>
      <c r="D442" s="161"/>
      <c r="E442" s="161"/>
      <c r="F442" s="161"/>
      <c r="G442" s="161"/>
      <c r="H442" s="161"/>
      <c r="I442" s="161"/>
      <c r="J442" s="161"/>
      <c r="K442" s="161"/>
      <c r="L442" s="161"/>
      <c r="M442" s="161"/>
      <c r="N442" s="161"/>
      <c r="O442" s="161"/>
      <c r="P442" s="161"/>
      <c r="Q442" s="161"/>
      <c r="R442" s="161"/>
      <c r="S442" s="161"/>
      <c r="T442" s="161"/>
      <c r="U442" s="162"/>
      <c r="V442" s="162"/>
      <c r="W442" s="161"/>
      <c r="X442" s="161"/>
      <c r="Y442" s="161"/>
      <c r="Z442" s="162"/>
      <c r="AA442" s="162"/>
      <c r="AB442" s="161"/>
      <c r="AC442" s="161"/>
      <c r="AD442" s="161"/>
      <c r="AE442" s="165"/>
      <c r="AF442" s="161"/>
      <c r="AG442" s="161"/>
      <c r="AH442" s="161"/>
      <c r="AI442" s="161"/>
      <c r="AJ442" s="161"/>
      <c r="AK442" s="161"/>
      <c r="AL442" s="161"/>
      <c r="AM442" s="163"/>
      <c r="AN442" s="163"/>
      <c r="AO442" s="68"/>
      <c r="AP442" s="164"/>
    </row>
    <row r="443" ht="15.75" customHeight="1">
      <c r="A443" s="161"/>
      <c r="B443" s="161"/>
      <c r="C443" s="161"/>
      <c r="D443" s="161"/>
      <c r="E443" s="161"/>
      <c r="F443" s="161"/>
      <c r="G443" s="161"/>
      <c r="H443" s="161"/>
      <c r="I443" s="161"/>
      <c r="J443" s="161"/>
      <c r="K443" s="161"/>
      <c r="L443" s="161"/>
      <c r="M443" s="161"/>
      <c r="N443" s="161"/>
      <c r="O443" s="161"/>
      <c r="P443" s="161"/>
      <c r="Q443" s="161"/>
      <c r="R443" s="161"/>
      <c r="S443" s="161"/>
      <c r="T443" s="161"/>
      <c r="U443" s="162"/>
      <c r="V443" s="162"/>
      <c r="W443" s="161"/>
      <c r="X443" s="161"/>
      <c r="Y443" s="161"/>
      <c r="Z443" s="162"/>
      <c r="AA443" s="162"/>
      <c r="AB443" s="161"/>
      <c r="AC443" s="161"/>
      <c r="AD443" s="161"/>
      <c r="AE443" s="165"/>
      <c r="AF443" s="161"/>
      <c r="AG443" s="161"/>
      <c r="AH443" s="161"/>
      <c r="AI443" s="161"/>
      <c r="AJ443" s="161"/>
      <c r="AK443" s="161"/>
      <c r="AL443" s="161"/>
      <c r="AM443" s="163"/>
      <c r="AN443" s="163"/>
      <c r="AO443" s="68"/>
      <c r="AP443" s="164"/>
    </row>
    <row r="444" ht="15.75" customHeight="1">
      <c r="A444" s="161"/>
      <c r="B444" s="161"/>
      <c r="C444" s="161"/>
      <c r="D444" s="161"/>
      <c r="E444" s="161"/>
      <c r="F444" s="161"/>
      <c r="G444" s="161"/>
      <c r="H444" s="161"/>
      <c r="I444" s="161"/>
      <c r="J444" s="161"/>
      <c r="K444" s="161"/>
      <c r="L444" s="161"/>
      <c r="M444" s="161"/>
      <c r="N444" s="161"/>
      <c r="O444" s="161"/>
      <c r="P444" s="161"/>
      <c r="Q444" s="161"/>
      <c r="R444" s="161"/>
      <c r="S444" s="161"/>
      <c r="T444" s="161"/>
      <c r="U444" s="162"/>
      <c r="V444" s="162"/>
      <c r="W444" s="161"/>
      <c r="X444" s="161"/>
      <c r="Y444" s="161"/>
      <c r="Z444" s="162"/>
      <c r="AA444" s="162"/>
      <c r="AB444" s="161"/>
      <c r="AC444" s="161"/>
      <c r="AD444" s="161"/>
      <c r="AE444" s="165"/>
      <c r="AF444" s="161"/>
      <c r="AG444" s="161"/>
      <c r="AH444" s="161"/>
      <c r="AI444" s="161"/>
      <c r="AJ444" s="161"/>
      <c r="AK444" s="161"/>
      <c r="AL444" s="161"/>
      <c r="AM444" s="163"/>
      <c r="AN444" s="163"/>
      <c r="AO444" s="68"/>
      <c r="AP444" s="164"/>
    </row>
    <row r="445" ht="15.75" customHeight="1">
      <c r="A445" s="161"/>
      <c r="B445" s="161"/>
      <c r="C445" s="161"/>
      <c r="D445" s="161"/>
      <c r="E445" s="161"/>
      <c r="F445" s="161"/>
      <c r="G445" s="161"/>
      <c r="H445" s="161"/>
      <c r="I445" s="161"/>
      <c r="J445" s="161"/>
      <c r="K445" s="161"/>
      <c r="L445" s="161"/>
      <c r="M445" s="161"/>
      <c r="N445" s="161"/>
      <c r="O445" s="161"/>
      <c r="P445" s="161"/>
      <c r="Q445" s="161"/>
      <c r="R445" s="161"/>
      <c r="S445" s="161"/>
      <c r="T445" s="161"/>
      <c r="U445" s="162"/>
      <c r="V445" s="162"/>
      <c r="W445" s="161"/>
      <c r="X445" s="161"/>
      <c r="Y445" s="161"/>
      <c r="Z445" s="162"/>
      <c r="AA445" s="162"/>
      <c r="AB445" s="161"/>
      <c r="AC445" s="161"/>
      <c r="AD445" s="161"/>
      <c r="AE445" s="161"/>
      <c r="AF445" s="161"/>
      <c r="AG445" s="161"/>
      <c r="AH445" s="161"/>
      <c r="AI445" s="161"/>
      <c r="AJ445" s="161"/>
      <c r="AK445" s="161"/>
      <c r="AL445" s="161"/>
      <c r="AM445" s="163"/>
      <c r="AN445" s="163"/>
      <c r="AO445" s="68"/>
      <c r="AP445" s="164"/>
    </row>
    <row r="446" ht="15.75" customHeight="1">
      <c r="A446" s="161"/>
      <c r="B446" s="161"/>
      <c r="C446" s="161"/>
      <c r="D446" s="161"/>
      <c r="E446" s="161"/>
      <c r="F446" s="161"/>
      <c r="G446" s="161"/>
      <c r="H446" s="161"/>
      <c r="I446" s="161"/>
      <c r="J446" s="161"/>
      <c r="K446" s="161"/>
      <c r="L446" s="161"/>
      <c r="M446" s="161"/>
      <c r="N446" s="161"/>
      <c r="O446" s="161"/>
      <c r="P446" s="161"/>
      <c r="Q446" s="161"/>
      <c r="R446" s="161"/>
      <c r="S446" s="161"/>
      <c r="T446" s="161"/>
      <c r="U446" s="162"/>
      <c r="V446" s="162"/>
      <c r="W446" s="161"/>
      <c r="X446" s="161"/>
      <c r="Y446" s="161"/>
      <c r="Z446" s="162"/>
      <c r="AA446" s="162"/>
      <c r="AB446" s="161"/>
      <c r="AC446" s="161"/>
      <c r="AD446" s="161"/>
      <c r="AE446" s="161"/>
      <c r="AF446" s="161"/>
      <c r="AG446" s="161"/>
      <c r="AH446" s="161"/>
      <c r="AI446" s="161"/>
      <c r="AJ446" s="161"/>
      <c r="AK446" s="161"/>
      <c r="AL446" s="161"/>
      <c r="AM446" s="163"/>
      <c r="AN446" s="163"/>
      <c r="AO446" s="68"/>
      <c r="AP446" s="164"/>
    </row>
    <row r="447" ht="15.75" customHeight="1">
      <c r="A447" s="161"/>
      <c r="B447" s="161"/>
      <c r="C447" s="161"/>
      <c r="D447" s="161"/>
      <c r="E447" s="161"/>
      <c r="F447" s="161"/>
      <c r="G447" s="161"/>
      <c r="H447" s="161"/>
      <c r="I447" s="161"/>
      <c r="J447" s="161"/>
      <c r="K447" s="161"/>
      <c r="L447" s="161"/>
      <c r="M447" s="161"/>
      <c r="N447" s="161"/>
      <c r="O447" s="161"/>
      <c r="P447" s="161"/>
      <c r="Q447" s="161"/>
      <c r="R447" s="161"/>
      <c r="S447" s="161"/>
      <c r="T447" s="161"/>
      <c r="U447" s="162"/>
      <c r="V447" s="162"/>
      <c r="W447" s="161"/>
      <c r="X447" s="161"/>
      <c r="Y447" s="161"/>
      <c r="Z447" s="162"/>
      <c r="AA447" s="162"/>
      <c r="AB447" s="161"/>
      <c r="AC447" s="161"/>
      <c r="AD447" s="161"/>
      <c r="AE447" s="161"/>
      <c r="AF447" s="161"/>
      <c r="AG447" s="161"/>
      <c r="AH447" s="161"/>
      <c r="AI447" s="161"/>
      <c r="AJ447" s="161"/>
      <c r="AK447" s="161"/>
      <c r="AL447" s="161"/>
      <c r="AM447" s="163"/>
      <c r="AN447" s="163"/>
      <c r="AO447" s="68"/>
      <c r="AP447" s="164"/>
    </row>
    <row r="448" ht="15.75" customHeight="1">
      <c r="A448" s="161"/>
      <c r="B448" s="161"/>
      <c r="C448" s="161"/>
      <c r="D448" s="161"/>
      <c r="E448" s="161"/>
      <c r="F448" s="161"/>
      <c r="G448" s="161"/>
      <c r="H448" s="161"/>
      <c r="I448" s="161"/>
      <c r="J448" s="161"/>
      <c r="K448" s="161"/>
      <c r="L448" s="161"/>
      <c r="M448" s="161"/>
      <c r="N448" s="161"/>
      <c r="O448" s="161"/>
      <c r="P448" s="161"/>
      <c r="Q448" s="161"/>
      <c r="R448" s="161"/>
      <c r="S448" s="161"/>
      <c r="T448" s="161"/>
      <c r="U448" s="162"/>
      <c r="V448" s="162"/>
      <c r="W448" s="161"/>
      <c r="X448" s="161"/>
      <c r="Y448" s="161"/>
      <c r="Z448" s="162"/>
      <c r="AA448" s="162"/>
      <c r="AB448" s="161"/>
      <c r="AC448" s="161"/>
      <c r="AD448" s="161"/>
      <c r="AE448" s="161"/>
      <c r="AF448" s="161"/>
      <c r="AG448" s="161"/>
      <c r="AH448" s="161"/>
      <c r="AI448" s="161"/>
      <c r="AJ448" s="161"/>
      <c r="AK448" s="161"/>
      <c r="AL448" s="161"/>
      <c r="AM448" s="163"/>
      <c r="AN448" s="163"/>
      <c r="AO448" s="68"/>
      <c r="AP448" s="164"/>
    </row>
    <row r="449" ht="15.75" customHeight="1">
      <c r="A449" s="161"/>
      <c r="B449" s="161"/>
      <c r="C449" s="161"/>
      <c r="D449" s="161"/>
      <c r="E449" s="161"/>
      <c r="F449" s="161"/>
      <c r="G449" s="161"/>
      <c r="H449" s="161"/>
      <c r="I449" s="161"/>
      <c r="J449" s="161"/>
      <c r="K449" s="161"/>
      <c r="L449" s="161"/>
      <c r="M449" s="161"/>
      <c r="N449" s="161"/>
      <c r="O449" s="161"/>
      <c r="P449" s="161"/>
      <c r="Q449" s="161"/>
      <c r="R449" s="161"/>
      <c r="S449" s="161"/>
      <c r="T449" s="161"/>
      <c r="U449" s="162"/>
      <c r="V449" s="162"/>
      <c r="W449" s="161"/>
      <c r="X449" s="161"/>
      <c r="Y449" s="161"/>
      <c r="Z449" s="162"/>
      <c r="AA449" s="162"/>
      <c r="AB449" s="161"/>
      <c r="AC449" s="161"/>
      <c r="AD449" s="161"/>
      <c r="AE449" s="161"/>
      <c r="AF449" s="161"/>
      <c r="AG449" s="161"/>
      <c r="AH449" s="161"/>
      <c r="AI449" s="161"/>
      <c r="AJ449" s="161"/>
      <c r="AK449" s="161"/>
      <c r="AL449" s="161"/>
      <c r="AM449" s="163"/>
      <c r="AN449" s="163"/>
      <c r="AO449" s="68"/>
      <c r="AP449" s="164"/>
    </row>
    <row r="450" ht="15.75" customHeight="1">
      <c r="A450" s="161"/>
      <c r="B450" s="161"/>
      <c r="C450" s="161"/>
      <c r="D450" s="161"/>
      <c r="E450" s="161"/>
      <c r="F450" s="161"/>
      <c r="G450" s="161"/>
      <c r="H450" s="161"/>
      <c r="I450" s="161"/>
      <c r="J450" s="161"/>
      <c r="K450" s="161"/>
      <c r="L450" s="161"/>
      <c r="M450" s="161"/>
      <c r="N450" s="161"/>
      <c r="O450" s="161"/>
      <c r="P450" s="161"/>
      <c r="Q450" s="161"/>
      <c r="R450" s="161"/>
      <c r="S450" s="161"/>
      <c r="T450" s="161"/>
      <c r="U450" s="162"/>
      <c r="V450" s="162"/>
      <c r="W450" s="161"/>
      <c r="X450" s="161"/>
      <c r="Y450" s="161"/>
      <c r="Z450" s="162"/>
      <c r="AA450" s="162"/>
      <c r="AB450" s="161"/>
      <c r="AC450" s="161"/>
      <c r="AD450" s="161"/>
      <c r="AE450" s="161"/>
      <c r="AF450" s="161"/>
      <c r="AG450" s="161"/>
      <c r="AH450" s="161"/>
      <c r="AI450" s="161"/>
      <c r="AJ450" s="161"/>
      <c r="AK450" s="161"/>
      <c r="AL450" s="161"/>
      <c r="AM450" s="163"/>
      <c r="AN450" s="163"/>
      <c r="AO450" s="68"/>
      <c r="AP450" s="164"/>
    </row>
    <row r="451" ht="15.75" customHeight="1">
      <c r="A451" s="161"/>
      <c r="B451" s="161"/>
      <c r="C451" s="161"/>
      <c r="D451" s="161"/>
      <c r="E451" s="161"/>
      <c r="F451" s="161"/>
      <c r="G451" s="161"/>
      <c r="H451" s="161"/>
      <c r="I451" s="161"/>
      <c r="J451" s="161"/>
      <c r="K451" s="161"/>
      <c r="L451" s="161"/>
      <c r="M451" s="161"/>
      <c r="N451" s="161"/>
      <c r="O451" s="161"/>
      <c r="P451" s="161"/>
      <c r="Q451" s="161"/>
      <c r="R451" s="161"/>
      <c r="S451" s="161"/>
      <c r="T451" s="161"/>
      <c r="U451" s="162"/>
      <c r="V451" s="162"/>
      <c r="W451" s="161"/>
      <c r="X451" s="161"/>
      <c r="Y451" s="161"/>
      <c r="Z451" s="162"/>
      <c r="AA451" s="162"/>
      <c r="AB451" s="161"/>
      <c r="AC451" s="161"/>
      <c r="AD451" s="161"/>
      <c r="AE451" s="161"/>
      <c r="AF451" s="161"/>
      <c r="AG451" s="161"/>
      <c r="AH451" s="161"/>
      <c r="AI451" s="161"/>
      <c r="AJ451" s="161"/>
      <c r="AK451" s="161"/>
      <c r="AL451" s="161"/>
      <c r="AM451" s="163"/>
      <c r="AN451" s="163"/>
      <c r="AO451" s="68"/>
      <c r="AP451" s="164"/>
    </row>
    <row r="452" ht="15.75" customHeight="1">
      <c r="A452" s="161"/>
      <c r="B452" s="161"/>
      <c r="C452" s="161"/>
      <c r="D452" s="161"/>
      <c r="E452" s="161"/>
      <c r="F452" s="161"/>
      <c r="G452" s="161"/>
      <c r="H452" s="161"/>
      <c r="I452" s="161"/>
      <c r="J452" s="161"/>
      <c r="K452" s="161"/>
      <c r="L452" s="161"/>
      <c r="M452" s="161"/>
      <c r="N452" s="161"/>
      <c r="O452" s="161"/>
      <c r="P452" s="161"/>
      <c r="Q452" s="161"/>
      <c r="R452" s="161"/>
      <c r="S452" s="161"/>
      <c r="T452" s="161"/>
      <c r="U452" s="162"/>
      <c r="V452" s="162"/>
      <c r="W452" s="161"/>
      <c r="X452" s="161"/>
      <c r="Y452" s="161"/>
      <c r="Z452" s="162"/>
      <c r="AA452" s="162"/>
      <c r="AB452" s="161"/>
      <c r="AC452" s="161"/>
      <c r="AD452" s="161"/>
      <c r="AE452" s="161"/>
      <c r="AF452" s="161"/>
      <c r="AG452" s="161"/>
      <c r="AH452" s="161"/>
      <c r="AI452" s="161"/>
      <c r="AJ452" s="161"/>
      <c r="AK452" s="161"/>
      <c r="AL452" s="161"/>
      <c r="AM452" s="163"/>
      <c r="AN452" s="163"/>
      <c r="AO452" s="68"/>
      <c r="AP452" s="164"/>
    </row>
    <row r="453" ht="15.75" customHeight="1">
      <c r="A453" s="161"/>
      <c r="B453" s="161"/>
      <c r="C453" s="161"/>
      <c r="D453" s="161"/>
      <c r="E453" s="161"/>
      <c r="F453" s="161"/>
      <c r="G453" s="161"/>
      <c r="H453" s="161"/>
      <c r="I453" s="161"/>
      <c r="J453" s="161"/>
      <c r="K453" s="161"/>
      <c r="L453" s="161"/>
      <c r="M453" s="161"/>
      <c r="N453" s="161"/>
      <c r="O453" s="161"/>
      <c r="P453" s="161"/>
      <c r="Q453" s="161"/>
      <c r="R453" s="161"/>
      <c r="S453" s="161"/>
      <c r="T453" s="161"/>
      <c r="U453" s="162"/>
      <c r="V453" s="162"/>
      <c r="W453" s="161"/>
      <c r="X453" s="161"/>
      <c r="Y453" s="161"/>
      <c r="Z453" s="162"/>
      <c r="AA453" s="162"/>
      <c r="AB453" s="161"/>
      <c r="AC453" s="161"/>
      <c r="AD453" s="161"/>
      <c r="AE453" s="161"/>
      <c r="AF453" s="161"/>
      <c r="AG453" s="161"/>
      <c r="AH453" s="161"/>
      <c r="AI453" s="161"/>
      <c r="AJ453" s="161"/>
      <c r="AK453" s="161"/>
      <c r="AL453" s="161"/>
      <c r="AM453" s="163"/>
      <c r="AN453" s="163"/>
      <c r="AO453" s="68"/>
      <c r="AP453" s="164"/>
    </row>
    <row r="454" ht="15.75" customHeight="1">
      <c r="A454" s="161"/>
      <c r="B454" s="161"/>
      <c r="C454" s="161"/>
      <c r="D454" s="161"/>
      <c r="E454" s="161"/>
      <c r="F454" s="161"/>
      <c r="G454" s="161"/>
      <c r="H454" s="161"/>
      <c r="I454" s="161"/>
      <c r="J454" s="161"/>
      <c r="K454" s="161"/>
      <c r="L454" s="161"/>
      <c r="M454" s="161"/>
      <c r="N454" s="161"/>
      <c r="O454" s="161"/>
      <c r="P454" s="161"/>
      <c r="Q454" s="161"/>
      <c r="R454" s="161"/>
      <c r="S454" s="161"/>
      <c r="T454" s="161"/>
      <c r="U454" s="162"/>
      <c r="V454" s="162"/>
      <c r="W454" s="161"/>
      <c r="X454" s="161"/>
      <c r="Y454" s="161"/>
      <c r="Z454" s="162"/>
      <c r="AA454" s="162"/>
      <c r="AB454" s="161"/>
      <c r="AC454" s="161"/>
      <c r="AD454" s="161"/>
      <c r="AE454" s="161"/>
      <c r="AF454" s="161"/>
      <c r="AG454" s="161"/>
      <c r="AH454" s="161"/>
      <c r="AI454" s="161"/>
      <c r="AJ454" s="161"/>
      <c r="AK454" s="161"/>
      <c r="AL454" s="161"/>
      <c r="AM454" s="163"/>
      <c r="AN454" s="163"/>
      <c r="AO454" s="68"/>
      <c r="AP454" s="164"/>
    </row>
    <row r="455" ht="15.75" customHeight="1">
      <c r="A455" s="161"/>
      <c r="B455" s="161"/>
      <c r="C455" s="161"/>
      <c r="D455" s="161"/>
      <c r="E455" s="161"/>
      <c r="F455" s="161"/>
      <c r="G455" s="161"/>
      <c r="H455" s="161"/>
      <c r="I455" s="161"/>
      <c r="J455" s="161"/>
      <c r="K455" s="161"/>
      <c r="L455" s="161"/>
      <c r="M455" s="161"/>
      <c r="N455" s="161"/>
      <c r="O455" s="161"/>
      <c r="P455" s="161"/>
      <c r="Q455" s="161"/>
      <c r="R455" s="161"/>
      <c r="S455" s="161"/>
      <c r="T455" s="161"/>
      <c r="U455" s="162"/>
      <c r="V455" s="162"/>
      <c r="W455" s="161"/>
      <c r="X455" s="161"/>
      <c r="Y455" s="161"/>
      <c r="Z455" s="162"/>
      <c r="AA455" s="162"/>
      <c r="AB455" s="161"/>
      <c r="AC455" s="161"/>
      <c r="AD455" s="161"/>
      <c r="AE455" s="161"/>
      <c r="AF455" s="161"/>
      <c r="AG455" s="161"/>
      <c r="AH455" s="161"/>
      <c r="AI455" s="161"/>
      <c r="AJ455" s="161"/>
      <c r="AK455" s="161"/>
      <c r="AL455" s="161"/>
      <c r="AM455" s="163"/>
      <c r="AN455" s="163"/>
      <c r="AO455" s="68"/>
      <c r="AP455" s="164"/>
    </row>
    <row r="456" ht="15.75" customHeight="1">
      <c r="A456" s="161"/>
      <c r="B456" s="161"/>
      <c r="C456" s="161"/>
      <c r="D456" s="161"/>
      <c r="E456" s="161"/>
      <c r="F456" s="161"/>
      <c r="G456" s="161"/>
      <c r="H456" s="161"/>
      <c r="I456" s="161"/>
      <c r="J456" s="161"/>
      <c r="K456" s="161"/>
      <c r="L456" s="161"/>
      <c r="M456" s="161"/>
      <c r="N456" s="161"/>
      <c r="O456" s="161"/>
      <c r="P456" s="161"/>
      <c r="Q456" s="161"/>
      <c r="R456" s="161"/>
      <c r="S456" s="161"/>
      <c r="T456" s="161"/>
      <c r="U456" s="162"/>
      <c r="V456" s="162"/>
      <c r="W456" s="161"/>
      <c r="X456" s="161"/>
      <c r="Y456" s="161"/>
      <c r="Z456" s="162"/>
      <c r="AA456" s="162"/>
      <c r="AB456" s="161"/>
      <c r="AC456" s="161"/>
      <c r="AD456" s="161"/>
      <c r="AE456" s="161"/>
      <c r="AF456" s="161"/>
      <c r="AG456" s="161"/>
      <c r="AH456" s="161"/>
      <c r="AI456" s="161"/>
      <c r="AJ456" s="161"/>
      <c r="AK456" s="161"/>
      <c r="AL456" s="161"/>
      <c r="AM456" s="163"/>
      <c r="AN456" s="163"/>
      <c r="AO456" s="68"/>
      <c r="AP456" s="164"/>
    </row>
    <row r="457" ht="15.75" customHeight="1">
      <c r="A457" s="161"/>
      <c r="B457" s="161"/>
      <c r="C457" s="161"/>
      <c r="D457" s="161"/>
      <c r="E457" s="161"/>
      <c r="F457" s="161"/>
      <c r="G457" s="161"/>
      <c r="H457" s="161"/>
      <c r="I457" s="161"/>
      <c r="J457" s="161"/>
      <c r="K457" s="161"/>
      <c r="L457" s="161"/>
      <c r="M457" s="161"/>
      <c r="N457" s="161"/>
      <c r="O457" s="161"/>
      <c r="P457" s="161"/>
      <c r="Q457" s="161"/>
      <c r="R457" s="161"/>
      <c r="S457" s="161"/>
      <c r="T457" s="161"/>
      <c r="U457" s="162"/>
      <c r="V457" s="162"/>
      <c r="W457" s="161"/>
      <c r="X457" s="161"/>
      <c r="Y457" s="161"/>
      <c r="Z457" s="162"/>
      <c r="AA457" s="162"/>
      <c r="AB457" s="161"/>
      <c r="AC457" s="161"/>
      <c r="AD457" s="161"/>
      <c r="AE457" s="161"/>
      <c r="AF457" s="161"/>
      <c r="AG457" s="161"/>
      <c r="AH457" s="161"/>
      <c r="AI457" s="161"/>
      <c r="AJ457" s="161"/>
      <c r="AK457" s="161"/>
      <c r="AL457" s="161"/>
      <c r="AM457" s="163"/>
      <c r="AN457" s="163"/>
      <c r="AO457" s="68"/>
      <c r="AP457" s="164"/>
    </row>
    <row r="458" ht="15.75" customHeight="1">
      <c r="A458" s="161"/>
      <c r="B458" s="161"/>
      <c r="C458" s="161"/>
      <c r="D458" s="161"/>
      <c r="E458" s="161"/>
      <c r="F458" s="161"/>
      <c r="G458" s="161"/>
      <c r="H458" s="161"/>
      <c r="I458" s="161"/>
      <c r="J458" s="161"/>
      <c r="K458" s="161"/>
      <c r="L458" s="161"/>
      <c r="M458" s="161"/>
      <c r="N458" s="161"/>
      <c r="O458" s="161"/>
      <c r="P458" s="161"/>
      <c r="Q458" s="161"/>
      <c r="R458" s="161"/>
      <c r="S458" s="161"/>
      <c r="T458" s="161"/>
      <c r="U458" s="162"/>
      <c r="V458" s="162"/>
      <c r="W458" s="161"/>
      <c r="X458" s="161"/>
      <c r="Y458" s="161"/>
      <c r="Z458" s="162"/>
      <c r="AA458" s="162"/>
      <c r="AB458" s="161"/>
      <c r="AC458" s="161"/>
      <c r="AD458" s="161"/>
      <c r="AE458" s="161"/>
      <c r="AF458" s="161"/>
      <c r="AG458" s="161"/>
      <c r="AH458" s="161"/>
      <c r="AI458" s="161"/>
      <c r="AJ458" s="161"/>
      <c r="AK458" s="161"/>
      <c r="AL458" s="161"/>
      <c r="AM458" s="163"/>
      <c r="AN458" s="163"/>
      <c r="AO458" s="68"/>
      <c r="AP458" s="164"/>
    </row>
    <row r="459" ht="15.75" customHeight="1">
      <c r="A459" s="161"/>
      <c r="B459" s="161"/>
      <c r="C459" s="161"/>
      <c r="D459" s="161"/>
      <c r="E459" s="161"/>
      <c r="F459" s="161"/>
      <c r="G459" s="161"/>
      <c r="H459" s="161"/>
      <c r="I459" s="161"/>
      <c r="J459" s="161"/>
      <c r="K459" s="161"/>
      <c r="L459" s="161"/>
      <c r="M459" s="161"/>
      <c r="N459" s="161"/>
      <c r="O459" s="161"/>
      <c r="P459" s="161"/>
      <c r="Q459" s="161"/>
      <c r="R459" s="161"/>
      <c r="S459" s="161"/>
      <c r="T459" s="161"/>
      <c r="U459" s="162"/>
      <c r="V459" s="162"/>
      <c r="W459" s="161"/>
      <c r="X459" s="161"/>
      <c r="Y459" s="161"/>
      <c r="Z459" s="162"/>
      <c r="AA459" s="162"/>
      <c r="AB459" s="161"/>
      <c r="AC459" s="161"/>
      <c r="AD459" s="161"/>
      <c r="AE459" s="161"/>
      <c r="AF459" s="161"/>
      <c r="AG459" s="161"/>
      <c r="AH459" s="161"/>
      <c r="AI459" s="161"/>
      <c r="AJ459" s="161"/>
      <c r="AK459" s="161"/>
      <c r="AL459" s="161"/>
      <c r="AM459" s="163"/>
      <c r="AN459" s="163"/>
      <c r="AO459" s="68"/>
      <c r="AP459" s="164"/>
    </row>
    <row r="460" ht="15.75" customHeight="1">
      <c r="A460" s="161"/>
      <c r="B460" s="161"/>
      <c r="C460" s="161"/>
      <c r="D460" s="161"/>
      <c r="E460" s="161"/>
      <c r="F460" s="161"/>
      <c r="G460" s="161"/>
      <c r="H460" s="161"/>
      <c r="I460" s="161"/>
      <c r="J460" s="161"/>
      <c r="K460" s="161"/>
      <c r="L460" s="161"/>
      <c r="M460" s="161"/>
      <c r="N460" s="161"/>
      <c r="O460" s="161"/>
      <c r="P460" s="161"/>
      <c r="Q460" s="161"/>
      <c r="R460" s="161"/>
      <c r="S460" s="161"/>
      <c r="T460" s="161"/>
      <c r="U460" s="162"/>
      <c r="V460" s="162"/>
      <c r="W460" s="161"/>
      <c r="X460" s="161"/>
      <c r="Y460" s="161"/>
      <c r="Z460" s="162"/>
      <c r="AA460" s="162"/>
      <c r="AB460" s="161"/>
      <c r="AC460" s="161"/>
      <c r="AD460" s="161"/>
      <c r="AE460" s="161"/>
      <c r="AF460" s="161"/>
      <c r="AG460" s="161"/>
      <c r="AH460" s="161"/>
      <c r="AI460" s="161"/>
      <c r="AJ460" s="161"/>
      <c r="AK460" s="161"/>
      <c r="AL460" s="161"/>
      <c r="AM460" s="163"/>
      <c r="AN460" s="163"/>
      <c r="AO460" s="68"/>
      <c r="AP460" s="164"/>
    </row>
    <row r="461" ht="15.75" customHeight="1">
      <c r="A461" s="161"/>
      <c r="B461" s="161"/>
      <c r="C461" s="161"/>
      <c r="D461" s="161"/>
      <c r="E461" s="161"/>
      <c r="F461" s="161"/>
      <c r="G461" s="161"/>
      <c r="H461" s="161"/>
      <c r="I461" s="161"/>
      <c r="J461" s="161"/>
      <c r="K461" s="161"/>
      <c r="L461" s="161"/>
      <c r="M461" s="161"/>
      <c r="N461" s="161"/>
      <c r="O461" s="161"/>
      <c r="P461" s="161"/>
      <c r="Q461" s="161"/>
      <c r="R461" s="161"/>
      <c r="S461" s="161"/>
      <c r="T461" s="161"/>
      <c r="U461" s="162"/>
      <c r="V461" s="162"/>
      <c r="W461" s="161"/>
      <c r="X461" s="161"/>
      <c r="Y461" s="161"/>
      <c r="Z461" s="162"/>
      <c r="AA461" s="162"/>
      <c r="AB461" s="161"/>
      <c r="AC461" s="161"/>
      <c r="AD461" s="161"/>
      <c r="AE461" s="161"/>
      <c r="AF461" s="161"/>
      <c r="AG461" s="161"/>
      <c r="AH461" s="161"/>
      <c r="AI461" s="161"/>
      <c r="AJ461" s="161"/>
      <c r="AK461" s="161"/>
      <c r="AL461" s="161"/>
      <c r="AM461" s="163"/>
      <c r="AN461" s="163"/>
      <c r="AO461" s="68"/>
      <c r="AP461" s="164"/>
    </row>
    <row r="462" ht="15.75" customHeight="1">
      <c r="A462" s="161"/>
      <c r="B462" s="161"/>
      <c r="C462" s="161"/>
      <c r="D462" s="161"/>
      <c r="E462" s="161"/>
      <c r="F462" s="161"/>
      <c r="G462" s="161"/>
      <c r="H462" s="161"/>
      <c r="I462" s="161"/>
      <c r="J462" s="161"/>
      <c r="K462" s="161"/>
      <c r="L462" s="161"/>
      <c r="M462" s="161"/>
      <c r="N462" s="161"/>
      <c r="O462" s="161"/>
      <c r="P462" s="161"/>
      <c r="Q462" s="161"/>
      <c r="R462" s="161"/>
      <c r="S462" s="161"/>
      <c r="T462" s="161"/>
      <c r="U462" s="162"/>
      <c r="V462" s="162"/>
      <c r="W462" s="161"/>
      <c r="X462" s="161"/>
      <c r="Y462" s="161"/>
      <c r="Z462" s="162"/>
      <c r="AA462" s="162"/>
      <c r="AB462" s="161"/>
      <c r="AC462" s="161"/>
      <c r="AD462" s="161"/>
      <c r="AE462" s="161"/>
      <c r="AF462" s="161"/>
      <c r="AG462" s="161"/>
      <c r="AH462" s="161"/>
      <c r="AI462" s="161"/>
      <c r="AJ462" s="161"/>
      <c r="AK462" s="161"/>
      <c r="AL462" s="161"/>
      <c r="AM462" s="163"/>
      <c r="AN462" s="163"/>
      <c r="AO462" s="68"/>
      <c r="AP462" s="164"/>
    </row>
    <row r="463" ht="15.75" customHeight="1">
      <c r="A463" s="161"/>
      <c r="B463" s="161"/>
      <c r="C463" s="161"/>
      <c r="D463" s="161"/>
      <c r="E463" s="161"/>
      <c r="F463" s="161"/>
      <c r="G463" s="161"/>
      <c r="H463" s="161"/>
      <c r="I463" s="161"/>
      <c r="J463" s="161"/>
      <c r="K463" s="161"/>
      <c r="L463" s="161"/>
      <c r="M463" s="161"/>
      <c r="N463" s="161"/>
      <c r="O463" s="161"/>
      <c r="P463" s="161"/>
      <c r="Q463" s="161"/>
      <c r="R463" s="161"/>
      <c r="S463" s="161"/>
      <c r="T463" s="161"/>
      <c r="U463" s="162"/>
      <c r="V463" s="162"/>
      <c r="W463" s="161"/>
      <c r="X463" s="161"/>
      <c r="Y463" s="161"/>
      <c r="Z463" s="162"/>
      <c r="AA463" s="162"/>
      <c r="AB463" s="161"/>
      <c r="AC463" s="161"/>
      <c r="AD463" s="161"/>
      <c r="AE463" s="161"/>
      <c r="AF463" s="161"/>
      <c r="AG463" s="161"/>
      <c r="AH463" s="161"/>
      <c r="AI463" s="161"/>
      <c r="AJ463" s="161"/>
      <c r="AK463" s="161"/>
      <c r="AL463" s="161"/>
      <c r="AM463" s="163"/>
      <c r="AN463" s="163"/>
      <c r="AO463" s="68"/>
      <c r="AP463" s="164"/>
    </row>
    <row r="464" ht="15.75" customHeight="1">
      <c r="A464" s="161"/>
      <c r="B464" s="161"/>
      <c r="C464" s="161"/>
      <c r="D464" s="161"/>
      <c r="E464" s="161"/>
      <c r="F464" s="161"/>
      <c r="G464" s="161"/>
      <c r="H464" s="161"/>
      <c r="I464" s="161"/>
      <c r="J464" s="161"/>
      <c r="K464" s="161"/>
      <c r="L464" s="161"/>
      <c r="M464" s="161"/>
      <c r="N464" s="161"/>
      <c r="O464" s="161"/>
      <c r="P464" s="161"/>
      <c r="Q464" s="161"/>
      <c r="R464" s="161"/>
      <c r="S464" s="161"/>
      <c r="T464" s="161"/>
      <c r="U464" s="162"/>
      <c r="V464" s="162"/>
      <c r="W464" s="161"/>
      <c r="X464" s="161"/>
      <c r="Y464" s="161"/>
      <c r="Z464" s="162"/>
      <c r="AA464" s="162"/>
      <c r="AB464" s="161"/>
      <c r="AC464" s="161"/>
      <c r="AD464" s="161"/>
      <c r="AE464" s="161"/>
      <c r="AF464" s="161"/>
      <c r="AG464" s="161"/>
      <c r="AH464" s="161"/>
      <c r="AI464" s="161"/>
      <c r="AJ464" s="161"/>
      <c r="AK464" s="161"/>
      <c r="AL464" s="161"/>
      <c r="AM464" s="163"/>
      <c r="AN464" s="163"/>
      <c r="AO464" s="68"/>
      <c r="AP464" s="164"/>
    </row>
    <row r="465" ht="15.75" customHeight="1">
      <c r="A465" s="161"/>
      <c r="B465" s="161"/>
      <c r="C465" s="161"/>
      <c r="D465" s="161"/>
      <c r="E465" s="161"/>
      <c r="F465" s="161"/>
      <c r="G465" s="161"/>
      <c r="H465" s="161"/>
      <c r="I465" s="161"/>
      <c r="J465" s="161"/>
      <c r="K465" s="161"/>
      <c r="L465" s="161"/>
      <c r="M465" s="161"/>
      <c r="N465" s="161"/>
      <c r="O465" s="161"/>
      <c r="P465" s="161"/>
      <c r="Q465" s="161"/>
      <c r="R465" s="161"/>
      <c r="S465" s="161"/>
      <c r="T465" s="161"/>
      <c r="U465" s="162"/>
      <c r="V465" s="162"/>
      <c r="W465" s="161"/>
      <c r="X465" s="161"/>
      <c r="Y465" s="161"/>
      <c r="Z465" s="162"/>
      <c r="AA465" s="162"/>
      <c r="AB465" s="161"/>
      <c r="AC465" s="161"/>
      <c r="AD465" s="161"/>
      <c r="AE465" s="161"/>
      <c r="AF465" s="161"/>
      <c r="AG465" s="161"/>
      <c r="AH465" s="161"/>
      <c r="AI465" s="161"/>
      <c r="AJ465" s="161"/>
      <c r="AK465" s="161"/>
      <c r="AL465" s="161"/>
      <c r="AM465" s="163"/>
      <c r="AN465" s="163"/>
      <c r="AO465" s="68"/>
      <c r="AP465" s="164"/>
    </row>
    <row r="466" ht="15.75" customHeight="1">
      <c r="A466" s="161"/>
      <c r="B466" s="161"/>
      <c r="C466" s="161"/>
      <c r="D466" s="161"/>
      <c r="E466" s="161"/>
      <c r="F466" s="161"/>
      <c r="G466" s="161"/>
      <c r="H466" s="161"/>
      <c r="I466" s="161"/>
      <c r="J466" s="161"/>
      <c r="K466" s="161"/>
      <c r="L466" s="161"/>
      <c r="M466" s="161"/>
      <c r="N466" s="161"/>
      <c r="O466" s="161"/>
      <c r="P466" s="161"/>
      <c r="Q466" s="161"/>
      <c r="R466" s="161"/>
      <c r="S466" s="161"/>
      <c r="T466" s="161"/>
      <c r="U466" s="162"/>
      <c r="V466" s="162"/>
      <c r="W466" s="161"/>
      <c r="X466" s="161"/>
      <c r="Y466" s="161"/>
      <c r="Z466" s="162"/>
      <c r="AA466" s="162"/>
      <c r="AB466" s="161"/>
      <c r="AC466" s="161"/>
      <c r="AD466" s="161"/>
      <c r="AE466" s="161"/>
      <c r="AF466" s="161"/>
      <c r="AG466" s="161"/>
      <c r="AH466" s="161"/>
      <c r="AI466" s="161"/>
      <c r="AJ466" s="161"/>
      <c r="AK466" s="161"/>
      <c r="AL466" s="161"/>
      <c r="AM466" s="163"/>
      <c r="AN466" s="163"/>
      <c r="AO466" s="68"/>
      <c r="AP466" s="164"/>
    </row>
    <row r="467" ht="15.75" customHeight="1">
      <c r="A467" s="161"/>
      <c r="B467" s="161"/>
      <c r="C467" s="161"/>
      <c r="D467" s="161"/>
      <c r="E467" s="161"/>
      <c r="F467" s="161"/>
      <c r="G467" s="161"/>
      <c r="H467" s="161"/>
      <c r="I467" s="161"/>
      <c r="J467" s="161"/>
      <c r="K467" s="161"/>
      <c r="L467" s="161"/>
      <c r="M467" s="161"/>
      <c r="N467" s="161"/>
      <c r="O467" s="161"/>
      <c r="P467" s="161"/>
      <c r="Q467" s="161"/>
      <c r="R467" s="161"/>
      <c r="S467" s="161"/>
      <c r="T467" s="161"/>
      <c r="U467" s="162"/>
      <c r="V467" s="162"/>
      <c r="W467" s="161"/>
      <c r="X467" s="161"/>
      <c r="Y467" s="161"/>
      <c r="Z467" s="162"/>
      <c r="AA467" s="162"/>
      <c r="AB467" s="161"/>
      <c r="AC467" s="161"/>
      <c r="AD467" s="161"/>
      <c r="AE467" s="161"/>
      <c r="AF467" s="161"/>
      <c r="AG467" s="161"/>
      <c r="AH467" s="161"/>
      <c r="AI467" s="161"/>
      <c r="AJ467" s="161"/>
      <c r="AK467" s="161"/>
      <c r="AL467" s="161"/>
      <c r="AM467" s="163"/>
      <c r="AN467" s="163"/>
      <c r="AO467" s="68"/>
      <c r="AP467" s="164"/>
    </row>
    <row r="468" ht="15.75" customHeight="1">
      <c r="A468" s="161"/>
      <c r="B468" s="161"/>
      <c r="C468" s="161"/>
      <c r="D468" s="161"/>
      <c r="E468" s="161"/>
      <c r="F468" s="161"/>
      <c r="G468" s="161"/>
      <c r="H468" s="161"/>
      <c r="I468" s="161"/>
      <c r="J468" s="161"/>
      <c r="K468" s="161"/>
      <c r="L468" s="161"/>
      <c r="M468" s="161"/>
      <c r="N468" s="161"/>
      <c r="O468" s="161"/>
      <c r="P468" s="161"/>
      <c r="Q468" s="161"/>
      <c r="R468" s="161"/>
      <c r="S468" s="161"/>
      <c r="T468" s="161"/>
      <c r="U468" s="162"/>
      <c r="V468" s="162"/>
      <c r="W468" s="161"/>
      <c r="X468" s="161"/>
      <c r="Y468" s="161"/>
      <c r="Z468" s="162"/>
      <c r="AA468" s="162"/>
      <c r="AB468" s="161"/>
      <c r="AC468" s="161"/>
      <c r="AD468" s="161"/>
      <c r="AE468" s="161"/>
      <c r="AF468" s="161"/>
      <c r="AG468" s="161"/>
      <c r="AH468" s="161"/>
      <c r="AI468" s="161"/>
      <c r="AJ468" s="161"/>
      <c r="AK468" s="161"/>
      <c r="AL468" s="161"/>
      <c r="AM468" s="163"/>
      <c r="AN468" s="163"/>
      <c r="AO468" s="68"/>
      <c r="AP468" s="164"/>
    </row>
    <row r="469" ht="15.75" customHeight="1">
      <c r="A469" s="161"/>
      <c r="B469" s="161"/>
      <c r="C469" s="161"/>
      <c r="D469" s="161"/>
      <c r="E469" s="161"/>
      <c r="F469" s="161"/>
      <c r="G469" s="161"/>
      <c r="H469" s="161"/>
      <c r="I469" s="161"/>
      <c r="J469" s="161"/>
      <c r="K469" s="161"/>
      <c r="L469" s="161"/>
      <c r="M469" s="161"/>
      <c r="N469" s="161"/>
      <c r="O469" s="161"/>
      <c r="P469" s="161"/>
      <c r="Q469" s="161"/>
      <c r="R469" s="161"/>
      <c r="S469" s="161"/>
      <c r="T469" s="161"/>
      <c r="U469" s="162"/>
      <c r="V469" s="162"/>
      <c r="W469" s="161"/>
      <c r="X469" s="161"/>
      <c r="Y469" s="161"/>
      <c r="Z469" s="162"/>
      <c r="AA469" s="162"/>
      <c r="AB469" s="161"/>
      <c r="AC469" s="161"/>
      <c r="AD469" s="161"/>
      <c r="AE469" s="161"/>
      <c r="AF469" s="161"/>
      <c r="AG469" s="161"/>
      <c r="AH469" s="161"/>
      <c r="AI469" s="161"/>
      <c r="AJ469" s="161"/>
      <c r="AK469" s="161"/>
      <c r="AL469" s="161"/>
      <c r="AM469" s="163"/>
      <c r="AN469" s="163"/>
      <c r="AO469" s="68"/>
      <c r="AP469" s="164"/>
    </row>
    <row r="470" ht="15.75" customHeight="1">
      <c r="A470" s="161"/>
      <c r="B470" s="161"/>
      <c r="C470" s="161"/>
      <c r="D470" s="161"/>
      <c r="E470" s="161"/>
      <c r="F470" s="161"/>
      <c r="G470" s="161"/>
      <c r="H470" s="161"/>
      <c r="I470" s="161"/>
      <c r="J470" s="161"/>
      <c r="K470" s="161"/>
      <c r="L470" s="161"/>
      <c r="M470" s="161"/>
      <c r="N470" s="161"/>
      <c r="O470" s="161"/>
      <c r="P470" s="161"/>
      <c r="Q470" s="161"/>
      <c r="R470" s="161"/>
      <c r="S470" s="161"/>
      <c r="T470" s="161"/>
      <c r="U470" s="162"/>
      <c r="V470" s="162"/>
      <c r="W470" s="161"/>
      <c r="X470" s="161"/>
      <c r="Y470" s="161"/>
      <c r="Z470" s="162"/>
      <c r="AA470" s="162"/>
      <c r="AB470" s="161"/>
      <c r="AC470" s="161"/>
      <c r="AD470" s="161"/>
      <c r="AE470" s="161"/>
      <c r="AF470" s="161"/>
      <c r="AG470" s="161"/>
      <c r="AH470" s="161"/>
      <c r="AI470" s="161"/>
      <c r="AJ470" s="161"/>
      <c r="AK470" s="161"/>
      <c r="AL470" s="161"/>
      <c r="AM470" s="163"/>
      <c r="AN470" s="163"/>
      <c r="AO470" s="68"/>
      <c r="AP470" s="164"/>
    </row>
    <row r="471" ht="15.75" customHeight="1">
      <c r="A471" s="161"/>
      <c r="B471" s="161"/>
      <c r="C471" s="161"/>
      <c r="D471" s="161"/>
      <c r="E471" s="161"/>
      <c r="F471" s="161"/>
      <c r="G471" s="161"/>
      <c r="H471" s="161"/>
      <c r="I471" s="161"/>
      <c r="J471" s="161"/>
      <c r="K471" s="161"/>
      <c r="L471" s="161"/>
      <c r="M471" s="161"/>
      <c r="N471" s="161"/>
      <c r="O471" s="161"/>
      <c r="P471" s="161"/>
      <c r="Q471" s="161"/>
      <c r="R471" s="161"/>
      <c r="S471" s="161"/>
      <c r="T471" s="161"/>
      <c r="U471" s="162"/>
      <c r="V471" s="162"/>
      <c r="W471" s="161"/>
      <c r="X471" s="161"/>
      <c r="Y471" s="161"/>
      <c r="Z471" s="162"/>
      <c r="AA471" s="162"/>
      <c r="AB471" s="161"/>
      <c r="AC471" s="161"/>
      <c r="AD471" s="161"/>
      <c r="AE471" s="161"/>
      <c r="AF471" s="161"/>
      <c r="AG471" s="161"/>
      <c r="AH471" s="161"/>
      <c r="AI471" s="161"/>
      <c r="AJ471" s="161"/>
      <c r="AK471" s="161"/>
      <c r="AL471" s="161"/>
      <c r="AM471" s="163"/>
      <c r="AN471" s="163"/>
      <c r="AO471" s="68"/>
      <c r="AP471" s="164"/>
    </row>
    <row r="472" ht="15.75" customHeight="1">
      <c r="A472" s="161"/>
      <c r="B472" s="161"/>
      <c r="C472" s="161"/>
      <c r="D472" s="161"/>
      <c r="E472" s="161"/>
      <c r="F472" s="161"/>
      <c r="G472" s="161"/>
      <c r="H472" s="161"/>
      <c r="I472" s="161"/>
      <c r="J472" s="161"/>
      <c r="K472" s="161"/>
      <c r="L472" s="161"/>
      <c r="M472" s="161"/>
      <c r="N472" s="161"/>
      <c r="O472" s="161"/>
      <c r="P472" s="161"/>
      <c r="Q472" s="161"/>
      <c r="R472" s="161"/>
      <c r="S472" s="161"/>
      <c r="T472" s="161"/>
      <c r="U472" s="162"/>
      <c r="V472" s="162"/>
      <c r="W472" s="161"/>
      <c r="X472" s="161"/>
      <c r="Y472" s="161"/>
      <c r="Z472" s="162"/>
      <c r="AA472" s="162"/>
      <c r="AB472" s="161"/>
      <c r="AC472" s="161"/>
      <c r="AD472" s="161"/>
      <c r="AE472" s="161"/>
      <c r="AF472" s="161"/>
      <c r="AG472" s="161"/>
      <c r="AH472" s="161"/>
      <c r="AI472" s="161"/>
      <c r="AJ472" s="161"/>
      <c r="AK472" s="161"/>
      <c r="AL472" s="161"/>
      <c r="AM472" s="163"/>
      <c r="AN472" s="163"/>
      <c r="AO472" s="68"/>
      <c r="AP472" s="164"/>
    </row>
    <row r="473" ht="15.75" customHeight="1">
      <c r="A473" s="161"/>
      <c r="B473" s="161"/>
      <c r="C473" s="161"/>
      <c r="D473" s="161"/>
      <c r="E473" s="161"/>
      <c r="F473" s="161"/>
      <c r="G473" s="161"/>
      <c r="H473" s="161"/>
      <c r="I473" s="161"/>
      <c r="J473" s="161"/>
      <c r="K473" s="161"/>
      <c r="L473" s="161"/>
      <c r="M473" s="161"/>
      <c r="N473" s="161"/>
      <c r="O473" s="161"/>
      <c r="P473" s="161"/>
      <c r="Q473" s="161"/>
      <c r="R473" s="161"/>
      <c r="S473" s="161"/>
      <c r="T473" s="161"/>
      <c r="U473" s="162"/>
      <c r="V473" s="162"/>
      <c r="W473" s="161"/>
      <c r="X473" s="161"/>
      <c r="Y473" s="161"/>
      <c r="Z473" s="162"/>
      <c r="AA473" s="162"/>
      <c r="AB473" s="161"/>
      <c r="AC473" s="161"/>
      <c r="AD473" s="161"/>
      <c r="AE473" s="161"/>
      <c r="AF473" s="161"/>
      <c r="AG473" s="161"/>
      <c r="AH473" s="161"/>
      <c r="AI473" s="161"/>
      <c r="AJ473" s="161"/>
      <c r="AK473" s="161"/>
      <c r="AL473" s="161"/>
      <c r="AM473" s="163"/>
      <c r="AN473" s="163"/>
      <c r="AO473" s="68"/>
      <c r="AP473" s="164"/>
    </row>
    <row r="474" ht="15.75" customHeight="1">
      <c r="A474" s="161"/>
      <c r="B474" s="161"/>
      <c r="C474" s="161"/>
      <c r="D474" s="161"/>
      <c r="E474" s="161"/>
      <c r="F474" s="161"/>
      <c r="G474" s="161"/>
      <c r="H474" s="161"/>
      <c r="I474" s="161"/>
      <c r="J474" s="161"/>
      <c r="K474" s="161"/>
      <c r="L474" s="161"/>
      <c r="M474" s="161"/>
      <c r="N474" s="161"/>
      <c r="O474" s="161"/>
      <c r="P474" s="161"/>
      <c r="Q474" s="161"/>
      <c r="R474" s="161"/>
      <c r="S474" s="161"/>
      <c r="T474" s="161"/>
      <c r="U474" s="162"/>
      <c r="V474" s="162"/>
      <c r="W474" s="161"/>
      <c r="X474" s="161"/>
      <c r="Y474" s="161"/>
      <c r="Z474" s="162"/>
      <c r="AA474" s="162"/>
      <c r="AB474" s="161"/>
      <c r="AC474" s="161"/>
      <c r="AD474" s="161"/>
      <c r="AE474" s="161"/>
      <c r="AF474" s="161"/>
      <c r="AG474" s="161"/>
      <c r="AH474" s="161"/>
      <c r="AI474" s="161"/>
      <c r="AJ474" s="161"/>
      <c r="AK474" s="161"/>
      <c r="AL474" s="161"/>
      <c r="AM474" s="163"/>
      <c r="AN474" s="163"/>
      <c r="AO474" s="68"/>
      <c r="AP474" s="164"/>
    </row>
    <row r="475" ht="15.75" customHeight="1">
      <c r="A475" s="161"/>
      <c r="B475" s="161"/>
      <c r="C475" s="161"/>
      <c r="D475" s="161"/>
      <c r="E475" s="161"/>
      <c r="F475" s="161"/>
      <c r="G475" s="161"/>
      <c r="H475" s="161"/>
      <c r="I475" s="161"/>
      <c r="J475" s="161"/>
      <c r="K475" s="161"/>
      <c r="L475" s="161"/>
      <c r="M475" s="161"/>
      <c r="N475" s="161"/>
      <c r="O475" s="161"/>
      <c r="P475" s="161"/>
      <c r="Q475" s="161"/>
      <c r="R475" s="161"/>
      <c r="S475" s="161"/>
      <c r="T475" s="161"/>
      <c r="U475" s="162"/>
      <c r="V475" s="162"/>
      <c r="W475" s="161"/>
      <c r="X475" s="161"/>
      <c r="Y475" s="161"/>
      <c r="Z475" s="162"/>
      <c r="AA475" s="162"/>
      <c r="AB475" s="161"/>
      <c r="AC475" s="161"/>
      <c r="AD475" s="161"/>
      <c r="AE475" s="161"/>
      <c r="AF475" s="161"/>
      <c r="AG475" s="161"/>
      <c r="AH475" s="161"/>
      <c r="AI475" s="161"/>
      <c r="AJ475" s="161"/>
      <c r="AK475" s="161"/>
      <c r="AL475" s="161"/>
      <c r="AM475" s="163"/>
      <c r="AN475" s="163"/>
      <c r="AO475" s="68"/>
      <c r="AP475" s="164"/>
    </row>
  </sheetData>
  <conditionalFormatting sqref="Q1:Q333 Q335:Q475">
    <cfRule type="containsText" dxfId="0" priority="1" operator="containsText" text="nie">
      <formula>NOT(ISERROR(SEARCH(("nie"),(Q1))))</formula>
    </cfRule>
  </conditionalFormatting>
  <conditionalFormatting sqref="AE186:AE300 AE303:AE318">
    <cfRule type="containsText" dxfId="1" priority="2" operator="containsText" text="Áno">
      <formula>NOT(ISERROR(SEARCH(("Áno"),(AE186))))</formula>
    </cfRule>
  </conditionalFormatting>
  <conditionalFormatting sqref="AI129:AI318">
    <cfRule type="containsText" dxfId="2" priority="3" operator="containsText" text="áno">
      <formula>NOT(ISERROR(SEARCH(("áno"),(AI129))))</formula>
    </cfRule>
  </conditionalFormatting>
  <conditionalFormatting sqref="AH1:AH475">
    <cfRule type="containsText" dxfId="3" priority="4" operator="containsText" text="ÁNO">
      <formula>NOT(ISERROR(SEARCH(("ÁNO"),(AH1))))</formula>
    </cfRule>
  </conditionalFormatting>
  <hyperlinks>
    <hyperlink r:id="rId1" ref="U3"/>
    <hyperlink r:id="rId2" ref="T4"/>
    <hyperlink r:id="rId3" ref="U4"/>
    <hyperlink r:id="rId4" ref="T5"/>
    <hyperlink r:id="rId5" ref="U5"/>
    <hyperlink r:id="rId6" ref="T6"/>
    <hyperlink r:id="rId7" ref="U6"/>
    <hyperlink r:id="rId8" ref="T7"/>
    <hyperlink r:id="rId9" ref="U7"/>
    <hyperlink r:id="rId10" ref="T8"/>
    <hyperlink r:id="rId11" ref="U8"/>
    <hyperlink r:id="rId12" ref="T9"/>
    <hyperlink r:id="rId13" ref="U9"/>
    <hyperlink r:id="rId14" ref="T10"/>
    <hyperlink r:id="rId15" ref="U10"/>
    <hyperlink r:id="rId16" ref="T11"/>
    <hyperlink r:id="rId17" ref="U11"/>
    <hyperlink r:id="rId18" ref="T12"/>
    <hyperlink r:id="rId19" ref="U12"/>
    <hyperlink r:id="rId20" ref="T13"/>
    <hyperlink r:id="rId21" ref="U13"/>
    <hyperlink r:id="rId22" ref="T14"/>
    <hyperlink r:id="rId23" ref="U14"/>
    <hyperlink r:id="rId24" ref="T15"/>
    <hyperlink r:id="rId25" ref="U15"/>
    <hyperlink r:id="rId26" ref="T16"/>
    <hyperlink r:id="rId27" ref="U16"/>
    <hyperlink r:id="rId28" ref="T17"/>
    <hyperlink r:id="rId29" ref="U17"/>
    <hyperlink r:id="rId30" ref="T18"/>
    <hyperlink r:id="rId31" ref="U18"/>
    <hyperlink r:id="rId32" ref="T19"/>
    <hyperlink r:id="rId33" ref="U19"/>
    <hyperlink r:id="rId34" ref="T20"/>
    <hyperlink r:id="rId35" ref="U20"/>
    <hyperlink r:id="rId36" ref="T21"/>
    <hyperlink r:id="rId37" ref="U21"/>
    <hyperlink r:id="rId38" ref="T22"/>
    <hyperlink r:id="rId39" ref="U22"/>
    <hyperlink r:id="rId40" ref="T23"/>
    <hyperlink r:id="rId41" ref="U23"/>
    <hyperlink r:id="rId42" ref="T24"/>
    <hyperlink r:id="rId43" ref="U24"/>
    <hyperlink r:id="rId44" ref="T25"/>
    <hyperlink r:id="rId45" ref="U25"/>
    <hyperlink r:id="rId46" ref="T26"/>
    <hyperlink r:id="rId47" ref="U26"/>
    <hyperlink r:id="rId48" ref="T27"/>
    <hyperlink r:id="rId49" ref="U27"/>
    <hyperlink r:id="rId50" ref="T28"/>
    <hyperlink r:id="rId51" ref="U28"/>
    <hyperlink r:id="rId52" ref="T29"/>
    <hyperlink r:id="rId53" ref="U29"/>
    <hyperlink r:id="rId54" ref="T30"/>
    <hyperlink r:id="rId55" ref="U30"/>
    <hyperlink r:id="rId56" ref="T31"/>
    <hyperlink r:id="rId57" ref="U31"/>
    <hyperlink r:id="rId58" ref="T32"/>
    <hyperlink r:id="rId59" ref="U32"/>
    <hyperlink r:id="rId60" ref="T33"/>
    <hyperlink r:id="rId61" ref="U33"/>
    <hyperlink r:id="rId62" ref="T34"/>
    <hyperlink r:id="rId63" ref="U34"/>
    <hyperlink r:id="rId64" ref="T35"/>
    <hyperlink r:id="rId65" ref="U35"/>
    <hyperlink r:id="rId66" ref="T36"/>
    <hyperlink r:id="rId67" ref="U36"/>
    <hyperlink r:id="rId68" ref="T37"/>
    <hyperlink r:id="rId69" ref="U37"/>
    <hyperlink r:id="rId70" ref="T38"/>
    <hyperlink r:id="rId71" ref="U38"/>
    <hyperlink r:id="rId72" ref="T39"/>
    <hyperlink r:id="rId73" ref="U39"/>
    <hyperlink r:id="rId74" ref="T40"/>
    <hyperlink r:id="rId75" ref="U40"/>
    <hyperlink r:id="rId76" ref="T41"/>
    <hyperlink r:id="rId77" ref="U41"/>
    <hyperlink r:id="rId78" ref="T42"/>
    <hyperlink r:id="rId79" ref="U42"/>
    <hyperlink r:id="rId80" ref="T43"/>
    <hyperlink r:id="rId81" ref="U43"/>
    <hyperlink r:id="rId82" ref="T44"/>
    <hyperlink r:id="rId83" ref="U44"/>
    <hyperlink r:id="rId84" ref="T45"/>
    <hyperlink r:id="rId85" ref="U45"/>
    <hyperlink r:id="rId86" ref="T46"/>
    <hyperlink r:id="rId87" ref="U46"/>
    <hyperlink r:id="rId88" ref="T47"/>
    <hyperlink r:id="rId89" ref="U47"/>
    <hyperlink r:id="rId90" ref="T48"/>
    <hyperlink r:id="rId91" ref="U48"/>
    <hyperlink r:id="rId92" ref="T49"/>
    <hyperlink r:id="rId93" ref="U49"/>
    <hyperlink r:id="rId94" ref="T50"/>
    <hyperlink r:id="rId95" ref="U50"/>
    <hyperlink r:id="rId96" ref="T51"/>
    <hyperlink r:id="rId97" ref="U51"/>
    <hyperlink r:id="rId98" ref="T52"/>
    <hyperlink r:id="rId99" ref="U52"/>
    <hyperlink r:id="rId100" ref="T53"/>
    <hyperlink r:id="rId101" ref="U53"/>
    <hyperlink r:id="rId102" ref="T54"/>
    <hyperlink r:id="rId103" ref="U54"/>
    <hyperlink r:id="rId104" ref="T55"/>
    <hyperlink r:id="rId105" ref="U55"/>
    <hyperlink r:id="rId106" ref="T56"/>
    <hyperlink r:id="rId107" ref="U56"/>
    <hyperlink r:id="rId108" ref="T57"/>
    <hyperlink r:id="rId109" ref="U57"/>
    <hyperlink r:id="rId110" ref="T58"/>
    <hyperlink r:id="rId111" ref="U58"/>
    <hyperlink r:id="rId112" ref="T59"/>
    <hyperlink r:id="rId113" ref="U59"/>
    <hyperlink r:id="rId114" ref="T60"/>
    <hyperlink r:id="rId115" ref="U60"/>
    <hyperlink r:id="rId116" ref="T61"/>
    <hyperlink r:id="rId117" ref="U61"/>
    <hyperlink r:id="rId118" ref="T62"/>
    <hyperlink r:id="rId119" ref="U62"/>
    <hyperlink r:id="rId120" ref="T63"/>
    <hyperlink r:id="rId121" ref="U63"/>
    <hyperlink r:id="rId122" ref="T64"/>
    <hyperlink r:id="rId123" ref="U64"/>
    <hyperlink r:id="rId124" ref="T65"/>
    <hyperlink r:id="rId125" ref="U65"/>
    <hyperlink r:id="rId126" ref="T66"/>
    <hyperlink r:id="rId127" ref="U66"/>
    <hyperlink r:id="rId128" ref="T67"/>
    <hyperlink r:id="rId129" ref="U67"/>
    <hyperlink r:id="rId130" ref="T68"/>
    <hyperlink r:id="rId131" ref="U68"/>
    <hyperlink r:id="rId132" ref="T69"/>
    <hyperlink r:id="rId133" ref="U69"/>
    <hyperlink r:id="rId134" ref="T70"/>
    <hyperlink r:id="rId135" ref="U70"/>
    <hyperlink r:id="rId136" ref="T71"/>
    <hyperlink r:id="rId137" ref="U71"/>
    <hyperlink r:id="rId138" ref="T72"/>
    <hyperlink r:id="rId139" ref="U72"/>
    <hyperlink r:id="rId140" ref="T73"/>
    <hyperlink r:id="rId141" ref="U73"/>
    <hyperlink r:id="rId142" ref="T74"/>
    <hyperlink r:id="rId143" ref="U74"/>
    <hyperlink r:id="rId144" ref="T75"/>
    <hyperlink r:id="rId145" ref="U75"/>
    <hyperlink r:id="rId146" ref="T76"/>
    <hyperlink r:id="rId147" ref="U76"/>
    <hyperlink r:id="rId148" ref="T77"/>
    <hyperlink r:id="rId149" ref="U77"/>
    <hyperlink r:id="rId150" ref="T78"/>
    <hyperlink r:id="rId151" ref="U78"/>
    <hyperlink r:id="rId152" ref="T79"/>
    <hyperlink r:id="rId153" ref="U79"/>
    <hyperlink r:id="rId154" ref="T80"/>
    <hyperlink r:id="rId155" ref="U80"/>
    <hyperlink r:id="rId156" ref="T81"/>
    <hyperlink r:id="rId157" ref="U81"/>
    <hyperlink r:id="rId158" ref="T82"/>
    <hyperlink r:id="rId159" ref="U82"/>
    <hyperlink r:id="rId160" ref="T83"/>
    <hyperlink r:id="rId161" ref="U83"/>
    <hyperlink r:id="rId162" ref="T84"/>
    <hyperlink r:id="rId163" ref="U84"/>
    <hyperlink r:id="rId164" ref="T85"/>
    <hyperlink r:id="rId165" ref="U85"/>
    <hyperlink r:id="rId166" ref="T86"/>
    <hyperlink r:id="rId167" ref="U86"/>
    <hyperlink r:id="rId168" ref="T87"/>
    <hyperlink r:id="rId169" ref="U87"/>
    <hyperlink r:id="rId170" ref="T88"/>
    <hyperlink r:id="rId171" ref="U88"/>
    <hyperlink r:id="rId172" ref="T89"/>
    <hyperlink r:id="rId173" ref="U89"/>
    <hyperlink r:id="rId174" ref="T90"/>
    <hyperlink r:id="rId175" ref="U90"/>
    <hyperlink r:id="rId176" ref="T91"/>
    <hyperlink r:id="rId177" ref="U91"/>
    <hyperlink r:id="rId178" ref="T92"/>
    <hyperlink r:id="rId179" ref="U92"/>
    <hyperlink r:id="rId180" ref="T93"/>
    <hyperlink r:id="rId181" ref="U93"/>
    <hyperlink r:id="rId182" ref="T94"/>
    <hyperlink r:id="rId183" ref="U94"/>
    <hyperlink r:id="rId184" ref="T95"/>
    <hyperlink r:id="rId185" ref="U95"/>
    <hyperlink r:id="rId186" ref="T96"/>
    <hyperlink r:id="rId187" ref="U96"/>
    <hyperlink r:id="rId188" ref="T97"/>
    <hyperlink r:id="rId189" ref="U97"/>
    <hyperlink r:id="rId190" ref="T98"/>
    <hyperlink r:id="rId191" ref="U98"/>
    <hyperlink r:id="rId192" ref="T99"/>
    <hyperlink r:id="rId193" ref="U99"/>
    <hyperlink r:id="rId194" ref="T100"/>
    <hyperlink r:id="rId195" ref="U100"/>
    <hyperlink r:id="rId196" ref="T101"/>
    <hyperlink r:id="rId197" ref="U101"/>
    <hyperlink r:id="rId198" ref="T102"/>
    <hyperlink r:id="rId199" ref="U102"/>
    <hyperlink r:id="rId200" ref="T103"/>
    <hyperlink r:id="rId201" ref="U103"/>
    <hyperlink r:id="rId202" ref="T104"/>
    <hyperlink r:id="rId203" ref="U104"/>
    <hyperlink r:id="rId204" ref="T105"/>
    <hyperlink r:id="rId205" ref="U105"/>
    <hyperlink r:id="rId206" ref="T106"/>
    <hyperlink r:id="rId207" ref="U106"/>
    <hyperlink r:id="rId208" ref="T107"/>
    <hyperlink r:id="rId209" ref="U107"/>
    <hyperlink r:id="rId210" ref="T108"/>
    <hyperlink r:id="rId211" ref="U108"/>
    <hyperlink r:id="rId212" ref="T109"/>
    <hyperlink r:id="rId213" ref="U109"/>
    <hyperlink r:id="rId214" ref="T110"/>
    <hyperlink r:id="rId215" ref="U110"/>
    <hyperlink r:id="rId216" ref="T111"/>
    <hyperlink r:id="rId217" ref="U111"/>
    <hyperlink r:id="rId218" ref="T112"/>
    <hyperlink r:id="rId219" ref="U112"/>
    <hyperlink r:id="rId220" ref="T113"/>
    <hyperlink r:id="rId221" ref="U113"/>
    <hyperlink r:id="rId222" ref="T114"/>
    <hyperlink r:id="rId223" ref="U114"/>
    <hyperlink r:id="rId224" ref="T115"/>
    <hyperlink r:id="rId225" ref="U115"/>
    <hyperlink r:id="rId226" ref="T116"/>
    <hyperlink r:id="rId227" ref="U116"/>
    <hyperlink r:id="rId228" ref="T117"/>
    <hyperlink r:id="rId229" ref="U117"/>
    <hyperlink r:id="rId230" ref="T118"/>
    <hyperlink r:id="rId231" ref="U118"/>
    <hyperlink r:id="rId232" ref="T119"/>
    <hyperlink r:id="rId233" ref="U119"/>
    <hyperlink r:id="rId234" ref="T120"/>
    <hyperlink r:id="rId235" ref="U120"/>
    <hyperlink r:id="rId236" ref="T121"/>
    <hyperlink r:id="rId237" ref="U121"/>
    <hyperlink r:id="rId238" ref="T122"/>
    <hyperlink r:id="rId239" ref="U122"/>
    <hyperlink r:id="rId240" ref="T123"/>
    <hyperlink r:id="rId241" ref="U123"/>
    <hyperlink r:id="rId242" ref="T124"/>
    <hyperlink r:id="rId243" ref="U124"/>
    <hyperlink r:id="rId244" ref="T125"/>
    <hyperlink r:id="rId245" ref="U125"/>
    <hyperlink r:id="rId246" ref="T126"/>
    <hyperlink r:id="rId247" ref="U126"/>
    <hyperlink r:id="rId248" ref="T127"/>
    <hyperlink r:id="rId249" ref="U127"/>
    <hyperlink r:id="rId250" ref="T128"/>
    <hyperlink r:id="rId251" ref="U128"/>
    <hyperlink r:id="rId252" ref="T129"/>
    <hyperlink r:id="rId253" ref="U129"/>
    <hyperlink r:id="rId254" ref="T130"/>
    <hyperlink r:id="rId255" ref="U130"/>
    <hyperlink r:id="rId256" ref="T131"/>
    <hyperlink r:id="rId257" ref="U131"/>
    <hyperlink r:id="rId258" ref="T132"/>
    <hyperlink r:id="rId259" ref="U132"/>
    <hyperlink r:id="rId260" ref="T133"/>
    <hyperlink r:id="rId261" ref="U133"/>
    <hyperlink r:id="rId262" ref="T134"/>
    <hyperlink r:id="rId263" ref="U134"/>
    <hyperlink r:id="rId264" ref="T135"/>
    <hyperlink r:id="rId265" ref="U135"/>
    <hyperlink r:id="rId266" ref="T136"/>
    <hyperlink r:id="rId267" ref="U136"/>
    <hyperlink r:id="rId268" ref="T137"/>
    <hyperlink r:id="rId269" ref="U137"/>
    <hyperlink r:id="rId270" ref="T138"/>
    <hyperlink r:id="rId271" ref="U138"/>
    <hyperlink r:id="rId272" ref="T139"/>
    <hyperlink r:id="rId273" ref="U139"/>
    <hyperlink r:id="rId274" ref="T140"/>
    <hyperlink r:id="rId275" ref="U140"/>
    <hyperlink r:id="rId276" ref="T141"/>
    <hyperlink r:id="rId277" ref="U141"/>
    <hyperlink r:id="rId278" ref="T142"/>
    <hyperlink r:id="rId279" ref="U142"/>
    <hyperlink r:id="rId280" ref="T143"/>
    <hyperlink r:id="rId281" ref="U143"/>
    <hyperlink r:id="rId282" ref="T144"/>
    <hyperlink r:id="rId283" ref="U144"/>
    <hyperlink r:id="rId284" ref="T145"/>
    <hyperlink r:id="rId285" ref="U145"/>
    <hyperlink r:id="rId286" ref="T146"/>
    <hyperlink r:id="rId287" ref="U146"/>
    <hyperlink r:id="rId288" ref="T147"/>
    <hyperlink r:id="rId289" ref="U147"/>
    <hyperlink r:id="rId290" ref="T148"/>
    <hyperlink r:id="rId291" ref="U148"/>
    <hyperlink r:id="rId292" ref="T149"/>
    <hyperlink r:id="rId293" ref="U149"/>
    <hyperlink r:id="rId294" ref="T150"/>
    <hyperlink r:id="rId295" ref="U150"/>
    <hyperlink r:id="rId296" ref="T151"/>
    <hyperlink r:id="rId297" ref="U151"/>
    <hyperlink r:id="rId298" ref="T152"/>
    <hyperlink r:id="rId299" ref="U152"/>
    <hyperlink r:id="rId300" ref="T153"/>
    <hyperlink r:id="rId301" ref="U153"/>
    <hyperlink r:id="rId302" ref="T154"/>
    <hyperlink r:id="rId303" ref="U154"/>
    <hyperlink r:id="rId304" ref="T155"/>
    <hyperlink r:id="rId305" ref="U155"/>
    <hyperlink r:id="rId306" ref="T156"/>
    <hyperlink r:id="rId307" ref="U156"/>
    <hyperlink r:id="rId308" ref="T157"/>
    <hyperlink r:id="rId309" ref="U157"/>
    <hyperlink r:id="rId310" ref="T158"/>
    <hyperlink r:id="rId311" ref="U158"/>
    <hyperlink r:id="rId312" ref="T159"/>
    <hyperlink r:id="rId313" ref="U159"/>
    <hyperlink r:id="rId314" ref="T160"/>
    <hyperlink r:id="rId315" ref="U160"/>
    <hyperlink r:id="rId316" ref="T161"/>
    <hyperlink r:id="rId317" ref="U161"/>
    <hyperlink r:id="rId318" ref="T162"/>
    <hyperlink r:id="rId319" ref="U162"/>
    <hyperlink r:id="rId320" ref="T163"/>
    <hyperlink r:id="rId321" ref="U163"/>
    <hyperlink r:id="rId322" ref="T164"/>
    <hyperlink r:id="rId323" ref="U164"/>
    <hyperlink r:id="rId324" ref="T165"/>
    <hyperlink r:id="rId325" ref="U165"/>
    <hyperlink r:id="rId326" ref="T166"/>
    <hyperlink r:id="rId327" ref="U166"/>
    <hyperlink r:id="rId328" ref="T167"/>
    <hyperlink r:id="rId329" ref="U167"/>
    <hyperlink r:id="rId330" ref="T168"/>
    <hyperlink r:id="rId331" ref="U168"/>
    <hyperlink r:id="rId332" ref="T169"/>
    <hyperlink r:id="rId333" ref="U169"/>
    <hyperlink r:id="rId334" ref="T170"/>
    <hyperlink r:id="rId335" ref="U170"/>
    <hyperlink r:id="rId336" ref="T171"/>
    <hyperlink r:id="rId337" ref="U171"/>
    <hyperlink r:id="rId338" ref="T172"/>
    <hyperlink r:id="rId339" ref="U172"/>
    <hyperlink r:id="rId340" ref="T173"/>
    <hyperlink r:id="rId341" ref="U173"/>
    <hyperlink r:id="rId342" ref="T174"/>
    <hyperlink r:id="rId343" ref="U174"/>
    <hyperlink r:id="rId344" ref="T175"/>
    <hyperlink r:id="rId345" ref="U175"/>
    <hyperlink r:id="rId346" ref="T176"/>
    <hyperlink r:id="rId347" ref="U176"/>
    <hyperlink r:id="rId348" ref="T177"/>
    <hyperlink r:id="rId349" ref="U177"/>
    <hyperlink r:id="rId350" ref="T178"/>
    <hyperlink r:id="rId351" ref="U178"/>
    <hyperlink r:id="rId352" ref="T179"/>
    <hyperlink r:id="rId353" ref="U179"/>
    <hyperlink r:id="rId354" ref="T180"/>
    <hyperlink r:id="rId355" ref="U180"/>
    <hyperlink r:id="rId356" ref="T181"/>
    <hyperlink r:id="rId357" ref="U181"/>
    <hyperlink r:id="rId358" ref="T182"/>
    <hyperlink r:id="rId359" ref="U182"/>
    <hyperlink r:id="rId360" ref="T183"/>
    <hyperlink r:id="rId361" ref="U183"/>
    <hyperlink r:id="rId362" ref="T184"/>
    <hyperlink r:id="rId363" ref="U184"/>
    <hyperlink r:id="rId364" ref="T185"/>
    <hyperlink r:id="rId365" ref="U185"/>
    <hyperlink r:id="rId366" ref="T186"/>
    <hyperlink r:id="rId367" ref="U186"/>
    <hyperlink r:id="rId368" ref="T187"/>
    <hyperlink r:id="rId369" ref="U187"/>
    <hyperlink r:id="rId370" ref="T188"/>
    <hyperlink r:id="rId371" ref="U188"/>
    <hyperlink r:id="rId372" ref="T189"/>
    <hyperlink r:id="rId373" ref="U189"/>
    <hyperlink r:id="rId374" ref="T190"/>
    <hyperlink r:id="rId375" ref="U190"/>
    <hyperlink r:id="rId376" ref="T191"/>
    <hyperlink r:id="rId377" ref="U191"/>
    <hyperlink r:id="rId378" ref="T192"/>
    <hyperlink r:id="rId379" ref="U192"/>
    <hyperlink r:id="rId380" ref="T193"/>
    <hyperlink r:id="rId381" ref="U193"/>
    <hyperlink r:id="rId382" ref="T194"/>
    <hyperlink r:id="rId383" ref="U194"/>
    <hyperlink r:id="rId384" ref="T195"/>
    <hyperlink r:id="rId385" ref="U195"/>
    <hyperlink r:id="rId386" ref="T196"/>
    <hyperlink r:id="rId387" ref="U196"/>
    <hyperlink r:id="rId388" ref="T197"/>
    <hyperlink r:id="rId389" ref="U197"/>
    <hyperlink r:id="rId390" ref="T198"/>
    <hyperlink r:id="rId391" ref="U198"/>
    <hyperlink r:id="rId392" ref="T199"/>
    <hyperlink r:id="rId393" ref="U199"/>
    <hyperlink r:id="rId394" ref="T200"/>
    <hyperlink r:id="rId395" ref="U200"/>
    <hyperlink r:id="rId396" ref="T201"/>
    <hyperlink r:id="rId397" ref="U201"/>
    <hyperlink r:id="rId398" ref="T202"/>
    <hyperlink r:id="rId399" ref="U202"/>
    <hyperlink r:id="rId400" ref="T203"/>
    <hyperlink r:id="rId401" ref="U203"/>
    <hyperlink r:id="rId402" ref="T204"/>
    <hyperlink r:id="rId403" ref="U204"/>
    <hyperlink r:id="rId404" ref="T205"/>
    <hyperlink r:id="rId405" ref="U205"/>
    <hyperlink r:id="rId406" ref="T206"/>
    <hyperlink r:id="rId407" ref="U206"/>
    <hyperlink r:id="rId408" ref="T207"/>
    <hyperlink r:id="rId409" ref="U207"/>
    <hyperlink r:id="rId410" ref="T208"/>
    <hyperlink r:id="rId411" ref="U208"/>
    <hyperlink r:id="rId412" ref="T209"/>
    <hyperlink r:id="rId413" ref="U209"/>
    <hyperlink r:id="rId414" ref="T210"/>
    <hyperlink r:id="rId415" ref="U210"/>
    <hyperlink r:id="rId416" ref="T211"/>
    <hyperlink r:id="rId417" ref="U211"/>
    <hyperlink r:id="rId418" ref="T212"/>
    <hyperlink r:id="rId419" ref="U212"/>
    <hyperlink r:id="rId420" ref="T213"/>
    <hyperlink r:id="rId421" ref="U213"/>
    <hyperlink r:id="rId422" ref="T214"/>
    <hyperlink r:id="rId423" ref="U214"/>
    <hyperlink r:id="rId424" ref="T215"/>
    <hyperlink r:id="rId425" ref="U215"/>
    <hyperlink r:id="rId426" ref="T216"/>
    <hyperlink r:id="rId427" ref="U216"/>
    <hyperlink r:id="rId428" ref="T217"/>
    <hyperlink r:id="rId429" ref="U217"/>
    <hyperlink r:id="rId430" ref="T218"/>
    <hyperlink r:id="rId431" ref="U218"/>
    <hyperlink r:id="rId432" ref="T219"/>
    <hyperlink r:id="rId433" ref="U219"/>
    <hyperlink r:id="rId434" ref="T220"/>
    <hyperlink r:id="rId435" ref="U220"/>
    <hyperlink r:id="rId436" ref="T221"/>
    <hyperlink r:id="rId437" ref="U221"/>
    <hyperlink r:id="rId438" ref="T222"/>
    <hyperlink r:id="rId439" ref="U222"/>
    <hyperlink r:id="rId440" ref="T223"/>
    <hyperlink r:id="rId441" ref="U223"/>
    <hyperlink r:id="rId442" ref="T224"/>
    <hyperlink r:id="rId443" ref="U224"/>
    <hyperlink r:id="rId444" ref="T225"/>
    <hyperlink r:id="rId445" ref="U225"/>
    <hyperlink r:id="rId446" ref="T226"/>
    <hyperlink r:id="rId447" ref="U226"/>
    <hyperlink r:id="rId448" ref="T227"/>
    <hyperlink r:id="rId449" ref="U227"/>
    <hyperlink r:id="rId450" ref="T228"/>
    <hyperlink r:id="rId451" ref="U228"/>
    <hyperlink r:id="rId452" ref="T229"/>
    <hyperlink r:id="rId453" ref="U229"/>
    <hyperlink r:id="rId454" ref="T230"/>
    <hyperlink r:id="rId455" ref="U230"/>
    <hyperlink r:id="rId456" ref="T231"/>
    <hyperlink r:id="rId457" ref="U231"/>
    <hyperlink r:id="rId458" ref="T232"/>
    <hyperlink r:id="rId459" ref="U232"/>
    <hyperlink r:id="rId460" ref="T233"/>
    <hyperlink r:id="rId461" ref="U233"/>
    <hyperlink r:id="rId462" ref="T234"/>
    <hyperlink r:id="rId463" ref="U234"/>
    <hyperlink r:id="rId464" ref="T235"/>
    <hyperlink r:id="rId465" ref="U235"/>
    <hyperlink r:id="rId466" ref="T236"/>
    <hyperlink r:id="rId467" ref="U236"/>
    <hyperlink r:id="rId468" ref="T237"/>
    <hyperlink r:id="rId469" ref="U237"/>
    <hyperlink r:id="rId470" ref="T238"/>
    <hyperlink r:id="rId471" ref="U238"/>
    <hyperlink r:id="rId472" ref="T239"/>
    <hyperlink r:id="rId473" ref="U239"/>
    <hyperlink r:id="rId474" ref="T240"/>
    <hyperlink r:id="rId475" ref="U240"/>
    <hyperlink r:id="rId476" ref="T241"/>
    <hyperlink r:id="rId477" ref="U241"/>
    <hyperlink r:id="rId478" ref="T242"/>
    <hyperlink r:id="rId479" ref="U242"/>
    <hyperlink r:id="rId480" ref="T243"/>
    <hyperlink r:id="rId481" ref="U243"/>
    <hyperlink r:id="rId482" ref="T244"/>
    <hyperlink r:id="rId483" ref="U244"/>
    <hyperlink r:id="rId484" ref="T245"/>
    <hyperlink r:id="rId485" ref="U245"/>
    <hyperlink r:id="rId486" ref="T246"/>
    <hyperlink r:id="rId487" ref="U246"/>
    <hyperlink r:id="rId488" ref="T247"/>
    <hyperlink r:id="rId489" ref="U247"/>
    <hyperlink r:id="rId490" ref="T248"/>
    <hyperlink r:id="rId491" ref="U248"/>
    <hyperlink r:id="rId492" ref="T249"/>
    <hyperlink r:id="rId493" ref="U249"/>
    <hyperlink r:id="rId494" ref="T250"/>
    <hyperlink r:id="rId495" ref="U250"/>
    <hyperlink r:id="rId496" ref="T251"/>
    <hyperlink r:id="rId497" ref="U251"/>
    <hyperlink r:id="rId498" ref="T252"/>
    <hyperlink r:id="rId499" ref="U252"/>
    <hyperlink r:id="rId500" ref="T253"/>
    <hyperlink r:id="rId501" ref="U253"/>
    <hyperlink r:id="rId502" ref="T254"/>
    <hyperlink r:id="rId503" ref="U254"/>
    <hyperlink r:id="rId504" ref="T255"/>
    <hyperlink r:id="rId505" ref="U255"/>
    <hyperlink r:id="rId506" ref="T256"/>
    <hyperlink r:id="rId507" ref="U256"/>
    <hyperlink r:id="rId508" ref="T257"/>
    <hyperlink r:id="rId509" ref="U257"/>
    <hyperlink r:id="rId510" ref="T258"/>
    <hyperlink r:id="rId511" ref="U258"/>
    <hyperlink r:id="rId512" ref="T259"/>
    <hyperlink r:id="rId513" ref="U259"/>
    <hyperlink r:id="rId514" ref="T260"/>
    <hyperlink r:id="rId515" ref="U260"/>
    <hyperlink r:id="rId516" ref="T261"/>
    <hyperlink r:id="rId517" ref="U261"/>
    <hyperlink r:id="rId518" ref="T262"/>
    <hyperlink r:id="rId519" ref="U262"/>
    <hyperlink r:id="rId520" ref="T263"/>
    <hyperlink r:id="rId521" ref="U263"/>
    <hyperlink r:id="rId522" ref="T264"/>
    <hyperlink r:id="rId523" ref="U264"/>
    <hyperlink r:id="rId524" ref="T265"/>
    <hyperlink r:id="rId525" ref="U265"/>
    <hyperlink r:id="rId526" ref="U266"/>
    <hyperlink r:id="rId527" ref="T267"/>
    <hyperlink r:id="rId528" ref="U267"/>
    <hyperlink r:id="rId529" ref="T268"/>
    <hyperlink r:id="rId530" ref="U268"/>
    <hyperlink r:id="rId531" ref="T269"/>
    <hyperlink r:id="rId532" ref="U269"/>
    <hyperlink r:id="rId533" ref="T270"/>
    <hyperlink r:id="rId534" ref="U270"/>
    <hyperlink r:id="rId535" ref="T271"/>
    <hyperlink r:id="rId536" ref="U271"/>
    <hyperlink r:id="rId537" ref="T272"/>
    <hyperlink r:id="rId538" ref="U272"/>
    <hyperlink r:id="rId539" ref="T273"/>
    <hyperlink r:id="rId540" ref="U273"/>
    <hyperlink r:id="rId541" ref="T274"/>
    <hyperlink r:id="rId542" ref="U274"/>
    <hyperlink r:id="rId543" ref="T275"/>
    <hyperlink r:id="rId544" ref="U275"/>
    <hyperlink r:id="rId545" ref="T276"/>
    <hyperlink r:id="rId546" ref="U276"/>
    <hyperlink r:id="rId547" ref="T277"/>
    <hyperlink r:id="rId548" ref="U277"/>
    <hyperlink r:id="rId549" ref="T278"/>
    <hyperlink r:id="rId550" ref="U278"/>
    <hyperlink r:id="rId551" ref="T279"/>
    <hyperlink r:id="rId552" ref="U279"/>
    <hyperlink r:id="rId553" ref="T280"/>
    <hyperlink r:id="rId554" ref="U280"/>
    <hyperlink r:id="rId555" ref="T281"/>
    <hyperlink r:id="rId556" ref="U281"/>
    <hyperlink r:id="rId557" ref="T282"/>
    <hyperlink r:id="rId558" ref="U282"/>
    <hyperlink r:id="rId559" ref="T283"/>
    <hyperlink r:id="rId560" ref="U283"/>
    <hyperlink r:id="rId561" ref="T284"/>
    <hyperlink r:id="rId562" ref="U284"/>
    <hyperlink r:id="rId563" ref="T285"/>
    <hyperlink r:id="rId564" ref="U285"/>
    <hyperlink r:id="rId565" ref="T286"/>
    <hyperlink r:id="rId566" ref="U286"/>
    <hyperlink r:id="rId567" ref="T287"/>
    <hyperlink r:id="rId568" ref="U287"/>
    <hyperlink r:id="rId569" ref="T288"/>
    <hyperlink r:id="rId570" ref="U288"/>
    <hyperlink r:id="rId571" ref="T289"/>
    <hyperlink r:id="rId572" ref="U289"/>
    <hyperlink r:id="rId573" ref="T290"/>
    <hyperlink r:id="rId574" ref="U290"/>
    <hyperlink r:id="rId575" ref="T291"/>
    <hyperlink r:id="rId576" ref="U291"/>
    <hyperlink r:id="rId577" ref="T292"/>
    <hyperlink r:id="rId578" ref="U292"/>
    <hyperlink r:id="rId579" ref="T293"/>
    <hyperlink r:id="rId580" ref="U293"/>
    <hyperlink r:id="rId581" ref="T294"/>
    <hyperlink r:id="rId582" ref="U294"/>
    <hyperlink r:id="rId583" ref="T295"/>
    <hyperlink r:id="rId584" ref="U295"/>
    <hyperlink r:id="rId585" ref="T296"/>
    <hyperlink r:id="rId586" ref="U296"/>
    <hyperlink r:id="rId587" ref="T297"/>
    <hyperlink r:id="rId588" ref="U297"/>
    <hyperlink r:id="rId589" ref="T298"/>
    <hyperlink r:id="rId590" ref="U298"/>
    <hyperlink r:id="rId591" ref="T299"/>
    <hyperlink r:id="rId592" ref="U299"/>
    <hyperlink r:id="rId593" ref="T300"/>
    <hyperlink r:id="rId594" ref="U300"/>
    <hyperlink r:id="rId595" ref="T302"/>
    <hyperlink r:id="rId596" ref="U302"/>
    <hyperlink r:id="rId597" ref="T303"/>
    <hyperlink r:id="rId598" ref="U303"/>
    <hyperlink r:id="rId599" ref="T304"/>
    <hyperlink r:id="rId600" ref="U304"/>
    <hyperlink r:id="rId601" ref="T305"/>
    <hyperlink r:id="rId602" ref="U305"/>
    <hyperlink r:id="rId603" ref="T306"/>
    <hyperlink r:id="rId604" ref="U306"/>
    <hyperlink r:id="rId605" ref="T307"/>
    <hyperlink r:id="rId606" ref="U307"/>
    <hyperlink r:id="rId607" ref="T308"/>
    <hyperlink r:id="rId608" ref="U308"/>
    <hyperlink r:id="rId609" ref="T309"/>
    <hyperlink r:id="rId610" ref="U309"/>
    <hyperlink r:id="rId611" ref="T310"/>
    <hyperlink r:id="rId612" ref="U310"/>
    <hyperlink r:id="rId613" ref="T311"/>
    <hyperlink r:id="rId614" ref="U311"/>
    <hyperlink r:id="rId615" ref="T312"/>
    <hyperlink r:id="rId616" ref="U312"/>
    <hyperlink r:id="rId617" ref="T313"/>
    <hyperlink r:id="rId618" ref="U313"/>
    <hyperlink r:id="rId619" ref="T314"/>
    <hyperlink r:id="rId620" ref="U314"/>
    <hyperlink r:id="rId621" ref="T315"/>
    <hyperlink r:id="rId622" ref="U315"/>
    <hyperlink r:id="rId623" ref="T316"/>
    <hyperlink r:id="rId624" ref="U316"/>
    <hyperlink r:id="rId625" ref="T317"/>
    <hyperlink r:id="rId626" ref="U317"/>
    <hyperlink r:id="rId627" ref="T318"/>
    <hyperlink r:id="rId628" ref="U318"/>
    <hyperlink r:id="rId629" ref="T319"/>
    <hyperlink r:id="rId630" ref="U319"/>
    <hyperlink r:id="rId631" ref="T320"/>
    <hyperlink r:id="rId632" ref="U320"/>
    <hyperlink r:id="rId633" ref="T324"/>
    <hyperlink r:id="rId634" ref="U324"/>
    <hyperlink r:id="rId635" ref="T325"/>
    <hyperlink r:id="rId636" ref="U325"/>
    <hyperlink r:id="rId637" ref="T326"/>
    <hyperlink r:id="rId638" ref="U326"/>
    <hyperlink r:id="rId639" ref="T327"/>
    <hyperlink r:id="rId640" ref="U327"/>
    <hyperlink r:id="rId641" ref="T328"/>
    <hyperlink r:id="rId642" ref="U328"/>
    <hyperlink r:id="rId643" ref="T329"/>
    <hyperlink r:id="rId644" ref="U329"/>
    <hyperlink r:id="rId645" ref="T330"/>
    <hyperlink r:id="rId646" ref="U330"/>
    <hyperlink r:id="rId647" ref="T331"/>
    <hyperlink r:id="rId648" ref="U331"/>
    <hyperlink r:id="rId649" ref="T332"/>
    <hyperlink r:id="rId650" ref="U332"/>
    <hyperlink r:id="rId651" ref="T334"/>
    <hyperlink r:id="rId652" ref="U334"/>
  </hyperlinks>
  <printOptions horizontalCentered="1"/>
  <pageMargins bottom="0.75" footer="0.0" header="0.0" left="0.0" right="0.0" top="0.75"/>
  <pageSetup fitToHeight="0" paperSize="8" orientation="landscape" pageOrder="overThenDown"/>
  <drawing r:id="rId6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0.75"/>
    <col customWidth="1" min="3" max="3" width="34.88"/>
    <col customWidth="1" min="4" max="4" width="29.0"/>
    <col customWidth="1" min="5" max="5" width="28.0"/>
    <col customWidth="1" min="6" max="7" width="41.13"/>
  </cols>
  <sheetData>
    <row r="1" ht="15.75" customHeight="1">
      <c r="A1" s="166" t="s">
        <v>0</v>
      </c>
      <c r="B1" s="167" t="s">
        <v>11</v>
      </c>
      <c r="C1" s="168" t="s">
        <v>3719</v>
      </c>
      <c r="D1" s="166" t="s">
        <v>3720</v>
      </c>
      <c r="E1" s="166" t="s">
        <v>3721</v>
      </c>
      <c r="F1" s="169"/>
      <c r="G1" s="169"/>
    </row>
    <row r="2" ht="337.5" customHeight="1">
      <c r="A2" s="170" t="s">
        <v>3722</v>
      </c>
      <c r="B2" s="171" t="s">
        <v>3723</v>
      </c>
      <c r="C2" s="172" t="s">
        <v>3724</v>
      </c>
      <c r="D2" s="173" t="s">
        <v>3725</v>
      </c>
      <c r="E2" s="173" t="s">
        <v>3726</v>
      </c>
      <c r="F2" s="174" t="s">
        <v>3727</v>
      </c>
      <c r="G2" s="17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166" t="s">
        <v>0</v>
      </c>
      <c r="B1" s="167" t="s">
        <v>11</v>
      </c>
      <c r="C1" s="168" t="s">
        <v>3719</v>
      </c>
      <c r="D1" s="175" t="s">
        <v>3719</v>
      </c>
      <c r="E1" s="176" t="s">
        <v>3721</v>
      </c>
      <c r="F1" s="166" t="s">
        <v>3720</v>
      </c>
      <c r="G1" s="177"/>
      <c r="H1" s="169"/>
    </row>
    <row r="2" ht="337.5" customHeight="1">
      <c r="A2" s="170" t="s">
        <v>3728</v>
      </c>
      <c r="B2" s="171" t="s">
        <v>3723</v>
      </c>
      <c r="C2" s="172" t="s">
        <v>3729</v>
      </c>
      <c r="D2" s="172" t="s">
        <v>3730</v>
      </c>
      <c r="E2" s="178" t="s">
        <v>3731</v>
      </c>
      <c r="F2" s="173" t="s">
        <v>3732</v>
      </c>
      <c r="G2" s="179" t="s">
        <v>3727</v>
      </c>
      <c r="H2" s="180" t="s">
        <v>3733</v>
      </c>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181"/>
    </row>
    <row r="3" ht="39.75" customHeight="1"/>
    <row r="4" ht="39.75" customHeight="1"/>
    <row r="5" ht="39.75" customHeight="1"/>
    <row r="6" ht="39.75" customHeight="1">
      <c r="B6" s="182"/>
      <c r="C6" s="183" t="s">
        <v>3734</v>
      </c>
      <c r="D6" s="184"/>
      <c r="E6" s="184"/>
      <c r="F6" s="185"/>
    </row>
    <row r="7" ht="39.75" customHeight="1">
      <c r="J7" s="186" t="s">
        <v>3735</v>
      </c>
    </row>
    <row r="8" ht="39.75" customHeight="1">
      <c r="B8" s="187"/>
      <c r="C8" s="183" t="s">
        <v>3736</v>
      </c>
      <c r="D8" s="184"/>
      <c r="E8" s="184"/>
      <c r="F8" s="185"/>
    </row>
    <row r="9" ht="39.75" customHeight="1"/>
    <row r="10" ht="39.75" customHeight="1">
      <c r="B10" s="188"/>
      <c r="C10" s="183" t="s">
        <v>3737</v>
      </c>
      <c r="D10" s="184"/>
      <c r="E10" s="184"/>
      <c r="F10" s="185"/>
    </row>
    <row r="11" ht="39.75" customHeight="1"/>
    <row r="12" ht="39.75" customHeight="1">
      <c r="B12" s="189"/>
      <c r="C12" s="190" t="s">
        <v>3738</v>
      </c>
      <c r="D12" s="184"/>
      <c r="E12" s="184"/>
      <c r="F12" s="185"/>
    </row>
    <row r="13" ht="39.75" customHeight="1"/>
    <row r="14" ht="39.75" customHeight="1"/>
    <row r="15" ht="39.75" customHeight="1"/>
    <row r="16" ht="39.75" customHeight="1"/>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ht="15.75" customHeight="1">
      <c r="A1" s="191" t="s">
        <v>3739</v>
      </c>
      <c r="B1" s="45"/>
      <c r="C1" s="192">
        <v>53.0</v>
      </c>
      <c r="D1" s="193" t="s">
        <v>3740</v>
      </c>
      <c r="E1" s="42" t="s">
        <v>134</v>
      </c>
      <c r="F1" s="194" t="str">
        <f t="shared" ref="F1:F2" si="1">CONCATENATE(E1,", . celé Slovensko")</f>
        <v>Trenčiansky kraj, . celé Slovensko</v>
      </c>
      <c r="G1" s="71" t="s">
        <v>243</v>
      </c>
      <c r="H1" s="194" t="str">
        <f t="shared" ref="H1:H2" si="2">CONCATENATE(G1,", . všetky kategórie")</f>
        <v>potraviny a nápoje, . všetky kategórie</v>
      </c>
      <c r="I1" s="44" t="s">
        <v>96</v>
      </c>
      <c r="J1" s="195" t="str">
        <f t="shared" ref="J1:J2" si="3">CONCATENATE(I1,", . nezáleží")</f>
        <v>6 - 10, . nezáleží</v>
      </c>
      <c r="K1" s="196">
        <f t="shared" ref="K1:K2" si="4">IF(LEN(Z1)&gt;1, RAND()*TODAY(),RAND())</f>
        <v>27505.62784</v>
      </c>
      <c r="L1" s="45"/>
      <c r="M1" s="197" t="str">
        <f>IFERROR(__xludf.DUMMYFUNCTION("SPLIT(O1,"","")"),"Tužina 537 ")</f>
        <v>Tužina 537 </v>
      </c>
      <c r="N1" s="48" t="str">
        <f>IFERROR(__xludf.DUMMYFUNCTION("""COMPUTED_VALUE""")," 972 14 Tužina")</f>
        <v> 972 14 Tužina</v>
      </c>
      <c r="O1" s="48" t="s">
        <v>3741</v>
      </c>
      <c r="P1" s="198">
        <v>48.8937886999999</v>
      </c>
      <c r="Q1" s="198">
        <v>18.6164555</v>
      </c>
      <c r="R1" s="199" t="s">
        <v>3742</v>
      </c>
      <c r="S1" s="199"/>
      <c r="T1" s="200"/>
      <c r="U1" s="200"/>
      <c r="V1" s="201"/>
      <c r="W1" s="202" t="s">
        <v>3743</v>
      </c>
      <c r="X1" s="203" t="s">
        <v>3744</v>
      </c>
      <c r="Y1" s="204" t="s">
        <v>3745</v>
      </c>
      <c r="Z1" s="205" t="s">
        <v>3746</v>
      </c>
      <c r="AA1" s="55" t="s">
        <v>3747</v>
      </c>
      <c r="AB1" s="76" t="s">
        <v>3748</v>
      </c>
      <c r="AC1" s="206" t="s">
        <v>3740</v>
      </c>
      <c r="AD1" s="202" t="s">
        <v>3749</v>
      </c>
      <c r="AE1" s="207" t="s">
        <v>3750</v>
      </c>
      <c r="AF1" s="208" t="s">
        <v>64</v>
      </c>
      <c r="AG1" s="209"/>
      <c r="AH1" s="202"/>
      <c r="AI1" s="207"/>
      <c r="AJ1" s="208"/>
      <c r="AK1" s="209"/>
      <c r="AL1" s="202"/>
      <c r="AM1" s="207"/>
      <c r="AN1" s="208"/>
      <c r="AO1" s="209"/>
      <c r="AP1" s="202"/>
      <c r="AQ1" s="207"/>
      <c r="AR1" s="210"/>
      <c r="AS1" s="210"/>
    </row>
    <row r="2" ht="15.75" customHeight="1">
      <c r="A2" s="211" t="s">
        <v>3739</v>
      </c>
      <c r="B2" s="212"/>
      <c r="C2" s="192">
        <v>232.0</v>
      </c>
      <c r="D2" s="213" t="s">
        <v>3751</v>
      </c>
      <c r="E2" s="214" t="s">
        <v>94</v>
      </c>
      <c r="F2" s="194" t="str">
        <f t="shared" si="1"/>
        <v>Bratislavský kraj, . celé Slovensko</v>
      </c>
      <c r="G2" s="215" t="s">
        <v>243</v>
      </c>
      <c r="H2" s="194" t="str">
        <f t="shared" si="2"/>
        <v>potraviny a nápoje, . všetky kategórie</v>
      </c>
      <c r="I2" s="216" t="s">
        <v>53</v>
      </c>
      <c r="J2" s="195" t="str">
        <f t="shared" si="3"/>
        <v>1 - 5, . nezáleží</v>
      </c>
      <c r="K2" s="196">
        <f t="shared" si="4"/>
        <v>12892.04752</v>
      </c>
      <c r="L2" s="212"/>
      <c r="M2" s="197" t="str">
        <f>IFERROR(__xludf.DUMMYFUNCTION("SPLIT(O2,"","")"),"Budmerice 589")</f>
        <v>Budmerice 589</v>
      </c>
      <c r="N2" s="217" t="str">
        <f>IFERROR(__xludf.DUMMYFUNCTION("""COMPUTED_VALUE""")," 900 86 Budmerice")</f>
        <v> 900 86 Budmerice</v>
      </c>
      <c r="O2" s="217" t="s">
        <v>3752</v>
      </c>
      <c r="P2" s="218">
        <v>48.3536722</v>
      </c>
      <c r="Q2" s="218">
        <v>17.4062449</v>
      </c>
      <c r="R2" s="219"/>
      <c r="S2" s="219"/>
      <c r="T2" s="219"/>
      <c r="U2" s="219"/>
      <c r="V2" s="220"/>
      <c r="W2" s="221" t="s">
        <v>3753</v>
      </c>
      <c r="X2" s="222" t="s">
        <v>3754</v>
      </c>
      <c r="Y2" s="223" t="s">
        <v>3755</v>
      </c>
      <c r="Z2" s="224" t="s">
        <v>3756</v>
      </c>
      <c r="AA2" s="84" t="s">
        <v>3757</v>
      </c>
      <c r="AB2" s="225" t="s">
        <v>3758</v>
      </c>
      <c r="AC2" s="226" t="s">
        <v>3759</v>
      </c>
      <c r="AD2" s="227" t="s">
        <v>3760</v>
      </c>
      <c r="AE2" s="228" t="s">
        <v>3761</v>
      </c>
      <c r="AF2" s="229" t="s">
        <v>64</v>
      </c>
      <c r="AG2" s="230"/>
      <c r="AH2" s="231"/>
      <c r="AI2" s="231"/>
      <c r="AJ2" s="231"/>
      <c r="AK2" s="231"/>
      <c r="AL2" s="230"/>
      <c r="AM2" s="230"/>
      <c r="AN2" s="232"/>
      <c r="AO2" s="231"/>
      <c r="AP2" s="233"/>
      <c r="AQ2" s="234"/>
      <c r="AR2" s="210"/>
      <c r="AS2" s="210"/>
    </row>
    <row r="3">
      <c r="A3" s="235"/>
    </row>
    <row r="4">
      <c r="A4" s="235"/>
    </row>
    <row r="5">
      <c r="A5" s="235"/>
    </row>
    <row r="6">
      <c r="A6" s="235"/>
    </row>
    <row r="7">
      <c r="A7" s="235"/>
    </row>
    <row r="8">
      <c r="A8" s="235"/>
    </row>
    <row r="9">
      <c r="A9" s="235"/>
    </row>
    <row r="10">
      <c r="A10" s="235"/>
    </row>
    <row r="11">
      <c r="A11" s="235"/>
    </row>
    <row r="12">
      <c r="A12" s="235"/>
    </row>
    <row r="13">
      <c r="A13" s="235"/>
    </row>
    <row r="14">
      <c r="A14" s="235"/>
    </row>
    <row r="15">
      <c r="A15" s="235"/>
    </row>
    <row r="16">
      <c r="A16" s="235"/>
    </row>
    <row r="17">
      <c r="A17" s="235"/>
    </row>
    <row r="18">
      <c r="A18" s="235"/>
    </row>
    <row r="19">
      <c r="A19" s="235"/>
    </row>
    <row r="20">
      <c r="A20" s="235"/>
    </row>
    <row r="21">
      <c r="A21" s="235"/>
    </row>
    <row r="22">
      <c r="A22" s="235"/>
    </row>
    <row r="23">
      <c r="A23" s="235"/>
    </row>
    <row r="24">
      <c r="A24" s="235"/>
    </row>
    <row r="25">
      <c r="A25" s="235"/>
    </row>
    <row r="26">
      <c r="A26" s="235"/>
    </row>
    <row r="27">
      <c r="A27" s="235"/>
    </row>
    <row r="28">
      <c r="A28" s="235"/>
    </row>
    <row r="29">
      <c r="A29" s="235"/>
    </row>
    <row r="30">
      <c r="A30" s="235"/>
    </row>
    <row r="31">
      <c r="A31" s="235"/>
    </row>
    <row r="32">
      <c r="A32" s="235"/>
    </row>
    <row r="33">
      <c r="A33" s="235"/>
    </row>
    <row r="34">
      <c r="A34" s="235"/>
    </row>
    <row r="35">
      <c r="A35" s="235"/>
    </row>
    <row r="36">
      <c r="A36" s="235"/>
    </row>
    <row r="37">
      <c r="A37" s="235"/>
    </row>
    <row r="38">
      <c r="A38" s="235"/>
    </row>
    <row r="39">
      <c r="A39" s="235"/>
    </row>
    <row r="40">
      <c r="A40" s="235"/>
    </row>
    <row r="41">
      <c r="A41" s="235"/>
    </row>
    <row r="42">
      <c r="A42" s="235"/>
    </row>
    <row r="43">
      <c r="A43" s="235"/>
    </row>
    <row r="44">
      <c r="A44" s="235"/>
    </row>
    <row r="45">
      <c r="A45" s="235"/>
    </row>
    <row r="46">
      <c r="A46" s="235"/>
    </row>
    <row r="47">
      <c r="A47" s="235"/>
    </row>
    <row r="48">
      <c r="A48" s="235"/>
    </row>
    <row r="49">
      <c r="A49" s="235"/>
    </row>
    <row r="50">
      <c r="A50" s="235"/>
    </row>
    <row r="51">
      <c r="A51" s="235"/>
    </row>
    <row r="52">
      <c r="A52" s="235"/>
    </row>
    <row r="53">
      <c r="A53" s="235"/>
    </row>
    <row r="54">
      <c r="A54" s="235"/>
    </row>
    <row r="55">
      <c r="A55" s="235"/>
    </row>
    <row r="56">
      <c r="A56" s="235"/>
    </row>
    <row r="57">
      <c r="A57" s="235"/>
    </row>
    <row r="58">
      <c r="A58" s="235"/>
    </row>
    <row r="59">
      <c r="A59" s="235"/>
    </row>
    <row r="60">
      <c r="A60" s="235"/>
    </row>
    <row r="61">
      <c r="A61" s="235"/>
    </row>
    <row r="62">
      <c r="A62" s="235"/>
    </row>
    <row r="63">
      <c r="A63" s="235"/>
    </row>
    <row r="64">
      <c r="A64" s="235"/>
    </row>
    <row r="65">
      <c r="A65" s="235"/>
    </row>
    <row r="66">
      <c r="A66" s="235"/>
    </row>
    <row r="67">
      <c r="A67" s="235"/>
    </row>
    <row r="68">
      <c r="A68" s="235"/>
    </row>
    <row r="69">
      <c r="A69" s="235"/>
    </row>
    <row r="70">
      <c r="A70" s="235"/>
    </row>
    <row r="71">
      <c r="A71" s="235"/>
    </row>
    <row r="72">
      <c r="A72" s="235"/>
    </row>
    <row r="73">
      <c r="A73" s="235"/>
    </row>
    <row r="74">
      <c r="A74" s="235"/>
    </row>
    <row r="75">
      <c r="A75" s="235"/>
    </row>
    <row r="76">
      <c r="A76" s="235"/>
    </row>
    <row r="77">
      <c r="A77" s="235"/>
    </row>
    <row r="78">
      <c r="A78" s="235"/>
    </row>
    <row r="79">
      <c r="A79" s="235"/>
    </row>
    <row r="80">
      <c r="A80" s="235"/>
    </row>
    <row r="81">
      <c r="A81" s="235"/>
    </row>
    <row r="82">
      <c r="A82" s="235"/>
    </row>
    <row r="83">
      <c r="A83" s="235"/>
    </row>
    <row r="84">
      <c r="A84" s="235"/>
    </row>
    <row r="85">
      <c r="A85" s="235"/>
    </row>
    <row r="86">
      <c r="A86" s="235"/>
    </row>
    <row r="87">
      <c r="A87" s="235"/>
    </row>
    <row r="88">
      <c r="A88" s="235"/>
    </row>
    <row r="89">
      <c r="A89" s="235"/>
    </row>
    <row r="90">
      <c r="A90" s="235"/>
    </row>
    <row r="91">
      <c r="A91" s="235"/>
    </row>
    <row r="92">
      <c r="A92" s="235"/>
    </row>
    <row r="93">
      <c r="A93" s="235"/>
    </row>
    <row r="94">
      <c r="A94" s="235"/>
    </row>
    <row r="95">
      <c r="A95" s="235"/>
    </row>
    <row r="96">
      <c r="A96" s="235"/>
    </row>
    <row r="97">
      <c r="A97" s="235"/>
    </row>
    <row r="98">
      <c r="A98" s="235"/>
    </row>
    <row r="99">
      <c r="A99" s="235"/>
    </row>
    <row r="100">
      <c r="A100" s="235"/>
    </row>
    <row r="101">
      <c r="A101" s="235"/>
    </row>
    <row r="102">
      <c r="A102" s="235"/>
    </row>
    <row r="103">
      <c r="A103" s="235"/>
    </row>
    <row r="104">
      <c r="A104" s="235"/>
    </row>
    <row r="105">
      <c r="A105" s="235"/>
    </row>
    <row r="106">
      <c r="A106" s="235"/>
    </row>
    <row r="107">
      <c r="A107" s="235"/>
    </row>
    <row r="108">
      <c r="A108" s="235"/>
    </row>
    <row r="109">
      <c r="A109" s="235"/>
    </row>
    <row r="110">
      <c r="A110" s="235"/>
    </row>
    <row r="111">
      <c r="A111" s="235"/>
    </row>
    <row r="112">
      <c r="A112" s="235"/>
    </row>
    <row r="113">
      <c r="A113" s="235"/>
    </row>
    <row r="114">
      <c r="A114" s="235"/>
    </row>
    <row r="115">
      <c r="A115" s="235"/>
    </row>
    <row r="116">
      <c r="A116" s="235"/>
    </row>
    <row r="117">
      <c r="A117" s="235"/>
    </row>
    <row r="118">
      <c r="A118" s="235"/>
    </row>
    <row r="119">
      <c r="A119" s="235"/>
    </row>
    <row r="120">
      <c r="A120" s="235"/>
    </row>
    <row r="121">
      <c r="A121" s="235"/>
    </row>
    <row r="122">
      <c r="A122" s="235"/>
    </row>
    <row r="123">
      <c r="A123" s="235"/>
    </row>
    <row r="124">
      <c r="A124" s="235"/>
    </row>
    <row r="125">
      <c r="A125" s="235"/>
    </row>
    <row r="126">
      <c r="A126" s="235"/>
    </row>
    <row r="127">
      <c r="A127" s="235"/>
    </row>
    <row r="128">
      <c r="A128" s="235"/>
    </row>
    <row r="129">
      <c r="A129" s="235"/>
    </row>
    <row r="130">
      <c r="A130" s="235"/>
    </row>
    <row r="131">
      <c r="A131" s="235"/>
    </row>
    <row r="132">
      <c r="A132" s="235"/>
    </row>
    <row r="133">
      <c r="A133" s="235"/>
    </row>
    <row r="134">
      <c r="A134" s="235"/>
    </row>
    <row r="135">
      <c r="A135" s="235"/>
    </row>
    <row r="136">
      <c r="A136" s="235"/>
    </row>
    <row r="137">
      <c r="A137" s="235"/>
    </row>
    <row r="138">
      <c r="A138" s="235"/>
    </row>
    <row r="139">
      <c r="A139" s="235"/>
    </row>
    <row r="140">
      <c r="A140" s="235"/>
    </row>
    <row r="141">
      <c r="A141" s="235"/>
    </row>
    <row r="142">
      <c r="A142" s="235"/>
    </row>
    <row r="143">
      <c r="A143" s="235"/>
    </row>
    <row r="144">
      <c r="A144" s="235"/>
    </row>
    <row r="145">
      <c r="A145" s="235"/>
    </row>
    <row r="146">
      <c r="A146" s="235"/>
    </row>
    <row r="147">
      <c r="A147" s="235"/>
    </row>
    <row r="148">
      <c r="A148" s="235"/>
    </row>
    <row r="149">
      <c r="A149" s="235"/>
    </row>
    <row r="150">
      <c r="A150" s="235"/>
    </row>
    <row r="151">
      <c r="A151" s="235"/>
    </row>
    <row r="152">
      <c r="A152" s="235"/>
    </row>
    <row r="153">
      <c r="A153" s="235"/>
    </row>
    <row r="154">
      <c r="A154" s="235"/>
    </row>
    <row r="155">
      <c r="A155" s="235"/>
    </row>
    <row r="156">
      <c r="A156" s="235"/>
    </row>
    <row r="157">
      <c r="A157" s="235"/>
    </row>
    <row r="158">
      <c r="A158" s="235"/>
    </row>
    <row r="159">
      <c r="A159" s="235"/>
    </row>
    <row r="160">
      <c r="A160" s="235"/>
    </row>
    <row r="161">
      <c r="A161" s="235"/>
    </row>
    <row r="162">
      <c r="A162" s="235"/>
    </row>
    <row r="163">
      <c r="A163" s="235"/>
    </row>
    <row r="164">
      <c r="A164" s="235"/>
    </row>
    <row r="165">
      <c r="A165" s="235"/>
    </row>
    <row r="166">
      <c r="A166" s="235"/>
    </row>
    <row r="167">
      <c r="A167" s="235"/>
    </row>
    <row r="168">
      <c r="A168" s="235"/>
    </row>
    <row r="169">
      <c r="A169" s="235"/>
    </row>
    <row r="170">
      <c r="A170" s="235"/>
    </row>
    <row r="171">
      <c r="A171" s="235"/>
    </row>
    <row r="172">
      <c r="A172" s="235"/>
    </row>
    <row r="173">
      <c r="A173" s="235"/>
    </row>
    <row r="174">
      <c r="A174" s="235"/>
    </row>
    <row r="175">
      <c r="A175" s="235"/>
    </row>
    <row r="176">
      <c r="A176" s="235"/>
    </row>
    <row r="177">
      <c r="A177" s="235"/>
    </row>
    <row r="178">
      <c r="A178" s="235"/>
    </row>
    <row r="179">
      <c r="A179" s="235"/>
    </row>
    <row r="180">
      <c r="A180" s="235"/>
    </row>
    <row r="181">
      <c r="A181" s="235"/>
    </row>
    <row r="182">
      <c r="A182" s="235"/>
    </row>
    <row r="183">
      <c r="A183" s="235"/>
    </row>
    <row r="184">
      <c r="A184" s="235"/>
    </row>
    <row r="185">
      <c r="A185" s="235"/>
    </row>
    <row r="186">
      <c r="A186" s="235"/>
    </row>
    <row r="187">
      <c r="A187" s="235"/>
    </row>
    <row r="188">
      <c r="A188" s="235"/>
    </row>
    <row r="189">
      <c r="A189" s="235"/>
    </row>
    <row r="190">
      <c r="A190" s="235"/>
    </row>
    <row r="191">
      <c r="A191" s="235"/>
    </row>
    <row r="192">
      <c r="A192" s="235"/>
    </row>
    <row r="193">
      <c r="A193" s="235"/>
    </row>
    <row r="194">
      <c r="A194" s="235"/>
    </row>
    <row r="195">
      <c r="A195" s="235"/>
    </row>
    <row r="196">
      <c r="A196" s="235"/>
    </row>
    <row r="197">
      <c r="A197" s="235"/>
    </row>
    <row r="198">
      <c r="A198" s="235"/>
    </row>
    <row r="199">
      <c r="A199" s="235"/>
    </row>
    <row r="200">
      <c r="A200" s="235"/>
    </row>
    <row r="201">
      <c r="A201" s="235"/>
    </row>
    <row r="202">
      <c r="A202" s="235"/>
    </row>
    <row r="203">
      <c r="A203" s="235"/>
    </row>
    <row r="204">
      <c r="A204" s="235"/>
    </row>
    <row r="205">
      <c r="A205" s="235"/>
    </row>
    <row r="206">
      <c r="A206" s="235"/>
    </row>
    <row r="207">
      <c r="A207" s="235"/>
    </row>
    <row r="208">
      <c r="A208" s="235"/>
    </row>
    <row r="209">
      <c r="A209" s="235"/>
    </row>
    <row r="210">
      <c r="A210" s="235"/>
    </row>
    <row r="211">
      <c r="A211" s="235"/>
    </row>
    <row r="212">
      <c r="A212" s="235"/>
    </row>
    <row r="213">
      <c r="A213" s="235"/>
    </row>
    <row r="214">
      <c r="A214" s="235"/>
    </row>
    <row r="215">
      <c r="A215" s="235"/>
    </row>
    <row r="216">
      <c r="A216" s="235"/>
    </row>
    <row r="217">
      <c r="A217" s="235"/>
    </row>
    <row r="218">
      <c r="A218" s="235"/>
    </row>
    <row r="219">
      <c r="A219" s="235"/>
    </row>
    <row r="220">
      <c r="A220" s="235"/>
    </row>
    <row r="221">
      <c r="A221" s="235"/>
    </row>
    <row r="222">
      <c r="A222" s="235"/>
    </row>
    <row r="223">
      <c r="A223" s="235"/>
    </row>
    <row r="224">
      <c r="A224" s="235"/>
    </row>
    <row r="225">
      <c r="A225" s="235"/>
    </row>
    <row r="226">
      <c r="A226" s="235"/>
    </row>
    <row r="227">
      <c r="A227" s="235"/>
    </row>
    <row r="228">
      <c r="A228" s="235"/>
    </row>
    <row r="229">
      <c r="A229" s="235"/>
    </row>
    <row r="230">
      <c r="A230" s="235"/>
    </row>
    <row r="231">
      <c r="A231" s="235"/>
    </row>
    <row r="232">
      <c r="A232" s="235"/>
    </row>
    <row r="233">
      <c r="A233" s="235"/>
    </row>
    <row r="234">
      <c r="A234" s="235"/>
    </row>
    <row r="235">
      <c r="A235" s="235"/>
    </row>
    <row r="236">
      <c r="A236" s="235"/>
    </row>
    <row r="237">
      <c r="A237" s="235"/>
    </row>
    <row r="238">
      <c r="A238" s="235"/>
    </row>
    <row r="239">
      <c r="A239" s="235"/>
    </row>
    <row r="240">
      <c r="A240" s="235"/>
    </row>
    <row r="241">
      <c r="A241" s="235"/>
    </row>
    <row r="242">
      <c r="A242" s="235"/>
    </row>
    <row r="243">
      <c r="A243" s="235"/>
    </row>
    <row r="244">
      <c r="A244" s="235"/>
    </row>
    <row r="245">
      <c r="A245" s="235"/>
    </row>
    <row r="246">
      <c r="A246" s="235"/>
    </row>
    <row r="247">
      <c r="A247" s="235"/>
    </row>
    <row r="248">
      <c r="A248" s="235"/>
    </row>
    <row r="249">
      <c r="A249" s="235"/>
    </row>
    <row r="250">
      <c r="A250" s="235"/>
    </row>
    <row r="251">
      <c r="A251" s="235"/>
    </row>
    <row r="252">
      <c r="A252" s="235"/>
    </row>
    <row r="253">
      <c r="A253" s="235"/>
    </row>
    <row r="254">
      <c r="A254" s="235"/>
    </row>
    <row r="255">
      <c r="A255" s="235"/>
    </row>
    <row r="256">
      <c r="A256" s="235"/>
    </row>
    <row r="257">
      <c r="A257" s="235"/>
    </row>
    <row r="258">
      <c r="A258" s="235"/>
    </row>
    <row r="259">
      <c r="A259" s="235"/>
    </row>
    <row r="260">
      <c r="A260" s="235"/>
    </row>
    <row r="261">
      <c r="A261" s="235"/>
    </row>
    <row r="262">
      <c r="A262" s="235"/>
    </row>
    <row r="263">
      <c r="A263" s="235"/>
    </row>
    <row r="264">
      <c r="A264" s="235"/>
    </row>
    <row r="265">
      <c r="A265" s="235"/>
    </row>
    <row r="266">
      <c r="A266" s="235"/>
    </row>
    <row r="267">
      <c r="A267" s="235"/>
    </row>
    <row r="268">
      <c r="A268" s="235"/>
    </row>
    <row r="269">
      <c r="A269" s="235"/>
    </row>
    <row r="270">
      <c r="A270" s="235"/>
    </row>
    <row r="271">
      <c r="A271" s="235"/>
    </row>
    <row r="272">
      <c r="A272" s="235"/>
    </row>
    <row r="273">
      <c r="A273" s="235"/>
    </row>
    <row r="274">
      <c r="A274" s="235"/>
    </row>
    <row r="275">
      <c r="A275" s="235"/>
    </row>
    <row r="276">
      <c r="A276" s="235"/>
    </row>
    <row r="277">
      <c r="A277" s="235"/>
    </row>
    <row r="278">
      <c r="A278" s="235"/>
    </row>
    <row r="279">
      <c r="A279" s="235"/>
    </row>
    <row r="280">
      <c r="A280" s="235"/>
    </row>
    <row r="281">
      <c r="A281" s="235"/>
    </row>
    <row r="282">
      <c r="A282" s="235"/>
    </row>
    <row r="283">
      <c r="A283" s="235"/>
    </row>
    <row r="284">
      <c r="A284" s="235"/>
    </row>
    <row r="285">
      <c r="A285" s="235"/>
    </row>
    <row r="286">
      <c r="A286" s="235"/>
    </row>
    <row r="287">
      <c r="A287" s="235"/>
    </row>
    <row r="288">
      <c r="A288" s="235"/>
    </row>
    <row r="289">
      <c r="A289" s="235"/>
    </row>
    <row r="290">
      <c r="A290" s="235"/>
    </row>
    <row r="291">
      <c r="A291" s="235"/>
    </row>
    <row r="292">
      <c r="A292" s="235"/>
    </row>
    <row r="293">
      <c r="A293" s="235"/>
    </row>
    <row r="294">
      <c r="A294" s="235"/>
    </row>
    <row r="295">
      <c r="A295" s="235"/>
    </row>
    <row r="296">
      <c r="A296" s="235"/>
    </row>
    <row r="297">
      <c r="A297" s="235"/>
    </row>
    <row r="298">
      <c r="A298" s="235"/>
    </row>
    <row r="299">
      <c r="A299" s="235"/>
    </row>
    <row r="300">
      <c r="A300" s="235"/>
    </row>
    <row r="301">
      <c r="A301" s="235"/>
    </row>
    <row r="302">
      <c r="A302" s="235"/>
    </row>
    <row r="303">
      <c r="A303" s="235"/>
    </row>
    <row r="304">
      <c r="A304" s="235"/>
    </row>
    <row r="305">
      <c r="A305" s="235"/>
    </row>
    <row r="306">
      <c r="A306" s="235"/>
    </row>
    <row r="307">
      <c r="A307" s="235"/>
    </row>
    <row r="308">
      <c r="A308" s="235"/>
    </row>
    <row r="309">
      <c r="A309" s="235"/>
    </row>
    <row r="310">
      <c r="A310" s="235"/>
    </row>
    <row r="311">
      <c r="A311" s="235"/>
    </row>
    <row r="312">
      <c r="A312" s="235"/>
    </row>
    <row r="313">
      <c r="A313" s="235"/>
    </row>
    <row r="314">
      <c r="A314" s="235"/>
    </row>
    <row r="315">
      <c r="A315" s="235"/>
    </row>
    <row r="316">
      <c r="A316" s="235"/>
    </row>
    <row r="317">
      <c r="A317" s="235"/>
    </row>
    <row r="318">
      <c r="A318" s="235"/>
    </row>
    <row r="319">
      <c r="A319" s="235"/>
    </row>
    <row r="320">
      <c r="A320" s="235"/>
    </row>
    <row r="321">
      <c r="A321" s="235"/>
    </row>
    <row r="322">
      <c r="A322" s="235"/>
    </row>
    <row r="323">
      <c r="A323" s="235"/>
    </row>
    <row r="324">
      <c r="A324" s="235"/>
    </row>
    <row r="325">
      <c r="A325" s="235"/>
    </row>
    <row r="326">
      <c r="A326" s="235"/>
    </row>
    <row r="327">
      <c r="A327" s="235"/>
    </row>
    <row r="328">
      <c r="A328" s="235"/>
    </row>
    <row r="329">
      <c r="A329" s="235"/>
    </row>
    <row r="330">
      <c r="A330" s="235"/>
    </row>
    <row r="331">
      <c r="A331" s="235"/>
    </row>
    <row r="332">
      <c r="A332" s="235"/>
    </row>
    <row r="333">
      <c r="A333" s="235"/>
    </row>
    <row r="334">
      <c r="A334" s="235"/>
    </row>
    <row r="335">
      <c r="A335" s="235"/>
    </row>
    <row r="336">
      <c r="A336" s="235"/>
    </row>
    <row r="337">
      <c r="A337" s="235"/>
    </row>
    <row r="338">
      <c r="A338" s="235"/>
    </row>
    <row r="339">
      <c r="A339" s="235"/>
    </row>
    <row r="340">
      <c r="A340" s="235"/>
    </row>
    <row r="341">
      <c r="A341" s="235"/>
    </row>
    <row r="342">
      <c r="A342" s="235"/>
    </row>
    <row r="343">
      <c r="A343" s="235"/>
    </row>
    <row r="344">
      <c r="A344" s="235"/>
    </row>
    <row r="345">
      <c r="A345" s="235"/>
    </row>
    <row r="346">
      <c r="A346" s="235"/>
    </row>
    <row r="347">
      <c r="A347" s="235"/>
    </row>
    <row r="348">
      <c r="A348" s="235"/>
    </row>
    <row r="349">
      <c r="A349" s="235"/>
    </row>
    <row r="350">
      <c r="A350" s="235"/>
    </row>
    <row r="351">
      <c r="A351" s="235"/>
    </row>
    <row r="352">
      <c r="A352" s="235"/>
    </row>
    <row r="353">
      <c r="A353" s="235"/>
    </row>
    <row r="354">
      <c r="A354" s="235"/>
    </row>
    <row r="355">
      <c r="A355" s="235"/>
    </row>
    <row r="356">
      <c r="A356" s="235"/>
    </row>
    <row r="357">
      <c r="A357" s="235"/>
    </row>
    <row r="358">
      <c r="A358" s="235"/>
    </row>
    <row r="359">
      <c r="A359" s="235"/>
    </row>
    <row r="360">
      <c r="A360" s="235"/>
    </row>
    <row r="361">
      <c r="A361" s="235"/>
    </row>
    <row r="362">
      <c r="A362" s="235"/>
    </row>
    <row r="363">
      <c r="A363" s="235"/>
    </row>
    <row r="364">
      <c r="A364" s="235"/>
    </row>
    <row r="365">
      <c r="A365" s="235"/>
    </row>
    <row r="366">
      <c r="A366" s="235"/>
    </row>
    <row r="367">
      <c r="A367" s="235"/>
    </row>
    <row r="368">
      <c r="A368" s="235"/>
    </row>
    <row r="369">
      <c r="A369" s="235"/>
    </row>
    <row r="370">
      <c r="A370" s="235"/>
    </row>
    <row r="371">
      <c r="A371" s="235"/>
    </row>
    <row r="372">
      <c r="A372" s="235"/>
    </row>
    <row r="373">
      <c r="A373" s="235"/>
    </row>
    <row r="374">
      <c r="A374" s="235"/>
    </row>
    <row r="375">
      <c r="A375" s="235"/>
    </row>
    <row r="376">
      <c r="A376" s="235"/>
    </row>
    <row r="377">
      <c r="A377" s="235"/>
    </row>
    <row r="378">
      <c r="A378" s="235"/>
    </row>
    <row r="379">
      <c r="A379" s="235"/>
    </row>
    <row r="380">
      <c r="A380" s="235"/>
    </row>
    <row r="381">
      <c r="A381" s="235"/>
    </row>
    <row r="382">
      <c r="A382" s="235"/>
    </row>
    <row r="383">
      <c r="A383" s="235"/>
    </row>
    <row r="384">
      <c r="A384" s="235"/>
    </row>
    <row r="385">
      <c r="A385" s="235"/>
    </row>
    <row r="386">
      <c r="A386" s="235"/>
    </row>
    <row r="387">
      <c r="A387" s="235"/>
    </row>
    <row r="388">
      <c r="A388" s="235"/>
    </row>
    <row r="389">
      <c r="A389" s="235"/>
    </row>
    <row r="390">
      <c r="A390" s="235"/>
    </row>
    <row r="391">
      <c r="A391" s="235"/>
    </row>
    <row r="392">
      <c r="A392" s="235"/>
    </row>
    <row r="393">
      <c r="A393" s="235"/>
    </row>
    <row r="394">
      <c r="A394" s="235"/>
    </row>
    <row r="395">
      <c r="A395" s="235"/>
    </row>
    <row r="396">
      <c r="A396" s="235"/>
    </row>
    <row r="397">
      <c r="A397" s="235"/>
    </row>
    <row r="398">
      <c r="A398" s="235"/>
    </row>
    <row r="399">
      <c r="A399" s="235"/>
    </row>
    <row r="400">
      <c r="A400" s="235"/>
    </row>
    <row r="401">
      <c r="A401" s="235"/>
    </row>
    <row r="402">
      <c r="A402" s="235"/>
    </row>
    <row r="403">
      <c r="A403" s="235"/>
    </row>
    <row r="404">
      <c r="A404" s="235"/>
    </row>
    <row r="405">
      <c r="A405" s="235"/>
    </row>
    <row r="406">
      <c r="A406" s="235"/>
    </row>
    <row r="407">
      <c r="A407" s="235"/>
    </row>
    <row r="408">
      <c r="A408" s="235"/>
    </row>
    <row r="409">
      <c r="A409" s="235"/>
    </row>
    <row r="410">
      <c r="A410" s="235"/>
    </row>
    <row r="411">
      <c r="A411" s="235"/>
    </row>
    <row r="412">
      <c r="A412" s="235"/>
    </row>
    <row r="413">
      <c r="A413" s="235"/>
    </row>
    <row r="414">
      <c r="A414" s="235"/>
    </row>
    <row r="415">
      <c r="A415" s="235"/>
    </row>
    <row r="416">
      <c r="A416" s="235"/>
    </row>
    <row r="417">
      <c r="A417" s="235"/>
    </row>
    <row r="418">
      <c r="A418" s="235"/>
    </row>
    <row r="419">
      <c r="A419" s="235"/>
    </row>
    <row r="420">
      <c r="A420" s="235"/>
    </row>
    <row r="421">
      <c r="A421" s="235"/>
    </row>
    <row r="422">
      <c r="A422" s="235"/>
    </row>
    <row r="423">
      <c r="A423" s="235"/>
    </row>
    <row r="424">
      <c r="A424" s="235"/>
    </row>
    <row r="425">
      <c r="A425" s="235"/>
    </row>
    <row r="426">
      <c r="A426" s="235"/>
    </row>
    <row r="427">
      <c r="A427" s="235"/>
    </row>
    <row r="428">
      <c r="A428" s="235"/>
    </row>
    <row r="429">
      <c r="A429" s="235"/>
    </row>
    <row r="430">
      <c r="A430" s="235"/>
    </row>
    <row r="431">
      <c r="A431" s="235"/>
    </row>
    <row r="432">
      <c r="A432" s="235"/>
    </row>
    <row r="433">
      <c r="A433" s="235"/>
    </row>
    <row r="434">
      <c r="A434" s="235"/>
    </row>
    <row r="435">
      <c r="A435" s="235"/>
    </row>
    <row r="436">
      <c r="A436" s="235"/>
    </row>
    <row r="437">
      <c r="A437" s="235"/>
    </row>
    <row r="438">
      <c r="A438" s="235"/>
    </row>
    <row r="439">
      <c r="A439" s="235"/>
    </row>
    <row r="440">
      <c r="A440" s="235"/>
    </row>
    <row r="441">
      <c r="A441" s="235"/>
    </row>
    <row r="442">
      <c r="A442" s="235"/>
    </row>
    <row r="443">
      <c r="A443" s="235"/>
    </row>
    <row r="444">
      <c r="A444" s="235"/>
    </row>
    <row r="445">
      <c r="A445" s="235"/>
    </row>
    <row r="446">
      <c r="A446" s="235"/>
    </row>
    <row r="447">
      <c r="A447" s="235"/>
    </row>
    <row r="448">
      <c r="A448" s="235"/>
    </row>
    <row r="449">
      <c r="A449" s="235"/>
    </row>
    <row r="450">
      <c r="A450" s="235"/>
    </row>
    <row r="451">
      <c r="A451" s="235"/>
    </row>
    <row r="452">
      <c r="A452" s="235"/>
    </row>
    <row r="453">
      <c r="A453" s="235"/>
    </row>
    <row r="454">
      <c r="A454" s="235"/>
    </row>
    <row r="455">
      <c r="A455" s="235"/>
    </row>
    <row r="456">
      <c r="A456" s="235"/>
    </row>
    <row r="457">
      <c r="A457" s="235"/>
    </row>
    <row r="458">
      <c r="A458" s="235"/>
    </row>
    <row r="459">
      <c r="A459" s="235"/>
    </row>
    <row r="460">
      <c r="A460" s="235"/>
    </row>
    <row r="461">
      <c r="A461" s="235"/>
    </row>
    <row r="462">
      <c r="A462" s="235"/>
    </row>
    <row r="463">
      <c r="A463" s="235"/>
    </row>
    <row r="464">
      <c r="A464" s="235"/>
    </row>
    <row r="465">
      <c r="A465" s="235"/>
    </row>
    <row r="466">
      <c r="A466" s="235"/>
    </row>
    <row r="467">
      <c r="A467" s="235"/>
    </row>
    <row r="468">
      <c r="A468" s="235"/>
    </row>
    <row r="469">
      <c r="A469" s="235"/>
    </row>
    <row r="470">
      <c r="A470" s="235"/>
    </row>
    <row r="471">
      <c r="A471" s="235"/>
    </row>
    <row r="472">
      <c r="A472" s="235"/>
    </row>
    <row r="473">
      <c r="A473" s="235"/>
    </row>
    <row r="474">
      <c r="A474" s="235"/>
    </row>
    <row r="475">
      <c r="A475" s="235"/>
    </row>
    <row r="476">
      <c r="A476" s="235"/>
    </row>
    <row r="477">
      <c r="A477" s="235"/>
    </row>
    <row r="478">
      <c r="A478" s="235"/>
    </row>
    <row r="479">
      <c r="A479" s="235"/>
    </row>
    <row r="480">
      <c r="A480" s="235"/>
    </row>
    <row r="481">
      <c r="A481" s="235"/>
    </row>
    <row r="482">
      <c r="A482" s="235"/>
    </row>
    <row r="483">
      <c r="A483" s="235"/>
    </row>
    <row r="484">
      <c r="A484" s="235"/>
    </row>
    <row r="485">
      <c r="A485" s="235"/>
    </row>
    <row r="486">
      <c r="A486" s="235"/>
    </row>
    <row r="487">
      <c r="A487" s="235"/>
    </row>
    <row r="488">
      <c r="A488" s="235"/>
    </row>
    <row r="489">
      <c r="A489" s="235"/>
    </row>
    <row r="490">
      <c r="A490" s="235"/>
    </row>
    <row r="491">
      <c r="A491" s="235"/>
    </row>
    <row r="492">
      <c r="A492" s="235"/>
    </row>
    <row r="493">
      <c r="A493" s="235"/>
    </row>
    <row r="494">
      <c r="A494" s="235"/>
    </row>
    <row r="495">
      <c r="A495" s="235"/>
    </row>
    <row r="496">
      <c r="A496" s="235"/>
    </row>
    <row r="497">
      <c r="A497" s="235"/>
    </row>
    <row r="498">
      <c r="A498" s="235"/>
    </row>
    <row r="499">
      <c r="A499" s="235"/>
    </row>
    <row r="500">
      <c r="A500" s="235"/>
    </row>
    <row r="501">
      <c r="A501" s="235"/>
    </row>
    <row r="502">
      <c r="A502" s="235"/>
    </row>
    <row r="503">
      <c r="A503" s="235"/>
    </row>
    <row r="504">
      <c r="A504" s="235"/>
    </row>
    <row r="505">
      <c r="A505" s="235"/>
    </row>
    <row r="506">
      <c r="A506" s="235"/>
    </row>
    <row r="507">
      <c r="A507" s="235"/>
    </row>
    <row r="508">
      <c r="A508" s="235"/>
    </row>
    <row r="509">
      <c r="A509" s="235"/>
    </row>
    <row r="510">
      <c r="A510" s="235"/>
    </row>
    <row r="511">
      <c r="A511" s="235"/>
    </row>
    <row r="512">
      <c r="A512" s="235"/>
    </row>
    <row r="513">
      <c r="A513" s="235"/>
    </row>
    <row r="514">
      <c r="A514" s="235"/>
    </row>
    <row r="515">
      <c r="A515" s="235"/>
    </row>
    <row r="516">
      <c r="A516" s="235"/>
    </row>
    <row r="517">
      <c r="A517" s="235"/>
    </row>
    <row r="518">
      <c r="A518" s="235"/>
    </row>
    <row r="519">
      <c r="A519" s="235"/>
    </row>
    <row r="520">
      <c r="A520" s="235"/>
    </row>
    <row r="521">
      <c r="A521" s="235"/>
    </row>
    <row r="522">
      <c r="A522" s="235"/>
    </row>
    <row r="523">
      <c r="A523" s="235"/>
    </row>
    <row r="524">
      <c r="A524" s="235"/>
    </row>
    <row r="525">
      <c r="A525" s="235"/>
    </row>
    <row r="526">
      <c r="A526" s="235"/>
    </row>
    <row r="527">
      <c r="A527" s="235"/>
    </row>
    <row r="528">
      <c r="A528" s="235"/>
    </row>
    <row r="529">
      <c r="A529" s="235"/>
    </row>
    <row r="530">
      <c r="A530" s="235"/>
    </row>
    <row r="531">
      <c r="A531" s="235"/>
    </row>
    <row r="532">
      <c r="A532" s="235"/>
    </row>
    <row r="533">
      <c r="A533" s="235"/>
    </row>
    <row r="534">
      <c r="A534" s="235"/>
    </row>
    <row r="535">
      <c r="A535" s="235"/>
    </row>
    <row r="536">
      <c r="A536" s="235"/>
    </row>
    <row r="537">
      <c r="A537" s="235"/>
    </row>
    <row r="538">
      <c r="A538" s="235"/>
    </row>
    <row r="539">
      <c r="A539" s="235"/>
    </row>
    <row r="540">
      <c r="A540" s="235"/>
    </row>
    <row r="541">
      <c r="A541" s="235"/>
    </row>
    <row r="542">
      <c r="A542" s="235"/>
    </row>
    <row r="543">
      <c r="A543" s="235"/>
    </row>
    <row r="544">
      <c r="A544" s="235"/>
    </row>
    <row r="545">
      <c r="A545" s="235"/>
    </row>
    <row r="546">
      <c r="A546" s="235"/>
    </row>
    <row r="547">
      <c r="A547" s="235"/>
    </row>
    <row r="548">
      <c r="A548" s="235"/>
    </row>
    <row r="549">
      <c r="A549" s="235"/>
    </row>
    <row r="550">
      <c r="A550" s="235"/>
    </row>
    <row r="551">
      <c r="A551" s="235"/>
    </row>
    <row r="552">
      <c r="A552" s="235"/>
    </row>
    <row r="553">
      <c r="A553" s="235"/>
    </row>
    <row r="554">
      <c r="A554" s="235"/>
    </row>
    <row r="555">
      <c r="A555" s="235"/>
    </row>
    <row r="556">
      <c r="A556" s="235"/>
    </row>
    <row r="557">
      <c r="A557" s="235"/>
    </row>
    <row r="558">
      <c r="A558" s="235"/>
    </row>
    <row r="559">
      <c r="A559" s="235"/>
    </row>
    <row r="560">
      <c r="A560" s="235"/>
    </row>
    <row r="561">
      <c r="A561" s="235"/>
    </row>
    <row r="562">
      <c r="A562" s="235"/>
    </row>
    <row r="563">
      <c r="A563" s="235"/>
    </row>
    <row r="564">
      <c r="A564" s="235"/>
    </row>
    <row r="565">
      <c r="A565" s="235"/>
    </row>
    <row r="566">
      <c r="A566" s="235"/>
    </row>
    <row r="567">
      <c r="A567" s="235"/>
    </row>
    <row r="568">
      <c r="A568" s="235"/>
    </row>
    <row r="569">
      <c r="A569" s="235"/>
    </row>
    <row r="570">
      <c r="A570" s="235"/>
    </row>
    <row r="571">
      <c r="A571" s="235"/>
    </row>
    <row r="572">
      <c r="A572" s="235"/>
    </row>
    <row r="573">
      <c r="A573" s="235"/>
    </row>
    <row r="574">
      <c r="A574" s="235"/>
    </row>
    <row r="575">
      <c r="A575" s="235"/>
    </row>
    <row r="576">
      <c r="A576" s="235"/>
    </row>
    <row r="577">
      <c r="A577" s="235"/>
    </row>
    <row r="578">
      <c r="A578" s="235"/>
    </row>
    <row r="579">
      <c r="A579" s="235"/>
    </row>
    <row r="580">
      <c r="A580" s="235"/>
    </row>
    <row r="581">
      <c r="A581" s="235"/>
    </row>
    <row r="582">
      <c r="A582" s="235"/>
    </row>
    <row r="583">
      <c r="A583" s="235"/>
    </row>
    <row r="584">
      <c r="A584" s="235"/>
    </row>
    <row r="585">
      <c r="A585" s="235"/>
    </row>
    <row r="586">
      <c r="A586" s="235"/>
    </row>
    <row r="587">
      <c r="A587" s="235"/>
    </row>
    <row r="588">
      <c r="A588" s="235"/>
    </row>
    <row r="589">
      <c r="A589" s="235"/>
    </row>
    <row r="590">
      <c r="A590" s="235"/>
    </row>
    <row r="591">
      <c r="A591" s="235"/>
    </row>
    <row r="592">
      <c r="A592" s="235"/>
    </row>
    <row r="593">
      <c r="A593" s="235"/>
    </row>
    <row r="594">
      <c r="A594" s="235"/>
    </row>
    <row r="595">
      <c r="A595" s="235"/>
    </row>
    <row r="596">
      <c r="A596" s="235"/>
    </row>
    <row r="597">
      <c r="A597" s="235"/>
    </row>
    <row r="598">
      <c r="A598" s="235"/>
    </row>
    <row r="599">
      <c r="A599" s="235"/>
    </row>
    <row r="600">
      <c r="A600" s="235"/>
    </row>
    <row r="601">
      <c r="A601" s="235"/>
    </row>
    <row r="602">
      <c r="A602" s="235"/>
    </row>
    <row r="603">
      <c r="A603" s="235"/>
    </row>
    <row r="604">
      <c r="A604" s="235"/>
    </row>
    <row r="605">
      <c r="A605" s="235"/>
    </row>
    <row r="606">
      <c r="A606" s="235"/>
    </row>
    <row r="607">
      <c r="A607" s="235"/>
    </row>
    <row r="608">
      <c r="A608" s="235"/>
    </row>
    <row r="609">
      <c r="A609" s="235"/>
    </row>
    <row r="610">
      <c r="A610" s="235"/>
    </row>
    <row r="611">
      <c r="A611" s="235"/>
    </row>
    <row r="612">
      <c r="A612" s="235"/>
    </row>
    <row r="613">
      <c r="A613" s="235"/>
    </row>
    <row r="614">
      <c r="A614" s="235"/>
    </row>
    <row r="615">
      <c r="A615" s="235"/>
    </row>
    <row r="616">
      <c r="A616" s="235"/>
    </row>
    <row r="617">
      <c r="A617" s="235"/>
    </row>
    <row r="618">
      <c r="A618" s="235"/>
    </row>
    <row r="619">
      <c r="A619" s="235"/>
    </row>
    <row r="620">
      <c r="A620" s="235"/>
    </row>
    <row r="621">
      <c r="A621" s="235"/>
    </row>
    <row r="622">
      <c r="A622" s="235"/>
    </row>
    <row r="623">
      <c r="A623" s="235"/>
    </row>
    <row r="624">
      <c r="A624" s="235"/>
    </row>
    <row r="625">
      <c r="A625" s="235"/>
    </row>
    <row r="626">
      <c r="A626" s="235"/>
    </row>
    <row r="627">
      <c r="A627" s="235"/>
    </row>
    <row r="628">
      <c r="A628" s="235"/>
    </row>
    <row r="629">
      <c r="A629" s="235"/>
    </row>
    <row r="630">
      <c r="A630" s="235"/>
    </row>
    <row r="631">
      <c r="A631" s="235"/>
    </row>
    <row r="632">
      <c r="A632" s="235"/>
    </row>
    <row r="633">
      <c r="A633" s="235"/>
    </row>
    <row r="634">
      <c r="A634" s="235"/>
    </row>
    <row r="635">
      <c r="A635" s="235"/>
    </row>
    <row r="636">
      <c r="A636" s="235"/>
    </row>
    <row r="637">
      <c r="A637" s="235"/>
    </row>
    <row r="638">
      <c r="A638" s="235"/>
    </row>
    <row r="639">
      <c r="A639" s="235"/>
    </row>
    <row r="640">
      <c r="A640" s="235"/>
    </row>
    <row r="641">
      <c r="A641" s="235"/>
    </row>
    <row r="642">
      <c r="A642" s="235"/>
    </row>
    <row r="643">
      <c r="A643" s="235"/>
    </row>
    <row r="644">
      <c r="A644" s="235"/>
    </row>
    <row r="645">
      <c r="A645" s="235"/>
    </row>
    <row r="646">
      <c r="A646" s="235"/>
    </row>
    <row r="647">
      <c r="A647" s="235"/>
    </row>
    <row r="648">
      <c r="A648" s="235"/>
    </row>
    <row r="649">
      <c r="A649" s="235"/>
    </row>
    <row r="650">
      <c r="A650" s="235"/>
    </row>
    <row r="651">
      <c r="A651" s="235"/>
    </row>
    <row r="652">
      <c r="A652" s="235"/>
    </row>
    <row r="653">
      <c r="A653" s="235"/>
    </row>
    <row r="654">
      <c r="A654" s="235"/>
    </row>
    <row r="655">
      <c r="A655" s="235"/>
    </row>
    <row r="656">
      <c r="A656" s="235"/>
    </row>
    <row r="657">
      <c r="A657" s="235"/>
    </row>
    <row r="658">
      <c r="A658" s="235"/>
    </row>
    <row r="659">
      <c r="A659" s="235"/>
    </row>
    <row r="660">
      <c r="A660" s="235"/>
    </row>
    <row r="661">
      <c r="A661" s="235"/>
    </row>
    <row r="662">
      <c r="A662" s="235"/>
    </row>
    <row r="663">
      <c r="A663" s="235"/>
    </row>
    <row r="664">
      <c r="A664" s="235"/>
    </row>
    <row r="665">
      <c r="A665" s="235"/>
    </row>
    <row r="666">
      <c r="A666" s="235"/>
    </row>
    <row r="667">
      <c r="A667" s="235"/>
    </row>
    <row r="668">
      <c r="A668" s="235"/>
    </row>
    <row r="669">
      <c r="A669" s="235"/>
    </row>
    <row r="670">
      <c r="A670" s="235"/>
    </row>
    <row r="671">
      <c r="A671" s="235"/>
    </row>
    <row r="672">
      <c r="A672" s="235"/>
    </row>
    <row r="673">
      <c r="A673" s="235"/>
    </row>
    <row r="674">
      <c r="A674" s="235"/>
    </row>
    <row r="675">
      <c r="A675" s="235"/>
    </row>
    <row r="676">
      <c r="A676" s="235"/>
    </row>
    <row r="677">
      <c r="A677" s="235"/>
    </row>
    <row r="678">
      <c r="A678" s="235"/>
    </row>
    <row r="679">
      <c r="A679" s="235"/>
    </row>
    <row r="680">
      <c r="A680" s="235"/>
    </row>
    <row r="681">
      <c r="A681" s="235"/>
    </row>
    <row r="682">
      <c r="A682" s="235"/>
    </row>
    <row r="683">
      <c r="A683" s="235"/>
    </row>
    <row r="684">
      <c r="A684" s="235"/>
    </row>
    <row r="685">
      <c r="A685" s="235"/>
    </row>
    <row r="686">
      <c r="A686" s="235"/>
    </row>
    <row r="687">
      <c r="A687" s="235"/>
    </row>
    <row r="688">
      <c r="A688" s="235"/>
    </row>
    <row r="689">
      <c r="A689" s="235"/>
    </row>
    <row r="690">
      <c r="A690" s="235"/>
    </row>
    <row r="691">
      <c r="A691" s="235"/>
    </row>
    <row r="692">
      <c r="A692" s="235"/>
    </row>
    <row r="693">
      <c r="A693" s="235"/>
    </row>
    <row r="694">
      <c r="A694" s="235"/>
    </row>
    <row r="695">
      <c r="A695" s="235"/>
    </row>
    <row r="696">
      <c r="A696" s="235"/>
    </row>
    <row r="697">
      <c r="A697" s="235"/>
    </row>
    <row r="698">
      <c r="A698" s="235"/>
    </row>
    <row r="699">
      <c r="A699" s="235"/>
    </row>
    <row r="700">
      <c r="A700" s="235"/>
    </row>
    <row r="701">
      <c r="A701" s="235"/>
    </row>
    <row r="702">
      <c r="A702" s="235"/>
    </row>
    <row r="703">
      <c r="A703" s="235"/>
    </row>
    <row r="704">
      <c r="A704" s="235"/>
    </row>
    <row r="705">
      <c r="A705" s="235"/>
    </row>
    <row r="706">
      <c r="A706" s="235"/>
    </row>
    <row r="707">
      <c r="A707" s="235"/>
    </row>
    <row r="708">
      <c r="A708" s="235"/>
    </row>
    <row r="709">
      <c r="A709" s="235"/>
    </row>
    <row r="710">
      <c r="A710" s="235"/>
    </row>
    <row r="711">
      <c r="A711" s="235"/>
    </row>
    <row r="712">
      <c r="A712" s="235"/>
    </row>
    <row r="713">
      <c r="A713" s="235"/>
    </row>
    <row r="714">
      <c r="A714" s="235"/>
    </row>
    <row r="715">
      <c r="A715" s="235"/>
    </row>
    <row r="716">
      <c r="A716" s="235"/>
    </row>
    <row r="717">
      <c r="A717" s="235"/>
    </row>
    <row r="718">
      <c r="A718" s="235"/>
    </row>
    <row r="719">
      <c r="A719" s="235"/>
    </row>
    <row r="720">
      <c r="A720" s="235"/>
    </row>
    <row r="721">
      <c r="A721" s="235"/>
    </row>
    <row r="722">
      <c r="A722" s="235"/>
    </row>
    <row r="723">
      <c r="A723" s="235"/>
    </row>
    <row r="724">
      <c r="A724" s="235"/>
    </row>
    <row r="725">
      <c r="A725" s="235"/>
    </row>
    <row r="726">
      <c r="A726" s="235"/>
    </row>
    <row r="727">
      <c r="A727" s="235"/>
    </row>
    <row r="728">
      <c r="A728" s="235"/>
    </row>
    <row r="729">
      <c r="A729" s="235"/>
    </row>
    <row r="730">
      <c r="A730" s="235"/>
    </row>
    <row r="731">
      <c r="A731" s="235"/>
    </row>
    <row r="732">
      <c r="A732" s="235"/>
    </row>
    <row r="733">
      <c r="A733" s="235"/>
    </row>
    <row r="734">
      <c r="A734" s="235"/>
    </row>
    <row r="735">
      <c r="A735" s="235"/>
    </row>
    <row r="736">
      <c r="A736" s="235"/>
    </row>
    <row r="737">
      <c r="A737" s="235"/>
    </row>
    <row r="738">
      <c r="A738" s="235"/>
    </row>
    <row r="739">
      <c r="A739" s="235"/>
    </row>
    <row r="740">
      <c r="A740" s="235"/>
    </row>
    <row r="741">
      <c r="A741" s="235"/>
    </row>
    <row r="742">
      <c r="A742" s="235"/>
    </row>
    <row r="743">
      <c r="A743" s="235"/>
    </row>
    <row r="744">
      <c r="A744" s="235"/>
    </row>
    <row r="745">
      <c r="A745" s="235"/>
    </row>
    <row r="746">
      <c r="A746" s="235"/>
    </row>
    <row r="747">
      <c r="A747" s="235"/>
    </row>
    <row r="748">
      <c r="A748" s="235"/>
    </row>
    <row r="749">
      <c r="A749" s="235"/>
    </row>
    <row r="750">
      <c r="A750" s="235"/>
    </row>
    <row r="751">
      <c r="A751" s="235"/>
    </row>
    <row r="752">
      <c r="A752" s="235"/>
    </row>
    <row r="753">
      <c r="A753" s="235"/>
    </row>
    <row r="754">
      <c r="A754" s="235"/>
    </row>
    <row r="755">
      <c r="A755" s="235"/>
    </row>
    <row r="756">
      <c r="A756" s="235"/>
    </row>
    <row r="757">
      <c r="A757" s="235"/>
    </row>
    <row r="758">
      <c r="A758" s="235"/>
    </row>
    <row r="759">
      <c r="A759" s="235"/>
    </row>
    <row r="760">
      <c r="A760" s="235"/>
    </row>
    <row r="761">
      <c r="A761" s="235"/>
    </row>
    <row r="762">
      <c r="A762" s="235"/>
    </row>
    <row r="763">
      <c r="A763" s="235"/>
    </row>
    <row r="764">
      <c r="A764" s="235"/>
    </row>
    <row r="765">
      <c r="A765" s="235"/>
    </row>
    <row r="766">
      <c r="A766" s="235"/>
    </row>
    <row r="767">
      <c r="A767" s="235"/>
    </row>
    <row r="768">
      <c r="A768" s="235"/>
    </row>
    <row r="769">
      <c r="A769" s="235"/>
    </row>
    <row r="770">
      <c r="A770" s="235"/>
    </row>
    <row r="771">
      <c r="A771" s="235"/>
    </row>
    <row r="772">
      <c r="A772" s="235"/>
    </row>
    <row r="773">
      <c r="A773" s="235"/>
    </row>
    <row r="774">
      <c r="A774" s="235"/>
    </row>
    <row r="775">
      <c r="A775" s="235"/>
    </row>
    <row r="776">
      <c r="A776" s="235"/>
    </row>
    <row r="777">
      <c r="A777" s="235"/>
    </row>
    <row r="778">
      <c r="A778" s="235"/>
    </row>
    <row r="779">
      <c r="A779" s="235"/>
    </row>
    <row r="780">
      <c r="A780" s="235"/>
    </row>
    <row r="781">
      <c r="A781" s="235"/>
    </row>
    <row r="782">
      <c r="A782" s="235"/>
    </row>
    <row r="783">
      <c r="A783" s="235"/>
    </row>
    <row r="784">
      <c r="A784" s="235"/>
    </row>
    <row r="785">
      <c r="A785" s="235"/>
    </row>
    <row r="786">
      <c r="A786" s="235"/>
    </row>
    <row r="787">
      <c r="A787" s="235"/>
    </row>
    <row r="788">
      <c r="A788" s="235"/>
    </row>
    <row r="789">
      <c r="A789" s="235"/>
    </row>
    <row r="790">
      <c r="A790" s="235"/>
    </row>
    <row r="791">
      <c r="A791" s="235"/>
    </row>
    <row r="792">
      <c r="A792" s="235"/>
    </row>
    <row r="793">
      <c r="A793" s="235"/>
    </row>
    <row r="794">
      <c r="A794" s="235"/>
    </row>
    <row r="795">
      <c r="A795" s="235"/>
    </row>
    <row r="796">
      <c r="A796" s="235"/>
    </row>
    <row r="797">
      <c r="A797" s="235"/>
    </row>
    <row r="798">
      <c r="A798" s="235"/>
    </row>
    <row r="799">
      <c r="A799" s="235"/>
    </row>
    <row r="800">
      <c r="A800" s="235"/>
    </row>
    <row r="801">
      <c r="A801" s="235"/>
    </row>
    <row r="802">
      <c r="A802" s="235"/>
    </row>
    <row r="803">
      <c r="A803" s="235"/>
    </row>
    <row r="804">
      <c r="A804" s="235"/>
    </row>
    <row r="805">
      <c r="A805" s="235"/>
    </row>
    <row r="806">
      <c r="A806" s="235"/>
    </row>
    <row r="807">
      <c r="A807" s="235"/>
    </row>
    <row r="808">
      <c r="A808" s="235"/>
    </row>
    <row r="809">
      <c r="A809" s="235"/>
    </row>
    <row r="810">
      <c r="A810" s="235"/>
    </row>
    <row r="811">
      <c r="A811" s="235"/>
    </row>
    <row r="812">
      <c r="A812" s="235"/>
    </row>
    <row r="813">
      <c r="A813" s="235"/>
    </row>
    <row r="814">
      <c r="A814" s="235"/>
    </row>
    <row r="815">
      <c r="A815" s="235"/>
    </row>
    <row r="816">
      <c r="A816" s="235"/>
    </row>
    <row r="817">
      <c r="A817" s="235"/>
    </row>
    <row r="818">
      <c r="A818" s="235"/>
    </row>
    <row r="819">
      <c r="A819" s="235"/>
    </row>
    <row r="820">
      <c r="A820" s="235"/>
    </row>
    <row r="821">
      <c r="A821" s="235"/>
    </row>
    <row r="822">
      <c r="A822" s="235"/>
    </row>
    <row r="823">
      <c r="A823" s="235"/>
    </row>
    <row r="824">
      <c r="A824" s="235"/>
    </row>
    <row r="825">
      <c r="A825" s="235"/>
    </row>
    <row r="826">
      <c r="A826" s="235"/>
    </row>
    <row r="827">
      <c r="A827" s="235"/>
    </row>
    <row r="828">
      <c r="A828" s="235"/>
    </row>
    <row r="829">
      <c r="A829" s="235"/>
    </row>
    <row r="830">
      <c r="A830" s="235"/>
    </row>
    <row r="831">
      <c r="A831" s="235"/>
    </row>
    <row r="832">
      <c r="A832" s="235"/>
    </row>
    <row r="833">
      <c r="A833" s="235"/>
    </row>
    <row r="834">
      <c r="A834" s="235"/>
    </row>
    <row r="835">
      <c r="A835" s="235"/>
    </row>
    <row r="836">
      <c r="A836" s="235"/>
    </row>
    <row r="837">
      <c r="A837" s="235"/>
    </row>
    <row r="838">
      <c r="A838" s="235"/>
    </row>
    <row r="839">
      <c r="A839" s="235"/>
    </row>
    <row r="840">
      <c r="A840" s="235"/>
    </row>
    <row r="841">
      <c r="A841" s="235"/>
    </row>
    <row r="842">
      <c r="A842" s="235"/>
    </row>
    <row r="843">
      <c r="A843" s="235"/>
    </row>
    <row r="844">
      <c r="A844" s="235"/>
    </row>
    <row r="845">
      <c r="A845" s="235"/>
    </row>
    <row r="846">
      <c r="A846" s="235"/>
    </row>
    <row r="847">
      <c r="A847" s="235"/>
    </row>
    <row r="848">
      <c r="A848" s="235"/>
    </row>
    <row r="849">
      <c r="A849" s="235"/>
    </row>
    <row r="850">
      <c r="A850" s="235"/>
    </row>
    <row r="851">
      <c r="A851" s="235"/>
    </row>
    <row r="852">
      <c r="A852" s="235"/>
    </row>
    <row r="853">
      <c r="A853" s="235"/>
    </row>
    <row r="854">
      <c r="A854" s="235"/>
    </row>
    <row r="855">
      <c r="A855" s="235"/>
    </row>
    <row r="856">
      <c r="A856" s="235"/>
    </row>
    <row r="857">
      <c r="A857" s="235"/>
    </row>
    <row r="858">
      <c r="A858" s="235"/>
    </row>
    <row r="859">
      <c r="A859" s="235"/>
    </row>
    <row r="860">
      <c r="A860" s="235"/>
    </row>
    <row r="861">
      <c r="A861" s="235"/>
    </row>
    <row r="862">
      <c r="A862" s="235"/>
    </row>
    <row r="863">
      <c r="A863" s="235"/>
    </row>
    <row r="864">
      <c r="A864" s="235"/>
    </row>
    <row r="865">
      <c r="A865" s="235"/>
    </row>
    <row r="866">
      <c r="A866" s="235"/>
    </row>
    <row r="867">
      <c r="A867" s="235"/>
    </row>
    <row r="868">
      <c r="A868" s="235"/>
    </row>
    <row r="869">
      <c r="A869" s="235"/>
    </row>
    <row r="870">
      <c r="A870" s="235"/>
    </row>
    <row r="871">
      <c r="A871" s="235"/>
    </row>
    <row r="872">
      <c r="A872" s="235"/>
    </row>
    <row r="873">
      <c r="A873" s="235"/>
    </row>
    <row r="874">
      <c r="A874" s="235"/>
    </row>
    <row r="875">
      <c r="A875" s="235"/>
    </row>
    <row r="876">
      <c r="A876" s="235"/>
    </row>
    <row r="877">
      <c r="A877" s="235"/>
    </row>
    <row r="878">
      <c r="A878" s="235"/>
    </row>
    <row r="879">
      <c r="A879" s="235"/>
    </row>
    <row r="880">
      <c r="A880" s="235"/>
    </row>
    <row r="881">
      <c r="A881" s="235"/>
    </row>
    <row r="882">
      <c r="A882" s="235"/>
    </row>
    <row r="883">
      <c r="A883" s="235"/>
    </row>
    <row r="884">
      <c r="A884" s="235"/>
    </row>
    <row r="885">
      <c r="A885" s="235"/>
    </row>
    <row r="886">
      <c r="A886" s="235"/>
    </row>
    <row r="887">
      <c r="A887" s="235"/>
    </row>
    <row r="888">
      <c r="A888" s="235"/>
    </row>
    <row r="889">
      <c r="A889" s="235"/>
    </row>
    <row r="890">
      <c r="A890" s="235"/>
    </row>
    <row r="891">
      <c r="A891" s="235"/>
    </row>
    <row r="892">
      <c r="A892" s="235"/>
    </row>
    <row r="893">
      <c r="A893" s="235"/>
    </row>
    <row r="894">
      <c r="A894" s="235"/>
    </row>
    <row r="895">
      <c r="A895" s="235"/>
    </row>
    <row r="896">
      <c r="A896" s="235"/>
    </row>
    <row r="897">
      <c r="A897" s="235"/>
    </row>
    <row r="898">
      <c r="A898" s="235"/>
    </row>
    <row r="899">
      <c r="A899" s="235"/>
    </row>
    <row r="900">
      <c r="A900" s="235"/>
    </row>
    <row r="901">
      <c r="A901" s="235"/>
    </row>
    <row r="902">
      <c r="A902" s="235"/>
    </row>
    <row r="903">
      <c r="A903" s="235"/>
    </row>
    <row r="904">
      <c r="A904" s="235"/>
    </row>
    <row r="905">
      <c r="A905" s="235"/>
    </row>
    <row r="906">
      <c r="A906" s="235"/>
    </row>
    <row r="907">
      <c r="A907" s="235"/>
    </row>
    <row r="908">
      <c r="A908" s="235"/>
    </row>
    <row r="909">
      <c r="A909" s="235"/>
    </row>
    <row r="910">
      <c r="A910" s="235"/>
    </row>
    <row r="911">
      <c r="A911" s="235"/>
    </row>
    <row r="912">
      <c r="A912" s="235"/>
    </row>
    <row r="913">
      <c r="A913" s="235"/>
    </row>
    <row r="914">
      <c r="A914" s="235"/>
    </row>
    <row r="915">
      <c r="A915" s="235"/>
    </row>
    <row r="916">
      <c r="A916" s="235"/>
    </row>
    <row r="917">
      <c r="A917" s="235"/>
    </row>
    <row r="918">
      <c r="A918" s="235"/>
    </row>
    <row r="919">
      <c r="A919" s="235"/>
    </row>
    <row r="920">
      <c r="A920" s="235"/>
    </row>
    <row r="921">
      <c r="A921" s="235"/>
    </row>
    <row r="922">
      <c r="A922" s="235"/>
    </row>
    <row r="923">
      <c r="A923" s="235"/>
    </row>
    <row r="924">
      <c r="A924" s="235"/>
    </row>
    <row r="925">
      <c r="A925" s="235"/>
    </row>
    <row r="926">
      <c r="A926" s="235"/>
    </row>
    <row r="927">
      <c r="A927" s="235"/>
    </row>
    <row r="928">
      <c r="A928" s="235"/>
    </row>
    <row r="929">
      <c r="A929" s="235"/>
    </row>
    <row r="930">
      <c r="A930" s="235"/>
    </row>
    <row r="931">
      <c r="A931" s="235"/>
    </row>
    <row r="932">
      <c r="A932" s="235"/>
    </row>
    <row r="933">
      <c r="A933" s="235"/>
    </row>
    <row r="934">
      <c r="A934" s="235"/>
    </row>
    <row r="935">
      <c r="A935" s="235"/>
    </row>
    <row r="936">
      <c r="A936" s="235"/>
    </row>
    <row r="937">
      <c r="A937" s="235"/>
    </row>
    <row r="938">
      <c r="A938" s="235"/>
    </row>
    <row r="939">
      <c r="A939" s="235"/>
    </row>
    <row r="940">
      <c r="A940" s="235"/>
    </row>
    <row r="941">
      <c r="A941" s="235"/>
    </row>
    <row r="942">
      <c r="A942" s="235"/>
    </row>
    <row r="943">
      <c r="A943" s="235"/>
    </row>
    <row r="944">
      <c r="A944" s="235"/>
    </row>
    <row r="945">
      <c r="A945" s="235"/>
    </row>
    <row r="946">
      <c r="A946" s="235"/>
    </row>
    <row r="947">
      <c r="A947" s="235"/>
    </row>
    <row r="948">
      <c r="A948" s="235"/>
    </row>
    <row r="949">
      <c r="A949" s="235"/>
    </row>
    <row r="950">
      <c r="A950" s="235"/>
    </row>
    <row r="951">
      <c r="A951" s="235"/>
    </row>
    <row r="952">
      <c r="A952" s="235"/>
    </row>
    <row r="953">
      <c r="A953" s="235"/>
    </row>
    <row r="954">
      <c r="A954" s="235"/>
    </row>
    <row r="955">
      <c r="A955" s="235"/>
    </row>
    <row r="956">
      <c r="A956" s="235"/>
    </row>
    <row r="957">
      <c r="A957" s="235"/>
    </row>
    <row r="958">
      <c r="A958" s="235"/>
    </row>
    <row r="959">
      <c r="A959" s="235"/>
    </row>
    <row r="960">
      <c r="A960" s="235"/>
    </row>
    <row r="961">
      <c r="A961" s="235"/>
    </row>
    <row r="962">
      <c r="A962" s="235"/>
    </row>
    <row r="963">
      <c r="A963" s="235"/>
    </row>
    <row r="964">
      <c r="A964" s="235"/>
    </row>
    <row r="965">
      <c r="A965" s="235"/>
    </row>
    <row r="966">
      <c r="A966" s="235"/>
    </row>
    <row r="967">
      <c r="A967" s="235"/>
    </row>
    <row r="968">
      <c r="A968" s="235"/>
    </row>
    <row r="969">
      <c r="A969" s="235"/>
    </row>
    <row r="970">
      <c r="A970" s="235"/>
    </row>
    <row r="971">
      <c r="A971" s="235"/>
    </row>
    <row r="972">
      <c r="A972" s="235"/>
    </row>
    <row r="973">
      <c r="A973" s="235"/>
    </row>
    <row r="974">
      <c r="A974" s="235"/>
    </row>
    <row r="975">
      <c r="A975" s="235"/>
    </row>
    <row r="976">
      <c r="A976" s="235"/>
    </row>
    <row r="977">
      <c r="A977" s="235"/>
    </row>
    <row r="978">
      <c r="A978" s="235"/>
    </row>
    <row r="979">
      <c r="A979" s="235"/>
    </row>
    <row r="980">
      <c r="A980" s="235"/>
    </row>
    <row r="981">
      <c r="A981" s="235"/>
    </row>
    <row r="982">
      <c r="A982" s="235"/>
    </row>
    <row r="983">
      <c r="A983" s="235"/>
    </row>
    <row r="984">
      <c r="A984" s="235"/>
    </row>
    <row r="985">
      <c r="A985" s="235"/>
    </row>
    <row r="986">
      <c r="A986" s="235"/>
    </row>
    <row r="987">
      <c r="A987" s="235"/>
    </row>
    <row r="988">
      <c r="A988" s="235"/>
    </row>
    <row r="989">
      <c r="A989" s="235"/>
    </row>
    <row r="990">
      <c r="A990" s="235"/>
    </row>
    <row r="991">
      <c r="A991" s="235"/>
    </row>
    <row r="992">
      <c r="A992" s="235"/>
    </row>
    <row r="993">
      <c r="A993" s="235"/>
    </row>
    <row r="994">
      <c r="A994" s="235"/>
    </row>
    <row r="995">
      <c r="A995" s="235"/>
    </row>
    <row r="996">
      <c r="A996" s="235"/>
    </row>
    <row r="997">
      <c r="A997" s="235"/>
    </row>
    <row r="998">
      <c r="A998" s="235"/>
    </row>
    <row r="999">
      <c r="A999" s="235"/>
    </row>
    <row r="1000">
      <c r="A1000" s="235"/>
    </row>
  </sheetData>
  <conditionalFormatting sqref="R1:R2">
    <cfRule type="containsText" dxfId="0" priority="1" operator="containsText" text="nie">
      <formula>NOT(ISERROR(SEARCH(("nie"),(R1))))</formula>
    </cfRule>
  </conditionalFormatting>
  <conditionalFormatting sqref="AF2">
    <cfRule type="containsText" dxfId="1" priority="2" operator="containsText" text="Áno">
      <formula>NOT(ISERROR(SEARCH(("Áno"),(AF2))))</formula>
    </cfRule>
  </conditionalFormatting>
  <conditionalFormatting sqref="AJ2">
    <cfRule type="containsText" dxfId="2" priority="3" operator="containsText" text="áno">
      <formula>NOT(ISERROR(SEARCH(("áno"),(AJ2))))</formula>
    </cfRule>
  </conditionalFormatting>
  <conditionalFormatting sqref="AN2">
    <cfRule type="containsText" dxfId="4" priority="4" operator="containsText" text="Áno">
      <formula>NOT(ISERROR(SEARCH(("Áno"),(AN2))))</formula>
    </cfRule>
  </conditionalFormatting>
  <hyperlinks>
    <hyperlink r:id="rId1" ref="Y1"/>
    <hyperlink r:id="rId2" ref="Z1"/>
    <hyperlink r:id="rId3" ref="Y2"/>
    <hyperlink r:id="rId4" ref="Z2"/>
  </hyperlinks>
  <drawing r:id="rId5"/>
</worksheet>
</file>