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AFC57278-C514-4A7A-B2B5-D5B7791C1679}" xr6:coauthVersionLast="31" xr6:coauthVersionMax="31" xr10:uidLastSave="{00000000-0000-0000-0000-000000000000}"/>
  <bookViews>
    <workbookView xWindow="120" yWindow="30" windowWidth="19035" windowHeight="10635" tabRatio="752" xr2:uid="{00000000-000D-0000-FFFF-FFFF00000000}"/>
  </bookViews>
  <sheets>
    <sheet name="VermeulenNearWakeLength" sheetId="8" r:id="rId1"/>
    <sheet name="Original Calc" sheetId="7" r:id="rId2"/>
  </sheets>
  <definedNames>
    <definedName name="AmbientTurbulenceWakeErosionRate">VermeulenNearWakeLength!$I$28:$I$34</definedName>
    <definedName name="AngularVelocity">VermeulenNearWakeLength!$E$28:$E$34</definedName>
    <definedName name="FlowFieldRatio">VermeulenNearWakeLength!$G$28:$G$34</definedName>
    <definedName name="MechanicalWakeErosionRate">VermeulenNearWakeLength!$J$28:$J$34</definedName>
    <definedName name="N">VermeulenNearWakeLength!$M$28:$M$34</definedName>
    <definedName name="Radius">VermeulenNearWakeLength!$O$28:$O$34</definedName>
    <definedName name="RadiusOfInviscidExpandedRotorDisk">VermeulenNearWakeLength!$L$28:$L$34</definedName>
    <definedName name="ShearTurbulenceWakeErosionRate">VermeulenNearWakeLength!$H$28:$H$34</definedName>
    <definedName name="ThrustCoefficient">VermeulenNearWakeLength!$G$28:$G$34</definedName>
    <definedName name="TipSpeedRatio">VermeulenNearWakeLength!$F$28:$F$34</definedName>
    <definedName name="TotalErosionRate">VermeulenNearWakeLength!$K$28:$K$34</definedName>
  </definedNames>
  <calcPr calcId="179017"/>
</workbook>
</file>

<file path=xl/calcChain.xml><?xml version="1.0" encoding="utf-8"?>
<calcChain xmlns="http://schemas.openxmlformats.org/spreadsheetml/2006/main">
  <c r="D29" i="8" l="1"/>
  <c r="D30" i="8"/>
  <c r="D31" i="8"/>
  <c r="D32" i="8"/>
  <c r="D33" i="8"/>
  <c r="D34" i="8"/>
  <c r="D28" i="8"/>
  <c r="M29" i="8"/>
  <c r="M30" i="8"/>
  <c r="M31" i="8"/>
  <c r="M32" i="8"/>
  <c r="M33" i="8"/>
  <c r="M34" i="8"/>
  <c r="M28" i="8"/>
  <c r="L29" i="8"/>
  <c r="L30" i="8"/>
  <c r="L31" i="8"/>
  <c r="L32" i="8"/>
  <c r="L33" i="8"/>
  <c r="L34" i="8"/>
  <c r="L28" i="8"/>
  <c r="K29" i="8"/>
  <c r="K30" i="8"/>
  <c r="K31" i="8"/>
  <c r="K32" i="8"/>
  <c r="K33" i="8"/>
  <c r="K34" i="8"/>
  <c r="K28" i="8"/>
  <c r="J29" i="8"/>
  <c r="J30" i="8"/>
  <c r="J31" i="8"/>
  <c r="J32" i="8"/>
  <c r="J33" i="8"/>
  <c r="J34" i="8"/>
  <c r="J28" i="8"/>
  <c r="H29" i="8"/>
  <c r="H30" i="8"/>
  <c r="H31" i="8"/>
  <c r="H32" i="8"/>
  <c r="H33" i="8"/>
  <c r="H34" i="8"/>
  <c r="H28" i="8"/>
  <c r="F28" i="8"/>
  <c r="O29" i="8"/>
  <c r="O30" i="8"/>
  <c r="O31" i="8"/>
  <c r="O32" i="8"/>
  <c r="F32" i="8" s="1"/>
  <c r="O33" i="8"/>
  <c r="O34" i="8"/>
  <c r="F34" i="8" s="1"/>
  <c r="O28" i="8"/>
  <c r="F29" i="8"/>
  <c r="F30" i="8"/>
  <c r="F31" i="8"/>
  <c r="F33" i="8"/>
  <c r="I29" i="8" l="1"/>
  <c r="I30" i="8"/>
  <c r="I31" i="8"/>
  <c r="I32" i="8"/>
  <c r="I33" i="8"/>
  <c r="I34" i="8"/>
  <c r="I28" i="8"/>
  <c r="G29" i="8"/>
  <c r="G30" i="8"/>
  <c r="G31" i="8"/>
  <c r="G32" i="8"/>
  <c r="G33" i="8"/>
  <c r="G34" i="8"/>
  <c r="G28" i="8"/>
  <c r="E29" i="8"/>
  <c r="E30" i="8"/>
  <c r="E31" i="8"/>
  <c r="E32" i="8"/>
  <c r="E33" i="8"/>
  <c r="E34" i="8"/>
  <c r="E28" i="8"/>
  <c r="O9" i="7" l="1"/>
  <c r="M9" i="7"/>
  <c r="N9" i="7" s="1"/>
  <c r="K9" i="7"/>
  <c r="J9" i="7"/>
  <c r="R9" i="7" s="1"/>
  <c r="O8" i="7"/>
  <c r="M8" i="7"/>
  <c r="R8" i="7" s="1"/>
  <c r="K8" i="7"/>
  <c r="J8" i="7"/>
  <c r="O7" i="7"/>
  <c r="M7" i="7"/>
  <c r="S7" i="7" s="1"/>
  <c r="K7" i="7"/>
  <c r="J7" i="7"/>
  <c r="R7" i="7" s="1"/>
  <c r="O6" i="7"/>
  <c r="M6" i="7"/>
  <c r="N6" i="7" s="1"/>
  <c r="Q6" i="7" s="1"/>
  <c r="K6" i="7"/>
  <c r="J6" i="7"/>
  <c r="O5" i="7"/>
  <c r="M5" i="7"/>
  <c r="N5" i="7" s="1"/>
  <c r="K5" i="7"/>
  <c r="L5" i="7" s="1"/>
  <c r="P5" i="7" s="1"/>
  <c r="J5" i="7"/>
  <c r="R5" i="7" s="1"/>
  <c r="O4" i="7"/>
  <c r="M4" i="7"/>
  <c r="N4" i="7" s="1"/>
  <c r="K4" i="7"/>
  <c r="J4" i="7"/>
  <c r="O3" i="7"/>
  <c r="M3" i="7"/>
  <c r="R3" i="7" s="1"/>
  <c r="N3" i="7"/>
  <c r="K3" i="7"/>
  <c r="L3" i="7" s="1"/>
  <c r="P3" i="7" s="1"/>
  <c r="J3" i="7"/>
  <c r="L6" i="7"/>
  <c r="P6" i="7" s="1"/>
  <c r="S3" i="7"/>
  <c r="L8" i="7"/>
  <c r="P8" i="7" s="1"/>
  <c r="S9" i="7"/>
  <c r="Q3" i="7" l="1"/>
  <c r="S6" i="7"/>
  <c r="N8" i="7"/>
  <c r="Q8" i="7" s="1"/>
  <c r="S8" i="7"/>
  <c r="H8" i="7" s="1"/>
  <c r="L4" i="7"/>
  <c r="P4" i="7" s="1"/>
  <c r="Q4" i="7" s="1"/>
  <c r="R6" i="7"/>
  <c r="Q5" i="7"/>
  <c r="S5" i="7"/>
  <c r="H3" i="7"/>
  <c r="N7" i="7"/>
  <c r="Q7" i="7" s="1"/>
  <c r="H7" i="7" s="1"/>
  <c r="L9" i="7"/>
  <c r="P9" i="7" s="1"/>
  <c r="Q9" i="7" s="1"/>
  <c r="H9" i="7" s="1"/>
  <c r="R4" i="7"/>
  <c r="L7" i="7"/>
  <c r="P7" i="7" s="1"/>
  <c r="S4" i="7"/>
  <c r="H5" i="7" l="1"/>
  <c r="H6" i="7"/>
  <c r="H4" i="7"/>
</calcChain>
</file>

<file path=xl/sharedStrings.xml><?xml version="1.0" encoding="utf-8"?>
<sst xmlns="http://schemas.openxmlformats.org/spreadsheetml/2006/main" count="79" uniqueCount="56">
  <si>
    <t>Diameter</t>
  </si>
  <si>
    <t>RPM</t>
  </si>
  <si>
    <t>Velocity</t>
  </si>
  <si>
    <t>Near Wake Length</t>
  </si>
  <si>
    <t>Mechanical Wake Erosion Rate</t>
  </si>
  <si>
    <t>Ambient Turbulence Wake Erosin Rate</t>
  </si>
  <si>
    <t>Shear turbulence Wake Erosion Rate</t>
  </si>
  <si>
    <t>Flow Field Ratio</t>
  </si>
  <si>
    <t>Tip Speed Ratio</t>
  </si>
  <si>
    <t>Angular Velocicty</t>
  </si>
  <si>
    <t>Radius</t>
  </si>
  <si>
    <t>Thrust Coefficient</t>
  </si>
  <si>
    <t>Total Erosion Rate</t>
  </si>
  <si>
    <t>Radius Of Inviscid Expanded Rotor Disk</t>
  </si>
  <si>
    <t>N</t>
  </si>
  <si>
    <t>Number Of Blades</t>
  </si>
  <si>
    <t>Ambient Turbulence</t>
  </si>
  <si>
    <t>Specification</t>
  </si>
  <si>
    <t>Given a</t>
  </si>
  <si>
    <t>With Properties</t>
  </si>
  <si>
    <t>Vermeulen Near Wake Length</t>
  </si>
  <si>
    <t>VermeulenNearWakeLengthCalculator</t>
  </si>
  <si>
    <t>Velocity of</t>
  </si>
  <si>
    <t>Ambient Turbulence of</t>
  </si>
  <si>
    <t>RevolutionsPerMinute of</t>
  </si>
  <si>
    <t>VermeulenNearWakeLengthInputs table of</t>
  </si>
  <si>
    <t>TurbineGeometry of</t>
  </si>
  <si>
    <t>TurbineGeometry</t>
  </si>
  <si>
    <t>NumberOfBlades of</t>
  </si>
  <si>
    <t>Diameter of</t>
  </si>
  <si>
    <t>Thrust Coefficient of</t>
  </si>
  <si>
    <t>This example / end to end test shows the following</t>
  </si>
  <si>
    <t>Setup of complex properties within tables (which is supported, but prevents round tripping from C# to Excel)</t>
  </si>
  <si>
    <t>Table property setup (using "table of")</t>
  </si>
  <si>
    <t>When</t>
  </si>
  <si>
    <t>Calculate</t>
  </si>
  <si>
    <t>Assert</t>
  </si>
  <si>
    <t>VermeulenNearWakeLength</t>
  </si>
  <si>
    <t>VermeulenNearWakeLengths</t>
  </si>
  <si>
    <t>table of</t>
  </si>
  <si>
    <t>=</t>
  </si>
  <si>
    <t>PercentagePrecision</t>
  </si>
  <si>
    <t>VermeulenNearWakeLength_m</t>
  </si>
  <si>
    <t>Table assertions</t>
  </si>
  <si>
    <t>Spaces in the Excel filename</t>
  </si>
  <si>
    <t>VermeulenNearWakeLengthInput</t>
  </si>
  <si>
    <t>Helper worksheets that do not get converted in to tests</t>
  </si>
  <si>
    <t>Using named ranges in calculations</t>
  </si>
  <si>
    <t>AngularVelocity</t>
  </si>
  <si>
    <t>TipSpeedRatio</t>
  </si>
  <si>
    <t>FlowFieldRatio</t>
  </si>
  <si>
    <t>ShearTurbulenceWakeErosionRate</t>
  </si>
  <si>
    <t>AmbientTurbulenceWakeErosionRate</t>
  </si>
  <si>
    <t>MechanicalWakeErosionRate</t>
  </si>
  <si>
    <t>TotalErosionRate</t>
  </si>
  <si>
    <t>RadiusOfInviscidExpandedRotorDisk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</si>
</sst>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/>
    <xf numFmtId="0" fontId="1" fillId="3" borderId="3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3" borderId="2" xfId="0" applyFill="1" applyBorder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7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AB2E-8077-4D7F-985C-A2ECF36784A5}">
  <dimension ref="A1:O34"/>
  <sheetViews>
    <sheetView tabSelected="1" topLeftCell="C10" workbookViewId="0">
      <selection activeCell="L25" sqref="L25"/>
    </sheetView>
  </sheetViews>
  <sheetFormatPr defaultRowHeight="15" x14ac:dyDescent="0.25"/>
  <cols>
    <col min="1" max="1" width="18.85546875" style="13" customWidth="1"/>
    <col min="2" max="2" width="37" style="13" customWidth="1"/>
    <col min="3" max="3" width="18.85546875" style="13" customWidth="1"/>
    <col min="4" max="4" width="32.7109375" style="13" customWidth="1"/>
    <col min="5" max="5" width="22" style="13" customWidth="1"/>
    <col min="6" max="6" width="24.140625" style="13" customWidth="1"/>
    <col min="7" max="7" width="19.85546875" style="13" customWidth="1"/>
    <col min="8" max="8" width="20.85546875" style="13" customWidth="1"/>
    <col min="9" max="9" width="18.85546875" style="13" customWidth="1"/>
    <col min="10" max="10" width="18.5703125" style="13" customWidth="1"/>
    <col min="11" max="11" width="13.5703125" style="13" customWidth="1"/>
    <col min="12" max="12" width="21.7109375" style="13" customWidth="1"/>
    <col min="13" max="13" width="11.140625" style="13" customWidth="1"/>
    <col min="14" max="14" width="9.7109375" style="13" customWidth="1"/>
    <col min="15" max="15" width="9.28515625" style="13" customWidth="1"/>
    <col min="16" max="18" width="18.85546875" style="13" customWidth="1"/>
    <col min="19" max="16384" width="9.140625" style="13"/>
  </cols>
  <sheetData>
    <row r="1" spans="1:12" ht="30" x14ac:dyDescent="0.25">
      <c r="A1" s="13" t="s">
        <v>17</v>
      </c>
      <c r="B1" s="13" t="s">
        <v>20</v>
      </c>
      <c r="K1" s="13" t="s">
        <v>31</v>
      </c>
      <c r="L1" s="13" t="s">
        <v>33</v>
      </c>
    </row>
    <row r="2" spans="1:12" ht="60" x14ac:dyDescent="0.25">
      <c r="L2" s="13" t="s">
        <v>32</v>
      </c>
    </row>
    <row r="3" spans="1:12" x14ac:dyDescent="0.25">
      <c r="A3" s="13" t="s">
        <v>18</v>
      </c>
      <c r="B3" s="13" t="s">
        <v>21</v>
      </c>
      <c r="L3" s="13" t="s">
        <v>43</v>
      </c>
    </row>
    <row r="4" spans="1:12" x14ac:dyDescent="0.25">
      <c r="B4" s="13" t="s">
        <v>19</v>
      </c>
      <c r="L4" s="13" t="s">
        <v>44</v>
      </c>
    </row>
    <row r="5" spans="1:12" ht="45" x14ac:dyDescent="0.25">
      <c r="C5" s="13" t="s">
        <v>25</v>
      </c>
      <c r="D5" s="13" t="s">
        <v>45</v>
      </c>
      <c r="L5" s="13" t="s">
        <v>46</v>
      </c>
    </row>
    <row r="6" spans="1:12" ht="30" x14ac:dyDescent="0.25">
      <c r="D6" s="13" t="s">
        <v>19</v>
      </c>
      <c r="L6" s="13" t="s">
        <v>47</v>
      </c>
    </row>
    <row r="7" spans="1:12" x14ac:dyDescent="0.25">
      <c r="D7" s="13" t="s">
        <v>22</v>
      </c>
      <c r="E7" s="13" t="s">
        <v>23</v>
      </c>
      <c r="F7" s="13" t="s">
        <v>24</v>
      </c>
      <c r="G7" s="13" t="s">
        <v>30</v>
      </c>
      <c r="H7" s="13" t="s">
        <v>26</v>
      </c>
    </row>
    <row r="8" spans="1:12" x14ac:dyDescent="0.25">
      <c r="H8" s="13" t="s">
        <v>27</v>
      </c>
    </row>
    <row r="9" spans="1:12" x14ac:dyDescent="0.25">
      <c r="H9" s="13" t="s">
        <v>19</v>
      </c>
    </row>
    <row r="10" spans="1:12" x14ac:dyDescent="0.25">
      <c r="H10" s="13" t="s">
        <v>28</v>
      </c>
      <c r="I10" s="13" t="s">
        <v>29</v>
      </c>
    </row>
    <row r="11" spans="1:12" x14ac:dyDescent="0.25">
      <c r="D11" s="13">
        <v>10</v>
      </c>
      <c r="E11" s="13">
        <v>0.15</v>
      </c>
      <c r="F11" s="13">
        <v>15</v>
      </c>
      <c r="G11" s="13">
        <v>0.7</v>
      </c>
      <c r="H11" s="13">
        <v>3</v>
      </c>
      <c r="I11" s="13">
        <v>76</v>
      </c>
    </row>
    <row r="12" spans="1:12" x14ac:dyDescent="0.25">
      <c r="D12" s="13">
        <v>10</v>
      </c>
      <c r="E12" s="13">
        <v>0.15</v>
      </c>
      <c r="F12" s="13">
        <v>15</v>
      </c>
      <c r="G12" s="13">
        <v>0.7</v>
      </c>
      <c r="H12" s="13">
        <v>2</v>
      </c>
      <c r="I12" s="13">
        <v>76</v>
      </c>
    </row>
    <row r="13" spans="1:12" x14ac:dyDescent="0.25">
      <c r="D13" s="13">
        <v>6</v>
      </c>
      <c r="E13" s="13">
        <v>0.15</v>
      </c>
      <c r="F13" s="13">
        <v>15</v>
      </c>
      <c r="G13" s="13">
        <v>0.7</v>
      </c>
      <c r="H13" s="13">
        <v>3</v>
      </c>
      <c r="I13" s="13">
        <v>76</v>
      </c>
    </row>
    <row r="14" spans="1:12" x14ac:dyDescent="0.25">
      <c r="D14" s="13">
        <v>10</v>
      </c>
      <c r="E14" s="13">
        <v>0.1</v>
      </c>
      <c r="F14" s="13">
        <v>15</v>
      </c>
      <c r="G14" s="13">
        <v>0.7</v>
      </c>
      <c r="H14" s="13">
        <v>3</v>
      </c>
      <c r="I14" s="13">
        <v>76</v>
      </c>
    </row>
    <row r="15" spans="1:12" x14ac:dyDescent="0.25">
      <c r="D15" s="13">
        <v>10</v>
      </c>
      <c r="E15" s="13">
        <v>0.15</v>
      </c>
      <c r="F15" s="13">
        <v>15</v>
      </c>
      <c r="G15" s="13">
        <v>0.7</v>
      </c>
      <c r="H15" s="13">
        <v>3</v>
      </c>
      <c r="I15" s="13">
        <v>60</v>
      </c>
    </row>
    <row r="16" spans="1:12" x14ac:dyDescent="0.25">
      <c r="D16" s="13">
        <v>10</v>
      </c>
      <c r="E16" s="13">
        <v>0.15</v>
      </c>
      <c r="F16" s="13">
        <v>20</v>
      </c>
      <c r="G16" s="13">
        <v>0.7</v>
      </c>
      <c r="H16" s="13">
        <v>3</v>
      </c>
      <c r="I16" s="13">
        <v>76</v>
      </c>
    </row>
    <row r="17" spans="1:15" x14ac:dyDescent="0.25">
      <c r="D17" s="13">
        <v>10</v>
      </c>
      <c r="E17" s="13">
        <v>0.15</v>
      </c>
      <c r="F17" s="13">
        <v>15</v>
      </c>
      <c r="G17" s="13">
        <v>0.6</v>
      </c>
      <c r="H17" s="13">
        <v>3</v>
      </c>
      <c r="I17" s="13">
        <v>76</v>
      </c>
    </row>
    <row r="19" spans="1:15" x14ac:dyDescent="0.25">
      <c r="A19" s="13" t="s">
        <v>34</v>
      </c>
      <c r="B19" s="13" t="s">
        <v>35</v>
      </c>
    </row>
    <row r="21" spans="1:15" x14ac:dyDescent="0.25">
      <c r="A21" s="13" t="s">
        <v>36</v>
      </c>
    </row>
    <row r="22" spans="1:15" x14ac:dyDescent="0.25">
      <c r="B22" s="13" t="s">
        <v>38</v>
      </c>
      <c r="C22" s="13" t="s">
        <v>39</v>
      </c>
      <c r="D22" s="13" t="s">
        <v>37</v>
      </c>
    </row>
    <row r="23" spans="1:15" x14ac:dyDescent="0.25">
      <c r="D23" s="13" t="s">
        <v>19</v>
      </c>
    </row>
    <row r="24" spans="1:15" ht="30" x14ac:dyDescent="0.25">
      <c r="D24" s="13" t="s">
        <v>42</v>
      </c>
      <c r="E24" s="13" t="s">
        <v>48</v>
      </c>
      <c r="F24" s="13" t="s">
        <v>49</v>
      </c>
      <c r="G24" s="13" t="s">
        <v>50</v>
      </c>
      <c r="H24" s="13" t="s">
        <v>51</v>
      </c>
      <c r="I24" s="13" t="s">
        <v>52</v>
      </c>
      <c r="J24" s="13" t="s">
        <v>53</v>
      </c>
      <c r="K24" s="13" t="s">
        <v>54</v>
      </c>
      <c r="L24" s="13" t="s">
        <v>55</v>
      </c>
      <c r="M24" s="13" t="s">
        <v>14</v>
      </c>
    </row>
    <row r="25" spans="1:15" x14ac:dyDescent="0.25">
      <c r="D25" s="13" t="s">
        <v>40</v>
      </c>
      <c r="E25" s="13" t="s">
        <v>40</v>
      </c>
      <c r="F25" s="13" t="s">
        <v>40</v>
      </c>
      <c r="G25" s="13" t="s">
        <v>40</v>
      </c>
      <c r="H25" s="13" t="s">
        <v>40</v>
      </c>
      <c r="I25" s="13" t="s">
        <v>40</v>
      </c>
      <c r="J25" s="13" t="s">
        <v>40</v>
      </c>
      <c r="K25" s="13" t="s">
        <v>40</v>
      </c>
      <c r="L25" s="13" t="s">
        <v>40</v>
      </c>
      <c r="M25" s="13" t="s">
        <v>40</v>
      </c>
    </row>
    <row r="26" spans="1:15" ht="30" x14ac:dyDescent="0.25">
      <c r="D26" s="13" t="s">
        <v>41</v>
      </c>
      <c r="E26" s="13" t="s">
        <v>41</v>
      </c>
      <c r="F26" s="13" t="s">
        <v>41</v>
      </c>
      <c r="G26" s="13" t="s">
        <v>41</v>
      </c>
      <c r="H26" s="13" t="s">
        <v>41</v>
      </c>
      <c r="I26" s="13" t="s">
        <v>41</v>
      </c>
      <c r="J26" s="13" t="s">
        <v>41</v>
      </c>
      <c r="K26" s="13" t="s">
        <v>41</v>
      </c>
      <c r="L26" s="13" t="s">
        <v>41</v>
      </c>
      <c r="M26" s="13" t="s">
        <v>41</v>
      </c>
    </row>
    <row r="27" spans="1:15" ht="29.25" customHeight="1" x14ac:dyDescent="0.25">
      <c r="D27" s="13">
        <v>1E-3</v>
      </c>
      <c r="E27" s="13">
        <v>1E-3</v>
      </c>
      <c r="F27" s="13">
        <v>1E-3</v>
      </c>
      <c r="G27" s="13">
        <v>1E-3</v>
      </c>
      <c r="H27" s="13">
        <v>1E-3</v>
      </c>
      <c r="I27" s="13">
        <v>1E-3</v>
      </c>
      <c r="J27" s="13">
        <v>1E-3</v>
      </c>
      <c r="K27" s="13">
        <v>1E-3</v>
      </c>
      <c r="L27" s="13">
        <v>1E-3</v>
      </c>
      <c r="M27" s="13">
        <v>1E-3</v>
      </c>
      <c r="O27" s="13" t="s">
        <v>10</v>
      </c>
    </row>
    <row r="28" spans="1:15" x14ac:dyDescent="0.25">
      <c r="D28" s="13">
        <f>N*RadiusOfInviscidExpandedRotorDisk/TotalErosionRate</f>
        <v>140.01601451311993</v>
      </c>
      <c r="E28" s="13">
        <f>F11* (2 * PI() / 60)</f>
        <v>1.5707963267948966</v>
      </c>
      <c r="F28" s="13">
        <f>(AngularVelocity * Radius) / D11</f>
        <v>5.9690260418206069</v>
      </c>
      <c r="G28" s="13">
        <f>IF(G11&gt;0.8888,3,1/SQRT(1-G11))</f>
        <v>1.8257418583505536</v>
      </c>
      <c r="H28" s="13">
        <f>(1-FlowFieldRatio)*SQRT(1.49+FlowFieldRatio)/(9.76*(1+FlowFieldRatio))</f>
        <v>-5.4519561436758443E-2</v>
      </c>
      <c r="I28" s="13">
        <f>IF(E11&gt;0.02,2.5*E11+0.05,5*E11)</f>
        <v>0.42499999999999999</v>
      </c>
      <c r="J28" s="13">
        <f>0.012*H11*TipSpeedRatio</f>
        <v>0.21488493750554188</v>
      </c>
      <c r="K28" s="13">
        <f>SQRT(POWER(ShearTurbulenceWakeErosionRate,2)+POWER(AmbientTurbulenceWakeErosionRate,2)+POWER(MechanicalWakeErosionRate,2))</f>
        <v>0.47934634550188976</v>
      </c>
      <c r="L28" s="13">
        <f>Radius*SQRT((FlowFieldRatio+1)/2)</f>
        <v>45.168413982882988</v>
      </c>
      <c r="M28" s="13">
        <f>SQRT(0.214+0.144*FlowFieldRatio)* (1-SQRT(0.134+0.124*FlowFieldRatio))/((1-SQRT(0.214+0.144*FlowFieldRatio))*SQRT(0.134+0.124*FlowFieldRatio))</f>
        <v>1.4859092660202307</v>
      </c>
      <c r="O28" s="13">
        <f>I11/2</f>
        <v>38</v>
      </c>
    </row>
    <row r="29" spans="1:15" x14ac:dyDescent="0.25">
      <c r="D29" s="13">
        <f>N*RadiusOfInviscidExpandedRotorDisk/TotalErosionRate</f>
        <v>148.55405780294296</v>
      </c>
      <c r="E29" s="13">
        <f>F12* (2 * PI() / 60)</f>
        <v>1.5707963267948966</v>
      </c>
      <c r="F29" s="13">
        <f>(AngularVelocity * Radius) /D12</f>
        <v>5.9690260418206069</v>
      </c>
      <c r="G29" s="13">
        <f>IF(G12&gt;0.8888,3,1/SQRT(1-G12))</f>
        <v>1.8257418583505536</v>
      </c>
      <c r="H29" s="13">
        <f>(1-FlowFieldRatio)*SQRT(1.49+FlowFieldRatio)/(9.76*(1+FlowFieldRatio))</f>
        <v>-5.4519561436758443E-2</v>
      </c>
      <c r="I29" s="13">
        <f>IF(E12&gt;0.02,2.5*E12+0.05,5*E12)</f>
        <v>0.42499999999999999</v>
      </c>
      <c r="J29" s="13">
        <f>0.012*H12*TipSpeedRatio</f>
        <v>0.14325662500369457</v>
      </c>
      <c r="K29" s="13">
        <f>SQRT(POWER(ShearTurbulenceWakeErosionRate,2)+POWER(AmbientTurbulenceWakeErosionRate,2)+POWER(MechanicalWakeErosionRate,2))</f>
        <v>0.45179624078416769</v>
      </c>
      <c r="L29" s="13">
        <f>Radius*SQRT((FlowFieldRatio+1)/2)</f>
        <v>45.168413982882988</v>
      </c>
      <c r="M29" s="13">
        <f>SQRT(0.214+0.144*FlowFieldRatio)* (1-SQRT(0.134+0.124*FlowFieldRatio))/((1-SQRT(0.214+0.144*FlowFieldRatio))*SQRT(0.134+0.124*FlowFieldRatio))</f>
        <v>1.4859092660202307</v>
      </c>
      <c r="O29" s="13">
        <f t="shared" ref="O29:O34" si="0">I12/2</f>
        <v>38</v>
      </c>
    </row>
    <row r="30" spans="1:15" x14ac:dyDescent="0.25">
      <c r="D30" s="13">
        <f>N*RadiusOfInviscidExpandedRotorDisk/TotalErosionRate</f>
        <v>120.18364521743895</v>
      </c>
      <c r="E30" s="13">
        <f>F13* (2 * PI() / 60)</f>
        <v>1.5707963267948966</v>
      </c>
      <c r="F30" s="13">
        <f>(AngularVelocity * Radius) /D13</f>
        <v>9.9483767363676776</v>
      </c>
      <c r="G30" s="13">
        <f>IF(G13&gt;0.8888,3,1/SQRT(1-G13))</f>
        <v>1.8257418583505536</v>
      </c>
      <c r="H30" s="13">
        <f>(1-FlowFieldRatio)*SQRT(1.49+FlowFieldRatio)/(9.76*(1+FlowFieldRatio))</f>
        <v>-5.4519561436758443E-2</v>
      </c>
      <c r="I30" s="13">
        <f>IF(E13&gt;0.02,2.5*E13+0.05,5*E13)</f>
        <v>0.42499999999999999</v>
      </c>
      <c r="J30" s="13">
        <f>0.012*H13*TipSpeedRatio</f>
        <v>0.35814156250923646</v>
      </c>
      <c r="K30" s="13">
        <f>SQRT(POWER(ShearTurbulenceWakeErosionRate,2)+POWER(AmbientTurbulenceWakeErosionRate,2)+POWER(MechanicalWakeErosionRate,2))</f>
        <v>0.55844673996345773</v>
      </c>
      <c r="L30" s="13">
        <f>Radius*SQRT((FlowFieldRatio+1)/2)</f>
        <v>45.168413982882988</v>
      </c>
      <c r="M30" s="13">
        <f>SQRT(0.214+0.144*FlowFieldRatio)* (1-SQRT(0.134+0.124*FlowFieldRatio))/((1-SQRT(0.214+0.144*FlowFieldRatio))*SQRT(0.134+0.124*FlowFieldRatio))</f>
        <v>1.4859092660202307</v>
      </c>
      <c r="O30" s="13">
        <f t="shared" si="0"/>
        <v>38</v>
      </c>
    </row>
    <row r="31" spans="1:15" x14ac:dyDescent="0.25">
      <c r="D31" s="13">
        <f>N*RadiusOfInviscidExpandedRotorDisk/TotalErosionRate</f>
        <v>179.92386611626353</v>
      </c>
      <c r="E31" s="13">
        <f>F14* (2 * PI() / 60)</f>
        <v>1.5707963267948966</v>
      </c>
      <c r="F31" s="13">
        <f>(AngularVelocity * Radius) /D14</f>
        <v>5.9690260418206069</v>
      </c>
      <c r="G31" s="13">
        <f>IF(G14&gt;0.8888,3,1/SQRT(1-G14))</f>
        <v>1.8257418583505536</v>
      </c>
      <c r="H31" s="13">
        <f>(1-FlowFieldRatio)*SQRT(1.49+FlowFieldRatio)/(9.76*(1+FlowFieldRatio))</f>
        <v>-5.4519561436758443E-2</v>
      </c>
      <c r="I31" s="13">
        <f>IF(E14&gt;0.02,2.5*E14+0.05,5*E14)</f>
        <v>0.3</v>
      </c>
      <c r="J31" s="13">
        <f>0.012*H14*TipSpeedRatio</f>
        <v>0.21488493750554188</v>
      </c>
      <c r="K31" s="13">
        <f>SQRT(POWER(ShearTurbulenceWakeErosionRate,2)+POWER(AmbientTurbulenceWakeErosionRate,2)+POWER(MechanicalWakeErosionRate,2))</f>
        <v>0.37302535965536859</v>
      </c>
      <c r="L31" s="13">
        <f>Radius*SQRT((FlowFieldRatio+1)/2)</f>
        <v>45.168413982882988</v>
      </c>
      <c r="M31" s="13">
        <f>SQRT(0.214+0.144*FlowFieldRatio)* (1-SQRT(0.134+0.124*FlowFieldRatio))/((1-SQRT(0.214+0.144*FlowFieldRatio))*SQRT(0.134+0.124*FlowFieldRatio))</f>
        <v>1.4859092660202307</v>
      </c>
      <c r="O31" s="13">
        <f t="shared" si="0"/>
        <v>38</v>
      </c>
    </row>
    <row r="32" spans="1:15" x14ac:dyDescent="0.25">
      <c r="D32" s="13">
        <f>N*RadiusOfInviscidExpandedRotorDisk/TotalErosionRate</f>
        <v>114.97697996131835</v>
      </c>
      <c r="E32" s="13">
        <f>F15* (2 * PI() / 60)</f>
        <v>1.5707963267948966</v>
      </c>
      <c r="F32" s="13">
        <f>(AngularVelocity * Radius) /D15</f>
        <v>4.7123889803846897</v>
      </c>
      <c r="G32" s="13">
        <f>IF(G15&gt;0.8888,3,1/SQRT(1-G15))</f>
        <v>1.8257418583505536</v>
      </c>
      <c r="H32" s="13">
        <f>(1-FlowFieldRatio)*SQRT(1.49+FlowFieldRatio)/(9.76*(1+FlowFieldRatio))</f>
        <v>-5.4519561436758443E-2</v>
      </c>
      <c r="I32" s="13">
        <f>IF(E15&gt;0.02,2.5*E15+0.05,5*E15)</f>
        <v>0.42499999999999999</v>
      </c>
      <c r="J32" s="13">
        <f>0.012*H15*TipSpeedRatio</f>
        <v>0.16964600329384885</v>
      </c>
      <c r="K32" s="13">
        <f>SQRT(POWER(ShearTurbulenceWakeErosionRate,2)+POWER(AmbientTurbulenceWakeErosionRate,2)+POWER(MechanicalWakeErosionRate,2))</f>
        <v>0.46084395299584113</v>
      </c>
      <c r="L32" s="13">
        <f>Radius*SQRT((FlowFieldRatio+1)/2)</f>
        <v>35.659274197012884</v>
      </c>
      <c r="M32" s="13">
        <f>SQRT(0.214+0.144*FlowFieldRatio)* (1-SQRT(0.134+0.124*FlowFieldRatio))/((1-SQRT(0.214+0.144*FlowFieldRatio))*SQRT(0.134+0.124*FlowFieldRatio))</f>
        <v>1.4859092660202307</v>
      </c>
      <c r="O32" s="13">
        <f t="shared" si="0"/>
        <v>30</v>
      </c>
    </row>
    <row r="33" spans="4:15" x14ac:dyDescent="0.25">
      <c r="D33" s="13">
        <f>N*RadiusOfInviscidExpandedRotorDisk/TotalErosionRate</f>
        <v>130.2092375310549</v>
      </c>
      <c r="E33" s="13">
        <f>F16* (2 * PI() / 60)</f>
        <v>2.0943951023931953</v>
      </c>
      <c r="F33" s="13">
        <f>(AngularVelocity * Radius) /D16</f>
        <v>7.9587013890941423</v>
      </c>
      <c r="G33" s="13">
        <f>IF(G16&gt;0.8888,3,1/SQRT(1-G16))</f>
        <v>1.8257418583505536</v>
      </c>
      <c r="H33" s="13">
        <f>(1-FlowFieldRatio)*SQRT(1.49+FlowFieldRatio)/(9.76*(1+FlowFieldRatio))</f>
        <v>-5.4519561436758443E-2</v>
      </c>
      <c r="I33" s="13">
        <f>IF(E16&gt;0.02,2.5*E16+0.05,5*E16)</f>
        <v>0.42499999999999999</v>
      </c>
      <c r="J33" s="13">
        <f>0.012*H16*TipSpeedRatio</f>
        <v>0.28651325000738914</v>
      </c>
      <c r="K33" s="13">
        <f>SQRT(POWER(ShearTurbulenceWakeErosionRate,2)+POWER(AmbientTurbulenceWakeErosionRate,2)+POWER(MechanicalWakeErosionRate,2))</f>
        <v>0.51544856679309248</v>
      </c>
      <c r="L33" s="13">
        <f>Radius*SQRT((FlowFieldRatio+1)/2)</f>
        <v>45.168413982882988</v>
      </c>
      <c r="M33" s="13">
        <f>SQRT(0.214+0.144*FlowFieldRatio)* (1-SQRT(0.134+0.124*FlowFieldRatio))/((1-SQRT(0.214+0.144*FlowFieldRatio))*SQRT(0.134+0.124*FlowFieldRatio))</f>
        <v>1.4859092660202307</v>
      </c>
      <c r="O33" s="13">
        <f t="shared" si="0"/>
        <v>38</v>
      </c>
    </row>
    <row r="34" spans="4:15" x14ac:dyDescent="0.25">
      <c r="D34" s="13">
        <f>N*RadiusOfInviscidExpandedRotorDisk/TotalErosionRate</f>
        <v>132.54688085802303</v>
      </c>
      <c r="E34" s="13">
        <f>F17* (2 * PI() / 60)</f>
        <v>1.5707963267948966</v>
      </c>
      <c r="F34" s="13">
        <f>(AngularVelocity * Radius) /D17</f>
        <v>5.9690260418206069</v>
      </c>
      <c r="G34" s="13">
        <f>IF(G17&gt;0.8888,3,1/SQRT(1-G17))</f>
        <v>1.5811388300841895</v>
      </c>
      <c r="H34" s="13">
        <f>(1-FlowFieldRatio)*SQRT(1.49+FlowFieldRatio)/(9.76*(1+FlowFieldRatio))</f>
        <v>-4.0426713559809861E-2</v>
      </c>
      <c r="I34" s="13">
        <f>IF(E17&gt;0.02,2.5*E17+0.05,5*E17)</f>
        <v>0.42499999999999999</v>
      </c>
      <c r="J34" s="13">
        <f>0.012*H17*TipSpeedRatio</f>
        <v>0.21488493750554188</v>
      </c>
      <c r="K34" s="13">
        <f>SQRT(POWER(ShearTurbulenceWakeErosionRate,2)+POWER(AmbientTurbulenceWakeErosionRate,2)+POWER(MechanicalWakeErosionRate,2))</f>
        <v>0.47794859089237574</v>
      </c>
      <c r="L34" s="13">
        <f>Radius*SQRT((FlowFieldRatio+1)/2)</f>
        <v>43.169227874966502</v>
      </c>
      <c r="M34" s="13">
        <f>SQRT(0.214+0.144*FlowFieldRatio)* (1-SQRT(0.134+0.124*FlowFieldRatio))/((1-SQRT(0.214+0.144*FlowFieldRatio))*SQRT(0.134+0.124*FlowFieldRatio))</f>
        <v>1.4674942789516103</v>
      </c>
      <c r="O34" s="13">
        <f t="shared" si="0"/>
        <v>38</v>
      </c>
    </row>
  </sheetData>
  <conditionalFormatting sqref="A1:D26 E25:M27 K19:K22 E1:J22 K1:K8 A35:D1048576 E36:XFD1048576 N1:XFD25 L1:M22 P28:XFD33 B27:D34">
    <cfRule type="cellIs" dxfId="174" priority="4" operator="equal">
      <formula>"Assert"</formula>
    </cfRule>
    <cfRule type="cellIs" dxfId="173" priority="5" operator="equal">
      <formula>"When"</formula>
    </cfRule>
    <cfRule type="cellIs" dxfId="172" priority="6" operator="equal">
      <formula>"Given a"</formula>
    </cfRule>
    <cfRule type="cellIs" dxfId="171" priority="7" operator="equal">
      <formula>"Specification"</formula>
    </cfRule>
    <cfRule type="beginsWith" dxfId="170" priority="8" operator="beginsWith" text="With Properties">
      <formula>LEFT(A1,LEN("With Properties"))="With Properties"</formula>
    </cfRule>
    <cfRule type="endsWith" dxfId="169" priority="9" operator="endsWith" text=" table of">
      <formula>RIGHT(A1,LEN(" table of"))=" table of"</formula>
    </cfRule>
    <cfRule type="endsWith" dxfId="168" priority="10" operator="endsWith" text=" of">
      <formula>RIGHT(A1,LEN(" of"))=" of"</formula>
    </cfRule>
    <cfRule type="expression" dxfId="167" priority="11">
      <formula>AND((RIGHT(A1048576, 3) = " of"), A2 = "With Properties")</formula>
    </cfRule>
    <cfRule type="expression" dxfId="166" priority="12">
      <formula>AND(RIGHT(XFD1, 3) = " of", A2 = "With Properties")</formula>
    </cfRule>
  </conditionalFormatting>
  <conditionalFormatting sqref="A1:XFD9 A10:J17 L10:XFD17 A18:XFD1048576">
    <cfRule type="notContainsBlanks" dxfId="165" priority="13">
      <formula>LEN(TRIM(A1))&gt;0</formula>
    </cfRule>
  </conditionalFormatting>
  <conditionalFormatting sqref="A1:XFD9 A10:J17 L10:XFD17 A18:XFD1048576">
    <cfRule type="cellIs" dxfId="164" priority="2" operator="equal">
      <formula>"PercentagePrecision"</formula>
    </cfRule>
    <cfRule type="cellIs" dxfId="163" priority="3" operator="equal">
      <formula>"="</formula>
    </cfRule>
  </conditionalFormatting>
  <conditionalFormatting sqref="A1:XFD9 A10:J17 L10:XFD17 A18:XFD1048576">
    <cfRule type="cellIs" dxfId="162" priority="1" operator="equal">
      <formula>"StringFormat"</formula>
    </cfRule>
  </conditionalFormatting>
  <conditionalFormatting sqref="Q35 E35 K18">
    <cfRule type="cellIs" dxfId="161" priority="41" operator="equal">
      <formula>"Assert"</formula>
    </cfRule>
    <cfRule type="cellIs" dxfId="160" priority="42" operator="equal">
      <formula>"When"</formula>
    </cfRule>
    <cfRule type="cellIs" dxfId="159" priority="43" operator="equal">
      <formula>"Given a"</formula>
    </cfRule>
    <cfRule type="cellIs" dxfId="158" priority="44" operator="equal">
      <formula>"Specification"</formula>
    </cfRule>
    <cfRule type="beginsWith" dxfId="157" priority="45" operator="beginsWith" text="With Properties">
      <formula>LEFT(E18,LEN("With Properties"))="With Properties"</formula>
    </cfRule>
    <cfRule type="endsWith" dxfId="156" priority="46" operator="endsWith" text=" table of">
      <formula>RIGHT(E18,LEN(" table of"))=" table of"</formula>
    </cfRule>
    <cfRule type="endsWith" dxfId="155" priority="47" operator="endsWith" text=" of">
      <formula>RIGHT(E18,LEN(" of"))=" of"</formula>
    </cfRule>
    <cfRule type="expression" dxfId="154" priority="48">
      <formula>AND((RIGHT(#REF!, 3) = " of"), E19 = "With Properties")</formula>
    </cfRule>
    <cfRule type="expression" dxfId="153" priority="49">
      <formula>AND(RIGHT(D18, 3) = " of", E19 = "With Properties")</formula>
    </cfRule>
  </conditionalFormatting>
  <conditionalFormatting sqref="Q26 E23:M23 K9">
    <cfRule type="cellIs" dxfId="152" priority="59" operator="equal">
      <formula>"Assert"</formula>
    </cfRule>
    <cfRule type="cellIs" dxfId="151" priority="60" operator="equal">
      <formula>"When"</formula>
    </cfRule>
    <cfRule type="cellIs" dxfId="150" priority="61" operator="equal">
      <formula>"Given a"</formula>
    </cfRule>
    <cfRule type="cellIs" dxfId="149" priority="62" operator="equal">
      <formula>"Specification"</formula>
    </cfRule>
    <cfRule type="beginsWith" dxfId="148" priority="63" operator="beginsWith" text="With Properties">
      <formula>LEFT(E9,LEN("With Properties"))="With Properties"</formula>
    </cfRule>
    <cfRule type="endsWith" dxfId="147" priority="64" operator="endsWith" text=" table of">
      <formula>RIGHT(E9,LEN(" table of"))=" table of"</formula>
    </cfRule>
    <cfRule type="endsWith" dxfId="146" priority="65" operator="endsWith" text=" of">
      <formula>RIGHT(E9,LEN(" of"))=" of"</formula>
    </cfRule>
    <cfRule type="expression" dxfId="145" priority="66">
      <formula>AND((RIGHT(E8, 3) = " of"), #REF! = "With Properties")</formula>
    </cfRule>
    <cfRule type="expression" dxfId="144" priority="67">
      <formula>AND(RIGHT(D9, 3) = " of", #REF! = "With Properties")</formula>
    </cfRule>
  </conditionalFormatting>
  <conditionalFormatting sqref="A27:A34">
    <cfRule type="cellIs" dxfId="143" priority="113" operator="equal">
      <formula>"Assert"</formula>
    </cfRule>
    <cfRule type="cellIs" dxfId="142" priority="114" operator="equal">
      <formula>"When"</formula>
    </cfRule>
    <cfRule type="cellIs" dxfId="141" priority="115" operator="equal">
      <formula>"Given a"</formula>
    </cfRule>
    <cfRule type="cellIs" dxfId="140" priority="116" operator="equal">
      <formula>"Specification"</formula>
    </cfRule>
    <cfRule type="beginsWith" dxfId="139" priority="117" operator="beginsWith" text="With Properties">
      <formula>LEFT(A27,LEN("With Properties"))="With Properties"</formula>
    </cfRule>
    <cfRule type="endsWith" dxfId="138" priority="118" operator="endsWith" text=" table of">
      <formula>RIGHT(A27,LEN(" table of"))=" table of"</formula>
    </cfRule>
    <cfRule type="endsWith" dxfId="137" priority="119" operator="endsWith" text=" of">
      <formula>RIGHT(A27,LEN(" of"))=" of"</formula>
    </cfRule>
    <cfRule type="expression" dxfId="136" priority="120">
      <formula>AND((RIGHT(A26, 3) = " of"), A28 = "With Properties")</formula>
    </cfRule>
    <cfRule type="expression" dxfId="135" priority="121">
      <formula>AND(RIGHT(XFB27, 3) = " of", A28 = "With Properties")</formula>
    </cfRule>
  </conditionalFormatting>
  <conditionalFormatting sqref="N27">
    <cfRule type="cellIs" dxfId="134" priority="131" operator="equal">
      <formula>"Assert"</formula>
    </cfRule>
    <cfRule type="cellIs" dxfId="133" priority="132" operator="equal">
      <formula>"When"</formula>
    </cfRule>
    <cfRule type="cellIs" dxfId="132" priority="133" operator="equal">
      <formula>"Given a"</formula>
    </cfRule>
    <cfRule type="cellIs" dxfId="131" priority="134" operator="equal">
      <formula>"Specification"</formula>
    </cfRule>
    <cfRule type="beginsWith" dxfId="130" priority="135" operator="beginsWith" text="With Properties">
      <formula>LEFT(N27,LEN("With Properties"))="With Properties"</formula>
    </cfRule>
    <cfRule type="endsWith" dxfId="129" priority="136" operator="endsWith" text=" table of">
      <formula>RIGHT(N27,LEN(" table of"))=" table of"</formula>
    </cfRule>
    <cfRule type="endsWith" dxfId="128" priority="137" operator="endsWith" text=" of">
      <formula>RIGHT(N27,LEN(" of"))=" of"</formula>
    </cfRule>
    <cfRule type="expression" dxfId="127" priority="138">
      <formula>AND((RIGHT(P26, 3) = " of"), N28 = "With Properties")</formula>
    </cfRule>
    <cfRule type="expression" dxfId="126" priority="139">
      <formula>AND(RIGHT(#REF!, 3) = " of", N28 = "With Properties")</formula>
    </cfRule>
  </conditionalFormatting>
  <conditionalFormatting sqref="G35:P35 R35:XFD35">
    <cfRule type="cellIs" dxfId="125" priority="140" operator="equal">
      <formula>"Assert"</formula>
    </cfRule>
    <cfRule type="cellIs" dxfId="124" priority="141" operator="equal">
      <formula>"When"</formula>
    </cfRule>
    <cfRule type="cellIs" dxfId="123" priority="142" operator="equal">
      <formula>"Given a"</formula>
    </cfRule>
    <cfRule type="cellIs" dxfId="122" priority="143" operator="equal">
      <formula>"Specification"</formula>
    </cfRule>
    <cfRule type="beginsWith" dxfId="121" priority="144" operator="beginsWith" text="With Properties">
      <formula>LEFT(G35,LEN("With Properties"))="With Properties"</formula>
    </cfRule>
    <cfRule type="endsWith" dxfId="120" priority="145" operator="endsWith" text=" table of">
      <formula>RIGHT(G35,LEN(" table of"))=" table of"</formula>
    </cfRule>
    <cfRule type="endsWith" dxfId="119" priority="146" operator="endsWith" text=" of">
      <formula>RIGHT(G35,LEN(" of"))=" of"</formula>
    </cfRule>
    <cfRule type="expression" dxfId="118" priority="147">
      <formula>AND((RIGHT(E34, 3) = " of"), G36 = "With Properties")</formula>
    </cfRule>
    <cfRule type="expression" dxfId="117" priority="148">
      <formula>AND(RIGHT(F35, 3) = " of", G36 = "With Properties")</formula>
    </cfRule>
  </conditionalFormatting>
  <conditionalFormatting sqref="R26:XFD26">
    <cfRule type="cellIs" dxfId="116" priority="149" operator="equal">
      <formula>"Assert"</formula>
    </cfRule>
    <cfRule type="cellIs" dxfId="115" priority="150" operator="equal">
      <formula>"When"</formula>
    </cfRule>
    <cfRule type="cellIs" dxfId="114" priority="151" operator="equal">
      <formula>"Given a"</formula>
    </cfRule>
    <cfRule type="cellIs" dxfId="113" priority="152" operator="equal">
      <formula>"Specification"</formula>
    </cfRule>
    <cfRule type="beginsWith" dxfId="112" priority="153" operator="beginsWith" text="With Properties">
      <formula>LEFT(R26,LEN("With Properties"))="With Properties"</formula>
    </cfRule>
    <cfRule type="endsWith" dxfId="111" priority="154" operator="endsWith" text=" table of">
      <formula>RIGHT(R26,LEN(" table of"))=" table of"</formula>
    </cfRule>
    <cfRule type="endsWith" dxfId="110" priority="155" operator="endsWith" text=" of">
      <formula>RIGHT(R26,LEN(" of"))=" of"</formula>
    </cfRule>
    <cfRule type="expression" dxfId="109" priority="156">
      <formula>AND((RIGHT(R25, 3) = " of"), P27 = "With Properties")</formula>
    </cfRule>
    <cfRule type="expression" dxfId="108" priority="157">
      <formula>AND(RIGHT(Q26, 3) = " of", P27 = "With Properties")</formula>
    </cfRule>
  </conditionalFormatting>
  <conditionalFormatting sqref="E34:N34">
    <cfRule type="cellIs" dxfId="107" priority="158" operator="equal">
      <formula>"Assert"</formula>
    </cfRule>
    <cfRule type="cellIs" dxfId="106" priority="159" operator="equal">
      <formula>"When"</formula>
    </cfRule>
    <cfRule type="cellIs" dxfId="105" priority="160" operator="equal">
      <formula>"Given a"</formula>
    </cfRule>
    <cfRule type="cellIs" dxfId="104" priority="161" operator="equal">
      <formula>"Specification"</formula>
    </cfRule>
    <cfRule type="beginsWith" dxfId="103" priority="162" operator="beginsWith" text="With Properties">
      <formula>LEFT(E34,LEN("With Properties"))="With Properties"</formula>
    </cfRule>
    <cfRule type="endsWith" dxfId="102" priority="163" operator="endsWith" text=" table of">
      <formula>RIGHT(E34,LEN(" table of"))=" table of"</formula>
    </cfRule>
    <cfRule type="endsWith" dxfId="101" priority="164" operator="endsWith" text=" of">
      <formula>RIGHT(E34,LEN(" of"))=" of"</formula>
    </cfRule>
    <cfRule type="expression" dxfId="100" priority="165">
      <formula>AND((RIGHT(E33, 3) = " of"), G35 = "With Properties")</formula>
    </cfRule>
    <cfRule type="expression" dxfId="99" priority="166">
      <formula>AND(RIGHT(#REF!, 3) = " of", G35 = "With Properties")</formula>
    </cfRule>
  </conditionalFormatting>
  <conditionalFormatting sqref="N28:N33 E29:M33">
    <cfRule type="cellIs" dxfId="98" priority="167" operator="equal">
      <formula>"Assert"</formula>
    </cfRule>
    <cfRule type="cellIs" dxfId="97" priority="168" operator="equal">
      <formula>"When"</formula>
    </cfRule>
    <cfRule type="cellIs" dxfId="96" priority="169" operator="equal">
      <formula>"Given a"</formula>
    </cfRule>
    <cfRule type="cellIs" dxfId="95" priority="170" operator="equal">
      <formula>"Specification"</formula>
    </cfRule>
    <cfRule type="beginsWith" dxfId="94" priority="171" operator="beginsWith" text="With Properties">
      <formula>LEFT(E28,LEN("With Properties"))="With Properties"</formula>
    </cfRule>
    <cfRule type="endsWith" dxfId="93" priority="172" operator="endsWith" text=" table of">
      <formula>RIGHT(E28,LEN(" table of"))=" table of"</formula>
    </cfRule>
    <cfRule type="endsWith" dxfId="92" priority="173" operator="endsWith" text=" of">
      <formula>RIGHT(E28,LEN(" of"))=" of"</formula>
    </cfRule>
    <cfRule type="expression" dxfId="91" priority="174">
      <formula>AND((RIGHT(E27, 3) = " of"), E29 = "With Properties")</formula>
    </cfRule>
    <cfRule type="expression" dxfId="90" priority="175">
      <formula>AND(RIGHT(#REF!, 3) = " of", E29 = "With Properties")</formula>
    </cfRule>
  </conditionalFormatting>
  <conditionalFormatting sqref="O28:O34">
    <cfRule type="cellIs" dxfId="89" priority="293" operator="equal">
      <formula>"Assert"</formula>
    </cfRule>
    <cfRule type="cellIs" dxfId="88" priority="294" operator="equal">
      <formula>"When"</formula>
    </cfRule>
    <cfRule type="cellIs" dxfId="87" priority="295" operator="equal">
      <formula>"Given a"</formula>
    </cfRule>
    <cfRule type="cellIs" dxfId="86" priority="296" operator="equal">
      <formula>"Specification"</formula>
    </cfRule>
    <cfRule type="beginsWith" dxfId="85" priority="297" operator="beginsWith" text="With Properties">
      <formula>LEFT(O28,LEN("With Properties"))="With Properties"</formula>
    </cfRule>
    <cfRule type="endsWith" dxfId="84" priority="298" operator="endsWith" text=" table of">
      <formula>RIGHT(O28,LEN(" table of"))=" table of"</formula>
    </cfRule>
    <cfRule type="endsWith" dxfId="83" priority="299" operator="endsWith" text=" of">
      <formula>RIGHT(O28,LEN(" of"))=" of"</formula>
    </cfRule>
    <cfRule type="expression" dxfId="82" priority="300">
      <formula>AND((RIGHT(O27, 3) = " of"), O29 = "With Properties")</formula>
    </cfRule>
    <cfRule type="expression" dxfId="81" priority="301">
      <formula>AND(RIGHT(#REF!, 3) = " of", O29 = "With Properties")</formula>
    </cfRule>
  </conditionalFormatting>
  <conditionalFormatting sqref="E24:M24">
    <cfRule type="cellIs" dxfId="80" priority="373" operator="equal">
      <formula>"Assert"</formula>
    </cfRule>
    <cfRule type="cellIs" dxfId="79" priority="374" operator="equal">
      <formula>"When"</formula>
    </cfRule>
    <cfRule type="cellIs" dxfId="78" priority="375" operator="equal">
      <formula>"Given a"</formula>
    </cfRule>
    <cfRule type="cellIs" dxfId="77" priority="376" operator="equal">
      <formula>"Specification"</formula>
    </cfRule>
    <cfRule type="beginsWith" dxfId="76" priority="377" operator="beginsWith" text="With Properties">
      <formula>LEFT(E24,LEN("With Properties"))="With Properties"</formula>
    </cfRule>
    <cfRule type="endsWith" dxfId="75" priority="378" operator="endsWith" text=" table of">
      <formula>RIGHT(E24,LEN(" table of"))=" table of"</formula>
    </cfRule>
    <cfRule type="endsWith" dxfId="74" priority="379" operator="endsWith" text=" of">
      <formula>RIGHT(E24,LEN(" of"))=" of"</formula>
    </cfRule>
    <cfRule type="expression" dxfId="73" priority="380">
      <formula>AND((RIGHT(G26, 3) = " of"), E28 = "With Properties")</formula>
    </cfRule>
    <cfRule type="expression" dxfId="72" priority="381">
      <formula>AND(RIGHT(#REF!, 3) = " of", E28 = "With Properties")</formula>
    </cfRule>
  </conditionalFormatting>
  <conditionalFormatting sqref="N26:P26">
    <cfRule type="cellIs" dxfId="71" priority="382" operator="equal">
      <formula>"Assert"</formula>
    </cfRule>
    <cfRule type="cellIs" dxfId="70" priority="383" operator="equal">
      <formula>"When"</formula>
    </cfRule>
    <cfRule type="cellIs" dxfId="69" priority="384" operator="equal">
      <formula>"Given a"</formula>
    </cfRule>
    <cfRule type="cellIs" dxfId="68" priority="385" operator="equal">
      <formula>"Specification"</formula>
    </cfRule>
    <cfRule type="beginsWith" dxfId="67" priority="386" operator="beginsWith" text="With Properties">
      <formula>LEFT(N26,LEN("With Properties"))="With Properties"</formula>
    </cfRule>
    <cfRule type="endsWith" dxfId="66" priority="387" operator="endsWith" text=" table of">
      <formula>RIGHT(N26,LEN(" table of"))=" table of"</formula>
    </cfRule>
    <cfRule type="endsWith" dxfId="65" priority="388" operator="endsWith" text=" of">
      <formula>RIGHT(N26,LEN(" of"))=" of"</formula>
    </cfRule>
    <cfRule type="expression" dxfId="64" priority="389">
      <formula>AND((RIGHT(N25, 3) = " of"), L24 = "With Properties")</formula>
    </cfRule>
    <cfRule type="expression" dxfId="63" priority="390">
      <formula>AND(RIGHT(M26, 3) = " of", L24 = "With Properties")</formula>
    </cfRule>
  </conditionalFormatting>
  <conditionalFormatting sqref="E28:M28 F29:F34 H29:H34 J29:M34">
    <cfRule type="cellIs" dxfId="62" priority="400" operator="equal">
      <formula>"Assert"</formula>
    </cfRule>
    <cfRule type="cellIs" dxfId="61" priority="401" operator="equal">
      <formula>"When"</formula>
    </cfRule>
    <cfRule type="cellIs" dxfId="60" priority="402" operator="equal">
      <formula>"Given a"</formula>
    </cfRule>
    <cfRule type="cellIs" dxfId="59" priority="403" operator="equal">
      <formula>"Specification"</formula>
    </cfRule>
    <cfRule type="beginsWith" dxfId="58" priority="404" operator="beginsWith" text="With Properties">
      <formula>LEFT(E28,LEN("With Properties"))="With Properties"</formula>
    </cfRule>
    <cfRule type="endsWith" dxfId="57" priority="405" operator="endsWith" text=" table of">
      <formula>RIGHT(E28,LEN(" table of"))=" table of"</formula>
    </cfRule>
    <cfRule type="endsWith" dxfId="56" priority="406" operator="endsWith" text=" of">
      <formula>RIGHT(E28,LEN(" of"))=" of"</formula>
    </cfRule>
    <cfRule type="expression" dxfId="55" priority="407">
      <formula>AND((RIGHT(E24, 3) = " of"), E29 = "With Properties")</formula>
    </cfRule>
    <cfRule type="expression" dxfId="54" priority="408">
      <formula>AND(RIGHT(#REF!, 3) = " of", E29 = "With Properties")</formula>
    </cfRule>
  </conditionalFormatting>
  <conditionalFormatting sqref="O34">
    <cfRule type="cellIs" dxfId="53" priority="677" operator="equal">
      <formula>"Assert"</formula>
    </cfRule>
    <cfRule type="cellIs" dxfId="52" priority="678" operator="equal">
      <formula>"When"</formula>
    </cfRule>
    <cfRule type="cellIs" dxfId="51" priority="679" operator="equal">
      <formula>"Given a"</formula>
    </cfRule>
    <cfRule type="cellIs" dxfId="50" priority="680" operator="equal">
      <formula>"Specification"</formula>
    </cfRule>
    <cfRule type="beginsWith" dxfId="49" priority="681" operator="beginsWith" text="With Properties">
      <formula>LEFT(O34,LEN("With Properties"))="With Properties"</formula>
    </cfRule>
    <cfRule type="endsWith" dxfId="48" priority="682" operator="endsWith" text=" table of">
      <formula>RIGHT(O34,LEN(" table of"))=" table of"</formula>
    </cfRule>
    <cfRule type="endsWith" dxfId="47" priority="683" operator="endsWith" text=" of">
      <formula>RIGHT(O34,LEN(" of"))=" of"</formula>
    </cfRule>
    <cfRule type="expression" dxfId="46" priority="684">
      <formula>AND((RIGHT(O33, 3) = " of"), K18 = "With Properties")</formula>
    </cfRule>
    <cfRule type="expression" dxfId="45" priority="685">
      <formula>AND(RIGHT(#REF!, 3) = " of", K18 = "With Properties")</formula>
    </cfRule>
  </conditionalFormatting>
  <conditionalFormatting sqref="P27:XFD27">
    <cfRule type="cellIs" dxfId="44" priority="713" operator="equal">
      <formula>"Assert"</formula>
    </cfRule>
    <cfRule type="cellIs" dxfId="43" priority="714" operator="equal">
      <formula>"When"</formula>
    </cfRule>
    <cfRule type="cellIs" dxfId="42" priority="715" operator="equal">
      <formula>"Given a"</formula>
    </cfRule>
    <cfRule type="cellIs" dxfId="41" priority="716" operator="equal">
      <formula>"Specification"</formula>
    </cfRule>
    <cfRule type="beginsWith" dxfId="40" priority="717" operator="beginsWith" text="With Properties">
      <formula>LEFT(P27,LEN("With Properties"))="With Properties"</formula>
    </cfRule>
    <cfRule type="endsWith" dxfId="39" priority="718" operator="endsWith" text=" table of">
      <formula>RIGHT(P27,LEN(" table of"))=" table of"</formula>
    </cfRule>
    <cfRule type="endsWith" dxfId="38" priority="719" operator="endsWith" text=" of">
      <formula>RIGHT(P27,LEN(" of"))=" of"</formula>
    </cfRule>
    <cfRule type="expression" dxfId="37" priority="720">
      <formula>AND((RIGHT(R26, 3) = " of"), P28 = "With Properties")</formula>
    </cfRule>
    <cfRule type="expression" dxfId="36" priority="721">
      <formula>AND(RIGHT(O27, 3) = " of", P28 = "With Properties")</formula>
    </cfRule>
  </conditionalFormatting>
  <conditionalFormatting sqref="P34:XFD34">
    <cfRule type="cellIs" dxfId="35" priority="722" operator="equal">
      <formula>"Assert"</formula>
    </cfRule>
    <cfRule type="cellIs" dxfId="34" priority="723" operator="equal">
      <formula>"When"</formula>
    </cfRule>
    <cfRule type="cellIs" dxfId="33" priority="724" operator="equal">
      <formula>"Given a"</formula>
    </cfRule>
    <cfRule type="cellIs" dxfId="32" priority="725" operator="equal">
      <formula>"Specification"</formula>
    </cfRule>
    <cfRule type="beginsWith" dxfId="31" priority="726" operator="beginsWith" text="With Properties">
      <formula>LEFT(P34,LEN("With Properties"))="With Properties"</formula>
    </cfRule>
    <cfRule type="endsWith" dxfId="30" priority="727" operator="endsWith" text=" table of">
      <formula>RIGHT(P34,LEN(" table of"))=" table of"</formula>
    </cfRule>
    <cfRule type="endsWith" dxfId="29" priority="728" operator="endsWith" text=" of">
      <formula>RIGHT(P34,LEN(" of"))=" of"</formula>
    </cfRule>
    <cfRule type="expression" dxfId="28" priority="729">
      <formula>AND((RIGHT(P33, 3) = " of"), R35 = "With Properties")</formula>
    </cfRule>
    <cfRule type="expression" dxfId="27" priority="730">
      <formula>AND(RIGHT(O34, 3) = " of", R35 = "With Properties")</formula>
    </cfRule>
  </conditionalFormatting>
  <conditionalFormatting sqref="O27">
    <cfRule type="cellIs" dxfId="26" priority="731" operator="equal">
      <formula>"Assert"</formula>
    </cfRule>
    <cfRule type="cellIs" dxfId="25" priority="732" operator="equal">
      <formula>"When"</formula>
    </cfRule>
    <cfRule type="cellIs" dxfId="24" priority="733" operator="equal">
      <formula>"Given a"</formula>
    </cfRule>
    <cfRule type="cellIs" dxfId="23" priority="734" operator="equal">
      <formula>"Specification"</formula>
    </cfRule>
    <cfRule type="beginsWith" dxfId="22" priority="735" operator="beginsWith" text="With Properties">
      <formula>LEFT(O27,LEN("With Properties"))="With Properties"</formula>
    </cfRule>
    <cfRule type="endsWith" dxfId="21" priority="736" operator="endsWith" text=" table of">
      <formula>RIGHT(O27,LEN(" table of"))=" table of"</formula>
    </cfRule>
    <cfRule type="endsWith" dxfId="20" priority="737" operator="endsWith" text=" of">
      <formula>RIGHT(O27,LEN(" of"))=" of"</formula>
    </cfRule>
    <cfRule type="expression" dxfId="19" priority="738">
      <formula>AND((RIGHT(F26, 3) = " of"), O28 = "With Properties")</formula>
    </cfRule>
    <cfRule type="expression" dxfId="18" priority="739">
      <formula>AND(RIGHT(#REF!, 3) = " of", O28 = "With Properties")</formula>
    </cfRule>
  </conditionalFormatting>
  <conditionalFormatting sqref="F35">
    <cfRule type="cellIs" dxfId="17" priority="740" operator="equal">
      <formula>"Assert"</formula>
    </cfRule>
    <cfRule type="cellIs" dxfId="16" priority="741" operator="equal">
      <formula>"When"</formula>
    </cfRule>
    <cfRule type="cellIs" dxfId="15" priority="742" operator="equal">
      <formula>"Given a"</formula>
    </cfRule>
    <cfRule type="cellIs" dxfId="14" priority="743" operator="equal">
      <formula>"Specification"</formula>
    </cfRule>
    <cfRule type="beginsWith" dxfId="13" priority="744" operator="beginsWith" text="With Properties">
      <formula>LEFT(F35,LEN("With Properties"))="With Properties"</formula>
    </cfRule>
    <cfRule type="endsWith" dxfId="12" priority="745" operator="endsWith" text=" table of">
      <formula>RIGHT(F35,LEN(" table of"))=" table of"</formula>
    </cfRule>
    <cfRule type="endsWith" dxfId="11" priority="746" operator="endsWith" text=" of">
      <formula>RIGHT(F35,LEN(" of"))=" of"</formula>
    </cfRule>
    <cfRule type="expression" dxfId="10" priority="747">
      <formula>AND((RIGHT(O34, 3) = " of"), F36 = "With Properties")</formula>
    </cfRule>
    <cfRule type="expression" dxfId="9" priority="748">
      <formula>AND(RIGHT(E35, 3) = " of", F36 = "With Properties")</formula>
    </cfRule>
  </conditionalFormatting>
  <conditionalFormatting sqref="O34">
    <cfRule type="cellIs" dxfId="8" priority="749" operator="equal">
      <formula>"Assert"</formula>
    </cfRule>
    <cfRule type="cellIs" dxfId="7" priority="750" operator="equal">
      <formula>"When"</formula>
    </cfRule>
    <cfRule type="cellIs" dxfId="6" priority="751" operator="equal">
      <formula>"Given a"</formula>
    </cfRule>
    <cfRule type="cellIs" dxfId="5" priority="752" operator="equal">
      <formula>"Specification"</formula>
    </cfRule>
    <cfRule type="beginsWith" dxfId="4" priority="753" operator="beginsWith" text="With Properties">
      <formula>LEFT(O34,LEN("With Properties"))="With Properties"</formula>
    </cfRule>
    <cfRule type="endsWith" dxfId="3" priority="754" operator="endsWith" text=" table of">
      <formula>RIGHT(O34,LEN(" table of"))=" table of"</formula>
    </cfRule>
    <cfRule type="endsWith" dxfId="2" priority="755" operator="endsWith" text=" of">
      <formula>RIGHT(O34,LEN(" of"))=" of"</formula>
    </cfRule>
    <cfRule type="expression" dxfId="1" priority="756">
      <formula>AND((RIGHT(O33, 3) = " of"), F35 = "With Properties")</formula>
    </cfRule>
    <cfRule type="expression" dxfId="0" priority="757">
      <formula>AND(RIGHT(#REF!, 3) = " of", F35 = "With Properties")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9"/>
  <sheetViews>
    <sheetView workbookViewId="0">
      <selection activeCell="B11" sqref="B11"/>
    </sheetView>
  </sheetViews>
  <sheetFormatPr defaultRowHeight="15" x14ac:dyDescent="0.25"/>
  <cols>
    <col min="2" max="2" width="20.5703125" customWidth="1"/>
    <col min="4" max="4" width="20.28515625" customWidth="1"/>
    <col min="5" max="5" width="20.5703125" customWidth="1"/>
    <col min="6" max="6" width="9.7109375" customWidth="1"/>
    <col min="7" max="7" width="17" bestFit="1" customWidth="1"/>
    <col min="8" max="8" width="17.5703125" bestFit="1" customWidth="1"/>
    <col min="9" max="9" width="4" customWidth="1"/>
    <col min="10" max="11" width="16.5703125" bestFit="1" customWidth="1"/>
    <col min="12" max="12" width="14.85546875" bestFit="1" customWidth="1"/>
    <col min="13" max="13" width="15.28515625" bestFit="1" customWidth="1"/>
    <col min="14" max="15" width="35.85546875" bestFit="1" customWidth="1"/>
    <col min="16" max="16" width="28.7109375" bestFit="1" customWidth="1"/>
    <col min="17" max="17" width="17" bestFit="1" customWidth="1"/>
    <col min="18" max="18" width="36" bestFit="1" customWidth="1"/>
    <col min="19" max="19" width="17.5703125" bestFit="1" customWidth="1"/>
  </cols>
  <sheetData>
    <row r="2" spans="2:19" ht="19.5" customHeight="1" x14ac:dyDescent="0.25">
      <c r="B2" s="10" t="s">
        <v>15</v>
      </c>
      <c r="C2" s="11" t="s">
        <v>2</v>
      </c>
      <c r="D2" s="12" t="s">
        <v>16</v>
      </c>
      <c r="E2" s="10" t="s">
        <v>0</v>
      </c>
      <c r="F2" s="10" t="s">
        <v>1</v>
      </c>
      <c r="G2" s="10" t="s">
        <v>11</v>
      </c>
      <c r="H2" s="8" t="s">
        <v>3</v>
      </c>
      <c r="J2" s="5" t="s">
        <v>10</v>
      </c>
      <c r="K2" s="5" t="s">
        <v>9</v>
      </c>
      <c r="L2" s="5" t="s">
        <v>8</v>
      </c>
      <c r="M2" s="2" t="s">
        <v>7</v>
      </c>
      <c r="N2" s="1" t="s">
        <v>6</v>
      </c>
      <c r="O2" s="1" t="s">
        <v>5</v>
      </c>
      <c r="P2" s="1" t="s">
        <v>4</v>
      </c>
      <c r="Q2" s="1" t="s">
        <v>12</v>
      </c>
      <c r="R2" s="8" t="s">
        <v>13</v>
      </c>
      <c r="S2" s="8" t="s">
        <v>14</v>
      </c>
    </row>
    <row r="3" spans="2:19" x14ac:dyDescent="0.25">
      <c r="B3" s="7">
        <v>3</v>
      </c>
      <c r="C3" s="4">
        <v>10</v>
      </c>
      <c r="D3" s="9">
        <v>0.15</v>
      </c>
      <c r="E3" s="7">
        <v>76</v>
      </c>
      <c r="F3" s="7">
        <v>15</v>
      </c>
      <c r="G3" s="7">
        <v>0.7</v>
      </c>
      <c r="H3" s="3">
        <f t="shared" ref="H3:H9" si="0">S3*R3/Q3</f>
        <v>140.01601451311993</v>
      </c>
      <c r="J3" s="6">
        <f>E3/2</f>
        <v>38</v>
      </c>
      <c r="K3" s="6">
        <f>F3* (2 * PI() / 60)</f>
        <v>1.5707963267948966</v>
      </c>
      <c r="L3" s="6">
        <f t="shared" ref="L3:L9" si="1">(K3 * J3) / C3</f>
        <v>5.9690260418206069</v>
      </c>
      <c r="M3" s="3">
        <f>IF(G3&gt;0.8888,3,1/SQRT(1-G3))</f>
        <v>1.8257418583505536</v>
      </c>
      <c r="N3" s="3">
        <f>(1-M3)*SQRT(1.49+M3)/(9.76*(1+M3))</f>
        <v>-5.4519561436758443E-2</v>
      </c>
      <c r="O3" s="3">
        <f t="shared" ref="O3:O9" si="2">IF(D3&gt;0.02,2.5*D3+0.05,5*D3)</f>
        <v>0.42499999999999999</v>
      </c>
      <c r="P3" s="3">
        <f t="shared" ref="P3:P9" si="3">0.012*B3*L3</f>
        <v>0.21488493750554188</v>
      </c>
      <c r="Q3" s="3">
        <f>SQRT(POWER(N3,2)+POWER(O3,2)+POWER(P3,2))</f>
        <v>0.47934634550188976</v>
      </c>
      <c r="R3" s="3">
        <f t="shared" ref="R3:R9" si="4">J3*SQRT((M3+1)/2)</f>
        <v>45.168413982882988</v>
      </c>
      <c r="S3" s="3">
        <f t="shared" ref="S3:S9" si="5">SQRT(0.214+0.144*M3)* (1-SQRT(0.134+0.124*M3))/((1-SQRT(0.214+0.144*M3))*SQRT(0.134+0.124*M3))</f>
        <v>1.4859092660202307</v>
      </c>
    </row>
    <row r="4" spans="2:19" x14ac:dyDescent="0.25">
      <c r="B4" s="7">
        <v>2</v>
      </c>
      <c r="C4" s="4">
        <v>10</v>
      </c>
      <c r="D4" s="9">
        <v>0.15</v>
      </c>
      <c r="E4" s="7">
        <v>76</v>
      </c>
      <c r="F4" s="7">
        <v>15</v>
      </c>
      <c r="G4" s="7">
        <v>0.7</v>
      </c>
      <c r="H4" s="3">
        <f t="shared" si="0"/>
        <v>148.55405780294296</v>
      </c>
      <c r="J4" s="6">
        <f t="shared" ref="J4:J9" si="6">E4/2</f>
        <v>38</v>
      </c>
      <c r="K4" s="6">
        <f t="shared" ref="K4:K9" si="7">F4* (2 * PI() / 60)</f>
        <v>1.5707963267948966</v>
      </c>
      <c r="L4" s="6">
        <f t="shared" si="1"/>
        <v>5.9690260418206069</v>
      </c>
      <c r="M4" s="3">
        <f t="shared" ref="M4:M9" si="8">IF(G4&gt;0.8888,3,1/SQRT(1-G4))</f>
        <v>1.8257418583505536</v>
      </c>
      <c r="N4" s="3">
        <f t="shared" ref="N4:N9" si="9">(1-M4)*SQRT(1.49+M4)/(9.76*(1+M4))</f>
        <v>-5.4519561436758443E-2</v>
      </c>
      <c r="O4" s="3">
        <f t="shared" si="2"/>
        <v>0.42499999999999999</v>
      </c>
      <c r="P4" s="3">
        <f t="shared" si="3"/>
        <v>0.14325662500369457</v>
      </c>
      <c r="Q4" s="3">
        <f t="shared" ref="Q4:Q9" si="10">SQRT(POWER(N4,2)+POWER(O4,2)+POWER(P4,2))</f>
        <v>0.45179624078416769</v>
      </c>
      <c r="R4" s="3">
        <f t="shared" si="4"/>
        <v>45.168413982882988</v>
      </c>
      <c r="S4" s="3">
        <f t="shared" si="5"/>
        <v>1.4859092660202307</v>
      </c>
    </row>
    <row r="5" spans="2:19" x14ac:dyDescent="0.25">
      <c r="B5" s="7">
        <v>3</v>
      </c>
      <c r="C5" s="4">
        <v>6</v>
      </c>
      <c r="D5" s="9">
        <v>0.15</v>
      </c>
      <c r="E5" s="7">
        <v>76</v>
      </c>
      <c r="F5" s="7">
        <v>15</v>
      </c>
      <c r="G5" s="7">
        <v>0.7</v>
      </c>
      <c r="H5" s="3">
        <f t="shared" si="0"/>
        <v>120.18364521743895</v>
      </c>
      <c r="J5" s="6">
        <f t="shared" si="6"/>
        <v>38</v>
      </c>
      <c r="K5" s="6">
        <f t="shared" si="7"/>
        <v>1.5707963267948966</v>
      </c>
      <c r="L5" s="6">
        <f t="shared" si="1"/>
        <v>9.9483767363676776</v>
      </c>
      <c r="M5" s="3">
        <f t="shared" si="8"/>
        <v>1.8257418583505536</v>
      </c>
      <c r="N5" s="3">
        <f t="shared" si="9"/>
        <v>-5.4519561436758443E-2</v>
      </c>
      <c r="O5" s="3">
        <f t="shared" si="2"/>
        <v>0.42499999999999999</v>
      </c>
      <c r="P5" s="3">
        <f t="shared" si="3"/>
        <v>0.35814156250923646</v>
      </c>
      <c r="Q5" s="3">
        <f t="shared" si="10"/>
        <v>0.55844673996345773</v>
      </c>
      <c r="R5" s="3">
        <f t="shared" si="4"/>
        <v>45.168413982882988</v>
      </c>
      <c r="S5" s="3">
        <f t="shared" si="5"/>
        <v>1.4859092660202307</v>
      </c>
    </row>
    <row r="6" spans="2:19" x14ac:dyDescent="0.25">
      <c r="B6" s="7">
        <v>3</v>
      </c>
      <c r="C6" s="4">
        <v>10</v>
      </c>
      <c r="D6" s="9">
        <v>0.1</v>
      </c>
      <c r="E6" s="7">
        <v>76</v>
      </c>
      <c r="F6" s="7">
        <v>15</v>
      </c>
      <c r="G6" s="7">
        <v>0.7</v>
      </c>
      <c r="H6" s="3">
        <f t="shared" si="0"/>
        <v>179.92386611626353</v>
      </c>
      <c r="J6" s="6">
        <f t="shared" si="6"/>
        <v>38</v>
      </c>
      <c r="K6" s="6">
        <f t="shared" si="7"/>
        <v>1.5707963267948966</v>
      </c>
      <c r="L6" s="6">
        <f t="shared" si="1"/>
        <v>5.9690260418206069</v>
      </c>
      <c r="M6" s="3">
        <f t="shared" si="8"/>
        <v>1.8257418583505536</v>
      </c>
      <c r="N6" s="3">
        <f t="shared" si="9"/>
        <v>-5.4519561436758443E-2</v>
      </c>
      <c r="O6" s="3">
        <f t="shared" si="2"/>
        <v>0.3</v>
      </c>
      <c r="P6" s="3">
        <f t="shared" si="3"/>
        <v>0.21488493750554188</v>
      </c>
      <c r="Q6" s="3">
        <f t="shared" si="10"/>
        <v>0.37302535965536859</v>
      </c>
      <c r="R6" s="3">
        <f t="shared" si="4"/>
        <v>45.168413982882988</v>
      </c>
      <c r="S6" s="3">
        <f t="shared" si="5"/>
        <v>1.4859092660202307</v>
      </c>
    </row>
    <row r="7" spans="2:19" x14ac:dyDescent="0.25">
      <c r="B7" s="7">
        <v>3</v>
      </c>
      <c r="C7" s="4">
        <v>10</v>
      </c>
      <c r="D7" s="9">
        <v>0.15</v>
      </c>
      <c r="E7" s="7">
        <v>60</v>
      </c>
      <c r="F7" s="7">
        <v>15</v>
      </c>
      <c r="G7" s="7">
        <v>0.7</v>
      </c>
      <c r="H7" s="3">
        <f t="shared" si="0"/>
        <v>114.97697996131835</v>
      </c>
      <c r="J7" s="6">
        <f t="shared" si="6"/>
        <v>30</v>
      </c>
      <c r="K7" s="6">
        <f t="shared" si="7"/>
        <v>1.5707963267948966</v>
      </c>
      <c r="L7" s="6">
        <f t="shared" si="1"/>
        <v>4.7123889803846897</v>
      </c>
      <c r="M7" s="3">
        <f t="shared" si="8"/>
        <v>1.8257418583505536</v>
      </c>
      <c r="N7" s="3">
        <f t="shared" si="9"/>
        <v>-5.4519561436758443E-2</v>
      </c>
      <c r="O7" s="3">
        <f t="shared" si="2"/>
        <v>0.42499999999999999</v>
      </c>
      <c r="P7" s="3">
        <f t="shared" si="3"/>
        <v>0.16964600329384885</v>
      </c>
      <c r="Q7" s="3">
        <f t="shared" si="10"/>
        <v>0.46084395299584113</v>
      </c>
      <c r="R7" s="3">
        <f t="shared" si="4"/>
        <v>35.659274197012884</v>
      </c>
      <c r="S7" s="3">
        <f t="shared" si="5"/>
        <v>1.4859092660202307</v>
      </c>
    </row>
    <row r="8" spans="2:19" x14ac:dyDescent="0.25">
      <c r="B8" s="7">
        <v>3</v>
      </c>
      <c r="C8" s="4">
        <v>10</v>
      </c>
      <c r="D8" s="9">
        <v>0.15</v>
      </c>
      <c r="E8" s="7">
        <v>76</v>
      </c>
      <c r="F8" s="7">
        <v>20</v>
      </c>
      <c r="G8" s="7">
        <v>0.7</v>
      </c>
      <c r="H8" s="3">
        <f t="shared" si="0"/>
        <v>130.2092375310549</v>
      </c>
      <c r="J8" s="6">
        <f t="shared" si="6"/>
        <v>38</v>
      </c>
      <c r="K8" s="6">
        <f t="shared" si="7"/>
        <v>2.0943951023931953</v>
      </c>
      <c r="L8" s="6">
        <f t="shared" si="1"/>
        <v>7.9587013890941423</v>
      </c>
      <c r="M8" s="3">
        <f t="shared" si="8"/>
        <v>1.8257418583505536</v>
      </c>
      <c r="N8" s="3">
        <f t="shared" si="9"/>
        <v>-5.4519561436758443E-2</v>
      </c>
      <c r="O8" s="3">
        <f t="shared" si="2"/>
        <v>0.42499999999999999</v>
      </c>
      <c r="P8" s="3">
        <f t="shared" si="3"/>
        <v>0.28651325000738914</v>
      </c>
      <c r="Q8" s="3">
        <f t="shared" si="10"/>
        <v>0.51544856679309248</v>
      </c>
      <c r="R8" s="3">
        <f t="shared" si="4"/>
        <v>45.168413982882988</v>
      </c>
      <c r="S8" s="3">
        <f t="shared" si="5"/>
        <v>1.4859092660202307</v>
      </c>
    </row>
    <row r="9" spans="2:19" x14ac:dyDescent="0.25">
      <c r="B9" s="7">
        <v>3</v>
      </c>
      <c r="C9" s="4">
        <v>10</v>
      </c>
      <c r="D9" s="9">
        <v>0.15</v>
      </c>
      <c r="E9" s="7">
        <v>76</v>
      </c>
      <c r="F9" s="7">
        <v>15</v>
      </c>
      <c r="G9" s="7">
        <v>0.6</v>
      </c>
      <c r="H9" s="3">
        <f t="shared" si="0"/>
        <v>132.54688085802303</v>
      </c>
      <c r="J9" s="6">
        <f t="shared" si="6"/>
        <v>38</v>
      </c>
      <c r="K9" s="6">
        <f t="shared" si="7"/>
        <v>1.5707963267948966</v>
      </c>
      <c r="L9" s="6">
        <f t="shared" si="1"/>
        <v>5.9690260418206069</v>
      </c>
      <c r="M9" s="3">
        <f t="shared" si="8"/>
        <v>1.5811388300841895</v>
      </c>
      <c r="N9" s="3">
        <f t="shared" si="9"/>
        <v>-4.0426713559809861E-2</v>
      </c>
      <c r="O9" s="3">
        <f t="shared" si="2"/>
        <v>0.42499999999999999</v>
      </c>
      <c r="P9" s="3">
        <f t="shared" si="3"/>
        <v>0.21488493750554188</v>
      </c>
      <c r="Q9" s="3">
        <f t="shared" si="10"/>
        <v>0.47794859089237574</v>
      </c>
      <c r="R9" s="3">
        <f t="shared" si="4"/>
        <v>43.169227874966502</v>
      </c>
      <c r="S9" s="3">
        <f t="shared" si="5"/>
        <v>1.4674942789516103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VermeulenNearWakeLength</vt:lpstr>
      <vt:lpstr>Original Calc</vt:lpstr>
      <vt:lpstr>AmbientTurbulenceWakeErosionRate</vt:lpstr>
      <vt:lpstr>AngularVelocity</vt:lpstr>
      <vt:lpstr>FlowFieldRatio</vt:lpstr>
      <vt:lpstr>MechanicalWakeErosionRate</vt:lpstr>
      <vt:lpstr>N</vt:lpstr>
      <vt:lpstr>Radius</vt:lpstr>
      <vt:lpstr>RadiusOfInviscidExpandedRotorDisk</vt:lpstr>
      <vt:lpstr>ShearTurbulenceWakeErosionRate</vt:lpstr>
      <vt:lpstr>ThrustCoefficient</vt:lpstr>
      <vt:lpstr>TipSpeedRatio</vt:lpstr>
      <vt:lpstr>TotalErosionRate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Stuart</dc:creator>
  <cp:lastModifiedBy>Cedd Burge</cp:lastModifiedBy>
  <dcterms:created xsi:type="dcterms:W3CDTF">2010-12-09T13:04:30Z</dcterms:created>
  <dcterms:modified xsi:type="dcterms:W3CDTF">2019-02-25T18:30:15Z</dcterms:modified>
</cp:coreProperties>
</file>